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slicers/slicer3.xml" ContentType="application/vnd.ms-excel.slicer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s-1a\A TRIER THEMATIQUES\0 A TRIER PÔLES\SPORT EN MILIEU PROFESSIONNEL\LIVRABLES\"/>
    </mc:Choice>
  </mc:AlternateContent>
  <workbookProtection workbookAlgorithmName="SHA-512" workbookHashValue="m41fdM92X+tUBwyksRzHYiFSmgoGzXyLx1ZOZFNRdDQNOBCNaLoDWO6Q22V5nyWyNIPNGHS4g9xEV3JxBOOdFw==" workbookSaltValue="ud1gHDt/XHPo+puSmvSFnA==" workbookSpinCount="100000" lockStructure="1"/>
  <bookViews>
    <workbookView xWindow="0" yWindow="0" windowWidth="20490" windowHeight="8310"/>
  </bookViews>
  <sheets>
    <sheet name="Données_d'entrée" sheetId="8" r:id="rId1"/>
    <sheet name="Tableau_de_bord" sheetId="1" r:id="rId2"/>
    <sheet name="Coûts" sheetId="11" r:id="rId3"/>
    <sheet name="Base" sheetId="3" state="hidden" r:id="rId4"/>
    <sheet name="Bases_annexes" sheetId="7" state="hidden" r:id="rId5"/>
    <sheet name="Base_tbl_de_bord" sheetId="6" state="hidden" r:id="rId6"/>
    <sheet name="TCD" sheetId="4" state="hidden" r:id="rId7"/>
    <sheet name="Listes" sheetId="9" state="hidden" r:id="rId8"/>
  </sheets>
  <definedNames>
    <definedName name="_xlchart.v1.0" hidden="1">Bases_annexes!$D$290:$E$303</definedName>
    <definedName name="_xlchart.v1.1" hidden="1">Bases_annexes!$F$289</definedName>
    <definedName name="_xlchart.v1.2" hidden="1">Bases_annexes!$F$290:$F$303</definedName>
    <definedName name="Segment_Actions">#N/A</definedName>
    <definedName name="Segment_Intensité_APS">#N/A</definedName>
    <definedName name="Segment_Niveau1">#N/A</definedName>
    <definedName name="Segment_Secteur">#N/A</definedName>
  </definedNames>
  <calcPr calcId="162913"/>
  <pivotCaches>
    <pivotCache cacheId="0" r:id="rId9"/>
    <pivotCache cacheId="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7" i="7" l="1"/>
  <c r="E316" i="7"/>
  <c r="E315" i="7"/>
  <c r="D8" i="7"/>
  <c r="D6" i="7"/>
  <c r="D7" i="7"/>
  <c r="D5" i="7"/>
  <c r="E6" i="7"/>
  <c r="E7" i="7"/>
  <c r="E8" i="7"/>
  <c r="E5" i="7"/>
  <c r="F7" i="7" l="1" a="1"/>
  <c r="F7" i="7" s="1"/>
  <c r="E209" i="7" s="1"/>
  <c r="F8" i="7" a="1"/>
  <c r="F8" i="7" s="1"/>
  <c r="F6" i="7" a="1"/>
  <c r="F6" i="7" s="1"/>
  <c r="D209" i="7" s="1"/>
  <c r="F5" i="7" a="1"/>
  <c r="F5" i="7" s="1"/>
  <c r="D179" i="7" s="1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14" i="7"/>
  <c r="U41" i="3" l="1"/>
  <c r="U53" i="3"/>
  <c r="U65" i="3"/>
  <c r="U77" i="3"/>
  <c r="U89" i="3"/>
  <c r="U101" i="3"/>
  <c r="U113" i="3"/>
  <c r="U125" i="3"/>
  <c r="U137" i="3"/>
  <c r="U149" i="3"/>
  <c r="U161" i="3"/>
  <c r="U173" i="3"/>
  <c r="U185" i="3"/>
  <c r="U197" i="3"/>
  <c r="U209" i="3"/>
  <c r="U221" i="3"/>
  <c r="U233" i="3"/>
  <c r="U245" i="3"/>
  <c r="U257" i="3"/>
  <c r="U269" i="3"/>
  <c r="U281" i="3"/>
  <c r="U293" i="3"/>
  <c r="U305" i="3"/>
  <c r="U317" i="3"/>
  <c r="U329" i="3"/>
  <c r="U341" i="3"/>
  <c r="U353" i="3"/>
  <c r="U365" i="3"/>
  <c r="U377" i="3"/>
  <c r="U389" i="3"/>
  <c r="U401" i="3"/>
  <c r="U413" i="3"/>
  <c r="U425" i="3"/>
  <c r="U437" i="3"/>
  <c r="U449" i="3"/>
  <c r="U461" i="3"/>
  <c r="U473" i="3"/>
  <c r="U485" i="3"/>
  <c r="U497" i="3"/>
  <c r="U509" i="3"/>
  <c r="U521" i="3"/>
  <c r="U533" i="3"/>
  <c r="U545" i="3"/>
  <c r="U557" i="3"/>
  <c r="U569" i="3"/>
  <c r="U581" i="3"/>
  <c r="U593" i="3"/>
  <c r="U605" i="3"/>
  <c r="U617" i="3"/>
  <c r="U629" i="3"/>
  <c r="U641" i="3"/>
  <c r="U653" i="3"/>
  <c r="U665" i="3"/>
  <c r="U677" i="3"/>
  <c r="U42" i="3"/>
  <c r="U54" i="3"/>
  <c r="U66" i="3"/>
  <c r="U78" i="3"/>
  <c r="U90" i="3"/>
  <c r="U102" i="3"/>
  <c r="U114" i="3"/>
  <c r="U126" i="3"/>
  <c r="U138" i="3"/>
  <c r="U150" i="3"/>
  <c r="U162" i="3"/>
  <c r="U174" i="3"/>
  <c r="U186" i="3"/>
  <c r="U198" i="3"/>
  <c r="U210" i="3"/>
  <c r="U222" i="3"/>
  <c r="U234" i="3"/>
  <c r="U246" i="3"/>
  <c r="U258" i="3"/>
  <c r="U270" i="3"/>
  <c r="U282" i="3"/>
  <c r="U294" i="3"/>
  <c r="U306" i="3"/>
  <c r="U318" i="3"/>
  <c r="U330" i="3"/>
  <c r="U342" i="3"/>
  <c r="U354" i="3"/>
  <c r="U366" i="3"/>
  <c r="U378" i="3"/>
  <c r="U390" i="3"/>
  <c r="U402" i="3"/>
  <c r="U48" i="3"/>
  <c r="U62" i="3"/>
  <c r="U76" i="3"/>
  <c r="U92" i="3"/>
  <c r="U106" i="3"/>
  <c r="U120" i="3"/>
  <c r="U134" i="3"/>
  <c r="U148" i="3"/>
  <c r="U164" i="3"/>
  <c r="U178" i="3"/>
  <c r="U192" i="3"/>
  <c r="U206" i="3"/>
  <c r="U220" i="3"/>
  <c r="U236" i="3"/>
  <c r="U250" i="3"/>
  <c r="U264" i="3"/>
  <c r="U278" i="3"/>
  <c r="U292" i="3"/>
  <c r="U308" i="3"/>
  <c r="U322" i="3"/>
  <c r="U336" i="3"/>
  <c r="U350" i="3"/>
  <c r="U364" i="3"/>
  <c r="U380" i="3"/>
  <c r="U394" i="3"/>
  <c r="U408" i="3"/>
  <c r="U421" i="3"/>
  <c r="U434" i="3"/>
  <c r="U447" i="3"/>
  <c r="U460" i="3"/>
  <c r="U474" i="3"/>
  <c r="U487" i="3"/>
  <c r="U500" i="3"/>
  <c r="U513" i="3"/>
  <c r="U526" i="3"/>
  <c r="U539" i="3"/>
  <c r="U552" i="3"/>
  <c r="U565" i="3"/>
  <c r="U578" i="3"/>
  <c r="U591" i="3"/>
  <c r="U604" i="3"/>
  <c r="U618" i="3"/>
  <c r="U631" i="3"/>
  <c r="U644" i="3"/>
  <c r="U657" i="3"/>
  <c r="U670" i="3"/>
  <c r="U115" i="3"/>
  <c r="U35" i="3"/>
  <c r="U49" i="3"/>
  <c r="U63" i="3"/>
  <c r="U79" i="3"/>
  <c r="U93" i="3"/>
  <c r="U107" i="3"/>
  <c r="U121" i="3"/>
  <c r="U135" i="3"/>
  <c r="U151" i="3"/>
  <c r="U165" i="3"/>
  <c r="U179" i="3"/>
  <c r="U193" i="3"/>
  <c r="U207" i="3"/>
  <c r="U223" i="3"/>
  <c r="U237" i="3"/>
  <c r="U251" i="3"/>
  <c r="U265" i="3"/>
  <c r="U279" i="3"/>
  <c r="U295" i="3"/>
  <c r="U309" i="3"/>
  <c r="U323" i="3"/>
  <c r="U337" i="3"/>
  <c r="U351" i="3"/>
  <c r="U367" i="3"/>
  <c r="U381" i="3"/>
  <c r="U395" i="3"/>
  <c r="U409" i="3"/>
  <c r="U422" i="3"/>
  <c r="U435" i="3"/>
  <c r="U448" i="3"/>
  <c r="U462" i="3"/>
  <c r="U475" i="3"/>
  <c r="U488" i="3"/>
  <c r="U501" i="3"/>
  <c r="U514" i="3"/>
  <c r="U527" i="3"/>
  <c r="U540" i="3"/>
  <c r="U553" i="3"/>
  <c r="U566" i="3"/>
  <c r="U579" i="3"/>
  <c r="U592" i="3"/>
  <c r="U606" i="3"/>
  <c r="U619" i="3"/>
  <c r="U632" i="3"/>
  <c r="U645" i="3"/>
  <c r="U658" i="3"/>
  <c r="U671" i="3"/>
  <c r="U99" i="3"/>
  <c r="U36" i="3"/>
  <c r="U50" i="3"/>
  <c r="U64" i="3"/>
  <c r="U80" i="3"/>
  <c r="U94" i="3"/>
  <c r="U108" i="3"/>
  <c r="U122" i="3"/>
  <c r="U136" i="3"/>
  <c r="U152" i="3"/>
  <c r="U166" i="3"/>
  <c r="U180" i="3"/>
  <c r="U194" i="3"/>
  <c r="U208" i="3"/>
  <c r="U224" i="3"/>
  <c r="U238" i="3"/>
  <c r="U252" i="3"/>
  <c r="U266" i="3"/>
  <c r="U280" i="3"/>
  <c r="U296" i="3"/>
  <c r="U310" i="3"/>
  <c r="U324" i="3"/>
  <c r="U338" i="3"/>
  <c r="U352" i="3"/>
  <c r="U368" i="3"/>
  <c r="U382" i="3"/>
  <c r="U396" i="3"/>
  <c r="U410" i="3"/>
  <c r="U423" i="3"/>
  <c r="U436" i="3"/>
  <c r="U450" i="3"/>
  <c r="U463" i="3"/>
  <c r="U476" i="3"/>
  <c r="U489" i="3"/>
  <c r="U502" i="3"/>
  <c r="U515" i="3"/>
  <c r="U528" i="3"/>
  <c r="U541" i="3"/>
  <c r="U554" i="3"/>
  <c r="U567" i="3"/>
  <c r="U580" i="3"/>
  <c r="U594" i="3"/>
  <c r="U607" i="3"/>
  <c r="U620" i="3"/>
  <c r="U633" i="3"/>
  <c r="U646" i="3"/>
  <c r="U659" i="3"/>
  <c r="U672" i="3"/>
  <c r="U43" i="3"/>
  <c r="U37" i="3"/>
  <c r="U51" i="3"/>
  <c r="U67" i="3"/>
  <c r="U81" i="3"/>
  <c r="U95" i="3"/>
  <c r="U109" i="3"/>
  <c r="U123" i="3"/>
  <c r="U139" i="3"/>
  <c r="U153" i="3"/>
  <c r="U167" i="3"/>
  <c r="U181" i="3"/>
  <c r="U195" i="3"/>
  <c r="U211" i="3"/>
  <c r="U225" i="3"/>
  <c r="U239" i="3"/>
  <c r="U253" i="3"/>
  <c r="U267" i="3"/>
  <c r="U283" i="3"/>
  <c r="U297" i="3"/>
  <c r="U311" i="3"/>
  <c r="U325" i="3"/>
  <c r="U339" i="3"/>
  <c r="U355" i="3"/>
  <c r="U369" i="3"/>
  <c r="U383" i="3"/>
  <c r="U397" i="3"/>
  <c r="U411" i="3"/>
  <c r="U424" i="3"/>
  <c r="U438" i="3"/>
  <c r="U451" i="3"/>
  <c r="U464" i="3"/>
  <c r="U477" i="3"/>
  <c r="U490" i="3"/>
  <c r="U503" i="3"/>
  <c r="U516" i="3"/>
  <c r="U529" i="3"/>
  <c r="U542" i="3"/>
  <c r="U555" i="3"/>
  <c r="U568" i="3"/>
  <c r="U582" i="3"/>
  <c r="U595" i="3"/>
  <c r="U608" i="3"/>
  <c r="U621" i="3"/>
  <c r="U634" i="3"/>
  <c r="U647" i="3"/>
  <c r="U660" i="3"/>
  <c r="U673" i="3"/>
  <c r="U52" i="3"/>
  <c r="U168" i="3"/>
  <c r="U226" i="3"/>
  <c r="U254" i="3"/>
  <c r="U298" i="3"/>
  <c r="U326" i="3"/>
  <c r="U370" i="3"/>
  <c r="U398" i="3"/>
  <c r="U426" i="3"/>
  <c r="U452" i="3"/>
  <c r="U478" i="3"/>
  <c r="U504" i="3"/>
  <c r="U530" i="3"/>
  <c r="U556" i="3"/>
  <c r="U570" i="3"/>
  <c r="U609" i="3"/>
  <c r="U622" i="3"/>
  <c r="U648" i="3"/>
  <c r="U674" i="3"/>
  <c r="U358" i="3"/>
  <c r="U441" i="3"/>
  <c r="U493" i="3"/>
  <c r="U546" i="3"/>
  <c r="U598" i="3"/>
  <c r="U637" i="3"/>
  <c r="U676" i="3"/>
  <c r="U85" i="3"/>
  <c r="U38" i="3"/>
  <c r="U68" i="3"/>
  <c r="U82" i="3"/>
  <c r="U96" i="3"/>
  <c r="U110" i="3"/>
  <c r="U124" i="3"/>
  <c r="U140" i="3"/>
  <c r="U154" i="3"/>
  <c r="U182" i="3"/>
  <c r="U196" i="3"/>
  <c r="U212" i="3"/>
  <c r="U240" i="3"/>
  <c r="U268" i="3"/>
  <c r="U284" i="3"/>
  <c r="U312" i="3"/>
  <c r="U340" i="3"/>
  <c r="U356" i="3"/>
  <c r="U384" i="3"/>
  <c r="U412" i="3"/>
  <c r="U439" i="3"/>
  <c r="U465" i="3"/>
  <c r="U491" i="3"/>
  <c r="U517" i="3"/>
  <c r="U543" i="3"/>
  <c r="U583" i="3"/>
  <c r="U596" i="3"/>
  <c r="U635" i="3"/>
  <c r="U661" i="3"/>
  <c r="U372" i="3"/>
  <c r="U454" i="3"/>
  <c r="U480" i="3"/>
  <c r="U519" i="3"/>
  <c r="U559" i="3"/>
  <c r="U585" i="3"/>
  <c r="U624" i="3"/>
  <c r="U663" i="3"/>
  <c r="U57" i="3"/>
  <c r="U39" i="3"/>
  <c r="U55" i="3"/>
  <c r="U69" i="3"/>
  <c r="U83" i="3"/>
  <c r="U97" i="3"/>
  <c r="U111" i="3"/>
  <c r="U127" i="3"/>
  <c r="U141" i="3"/>
  <c r="U155" i="3"/>
  <c r="U169" i="3"/>
  <c r="U183" i="3"/>
  <c r="U199" i="3"/>
  <c r="U213" i="3"/>
  <c r="U227" i="3"/>
  <c r="U241" i="3"/>
  <c r="U255" i="3"/>
  <c r="U271" i="3"/>
  <c r="U285" i="3"/>
  <c r="U299" i="3"/>
  <c r="U313" i="3"/>
  <c r="U327" i="3"/>
  <c r="U343" i="3"/>
  <c r="U357" i="3"/>
  <c r="U371" i="3"/>
  <c r="U385" i="3"/>
  <c r="U399" i="3"/>
  <c r="U414" i="3"/>
  <c r="U427" i="3"/>
  <c r="U440" i="3"/>
  <c r="U453" i="3"/>
  <c r="U466" i="3"/>
  <c r="U479" i="3"/>
  <c r="U492" i="3"/>
  <c r="U505" i="3"/>
  <c r="U518" i="3"/>
  <c r="U531" i="3"/>
  <c r="U544" i="3"/>
  <c r="U558" i="3"/>
  <c r="U571" i="3"/>
  <c r="U584" i="3"/>
  <c r="U597" i="3"/>
  <c r="U610" i="3"/>
  <c r="U623" i="3"/>
  <c r="U636" i="3"/>
  <c r="U649" i="3"/>
  <c r="U662" i="3"/>
  <c r="U675" i="3"/>
  <c r="U40" i="3"/>
  <c r="U56" i="3"/>
  <c r="U70" i="3"/>
  <c r="U84" i="3"/>
  <c r="U98" i="3"/>
  <c r="U112" i="3"/>
  <c r="U128" i="3"/>
  <c r="U142" i="3"/>
  <c r="U156" i="3"/>
  <c r="U170" i="3"/>
  <c r="U184" i="3"/>
  <c r="U200" i="3"/>
  <c r="U214" i="3"/>
  <c r="U228" i="3"/>
  <c r="U242" i="3"/>
  <c r="U256" i="3"/>
  <c r="U272" i="3"/>
  <c r="U286" i="3"/>
  <c r="U300" i="3"/>
  <c r="U314" i="3"/>
  <c r="U328" i="3"/>
  <c r="U344" i="3"/>
  <c r="U386" i="3"/>
  <c r="U400" i="3"/>
  <c r="U415" i="3"/>
  <c r="U428" i="3"/>
  <c r="U467" i="3"/>
  <c r="U506" i="3"/>
  <c r="U532" i="3"/>
  <c r="U572" i="3"/>
  <c r="U611" i="3"/>
  <c r="U650" i="3"/>
  <c r="U71" i="3"/>
  <c r="U129" i="3"/>
  <c r="U143" i="3"/>
  <c r="U157" i="3"/>
  <c r="U171" i="3"/>
  <c r="U187" i="3"/>
  <c r="U75" i="3"/>
  <c r="U119" i="3"/>
  <c r="U163" i="3"/>
  <c r="U204" i="3"/>
  <c r="U243" i="3"/>
  <c r="U275" i="3"/>
  <c r="U307" i="3"/>
  <c r="U346" i="3"/>
  <c r="U376" i="3"/>
  <c r="U416" i="3"/>
  <c r="U444" i="3"/>
  <c r="U472" i="3"/>
  <c r="U508" i="3"/>
  <c r="U537" i="3"/>
  <c r="U573" i="3"/>
  <c r="U601" i="3"/>
  <c r="U630" i="3"/>
  <c r="U666" i="3"/>
  <c r="U44" i="3"/>
  <c r="U86" i="3"/>
  <c r="U130" i="3"/>
  <c r="U172" i="3"/>
  <c r="U205" i="3"/>
  <c r="U244" i="3"/>
  <c r="U276" i="3"/>
  <c r="U315" i="3"/>
  <c r="U347" i="3"/>
  <c r="U379" i="3"/>
  <c r="U417" i="3"/>
  <c r="U445" i="3"/>
  <c r="U481" i="3"/>
  <c r="U510" i="3"/>
  <c r="U538" i="3"/>
  <c r="U574" i="3"/>
  <c r="U602" i="3"/>
  <c r="U638" i="3"/>
  <c r="U667" i="3"/>
  <c r="U45" i="3"/>
  <c r="U87" i="3"/>
  <c r="U131" i="3"/>
  <c r="U175" i="3"/>
  <c r="U215" i="3"/>
  <c r="U247" i="3"/>
  <c r="U277" i="3"/>
  <c r="U316" i="3"/>
  <c r="U348" i="3"/>
  <c r="U387" i="3"/>
  <c r="U418" i="3"/>
  <c r="U446" i="3"/>
  <c r="U482" i="3"/>
  <c r="U511" i="3"/>
  <c r="U547" i="3"/>
  <c r="U575" i="3"/>
  <c r="U603" i="3"/>
  <c r="U639" i="3"/>
  <c r="U668" i="3"/>
  <c r="U46" i="3"/>
  <c r="U88" i="3"/>
  <c r="U132" i="3"/>
  <c r="U176" i="3"/>
  <c r="U216" i="3"/>
  <c r="U248" i="3"/>
  <c r="U287" i="3"/>
  <c r="U319" i="3"/>
  <c r="U349" i="3"/>
  <c r="U388" i="3"/>
  <c r="U419" i="3"/>
  <c r="U455" i="3"/>
  <c r="U483" i="3"/>
  <c r="U512" i="3"/>
  <c r="U548" i="3"/>
  <c r="U576" i="3"/>
  <c r="U612" i="3"/>
  <c r="U640" i="3"/>
  <c r="U669" i="3"/>
  <c r="U47" i="3"/>
  <c r="U91" i="3"/>
  <c r="U133" i="3"/>
  <c r="U177" i="3"/>
  <c r="U217" i="3"/>
  <c r="U249" i="3"/>
  <c r="U288" i="3"/>
  <c r="U320" i="3"/>
  <c r="U359" i="3"/>
  <c r="U391" i="3"/>
  <c r="U420" i="3"/>
  <c r="U456" i="3"/>
  <c r="U484" i="3"/>
  <c r="U520" i="3"/>
  <c r="U549" i="3"/>
  <c r="U577" i="3"/>
  <c r="U613" i="3"/>
  <c r="U642" i="3"/>
  <c r="U678" i="3"/>
  <c r="U58" i="3"/>
  <c r="U100" i="3"/>
  <c r="U144" i="3"/>
  <c r="U188" i="3"/>
  <c r="U218" i="3"/>
  <c r="U259" i="3"/>
  <c r="U321" i="3"/>
  <c r="U360" i="3"/>
  <c r="U392" i="3"/>
  <c r="U61" i="3"/>
  <c r="U105" i="3"/>
  <c r="U147" i="3"/>
  <c r="U191" i="3"/>
  <c r="U230" i="3"/>
  <c r="U262" i="3"/>
  <c r="U301" i="3"/>
  <c r="U333" i="3"/>
  <c r="U363" i="3"/>
  <c r="U404" i="3"/>
  <c r="U432" i="3"/>
  <c r="U468" i="3"/>
  <c r="U496" i="3"/>
  <c r="U525" i="3"/>
  <c r="U561" i="3"/>
  <c r="U589" i="3"/>
  <c r="U625" i="3"/>
  <c r="U654" i="3"/>
  <c r="U682" i="3"/>
  <c r="U72" i="3"/>
  <c r="U116" i="3"/>
  <c r="U158" i="3"/>
  <c r="U201" i="3"/>
  <c r="U231" i="3"/>
  <c r="U263" i="3"/>
  <c r="U302" i="3"/>
  <c r="U334" i="3"/>
  <c r="U373" i="3"/>
  <c r="U405" i="3"/>
  <c r="U433" i="3"/>
  <c r="U469" i="3"/>
  <c r="U498" i="3"/>
  <c r="U534" i="3"/>
  <c r="U562" i="3"/>
  <c r="U590" i="3"/>
  <c r="U626" i="3"/>
  <c r="U655" i="3"/>
  <c r="U73" i="3"/>
  <c r="U117" i="3"/>
  <c r="U159" i="3"/>
  <c r="U202" i="3"/>
  <c r="U232" i="3"/>
  <c r="U273" i="3"/>
  <c r="U203" i="3"/>
  <c r="U331" i="3"/>
  <c r="U429" i="3"/>
  <c r="U495" i="3"/>
  <c r="U564" i="3"/>
  <c r="U651" i="3"/>
  <c r="U486" i="3"/>
  <c r="U407" i="3"/>
  <c r="U563" i="3"/>
  <c r="U59" i="3"/>
  <c r="U219" i="3"/>
  <c r="U332" i="3"/>
  <c r="U430" i="3"/>
  <c r="U499" i="3"/>
  <c r="U586" i="3"/>
  <c r="U652" i="3"/>
  <c r="U406" i="3"/>
  <c r="U628" i="3"/>
  <c r="U304" i="3"/>
  <c r="U643" i="3"/>
  <c r="U60" i="3"/>
  <c r="U229" i="3"/>
  <c r="U335" i="3"/>
  <c r="U431" i="3"/>
  <c r="U507" i="3"/>
  <c r="U587" i="3"/>
  <c r="U656" i="3"/>
  <c r="U74" i="3"/>
  <c r="U235" i="3"/>
  <c r="U345" i="3"/>
  <c r="U442" i="3"/>
  <c r="U522" i="3"/>
  <c r="U588" i="3"/>
  <c r="U664" i="3"/>
  <c r="U103" i="3"/>
  <c r="U260" i="3"/>
  <c r="U361" i="3"/>
  <c r="U443" i="3"/>
  <c r="U523" i="3"/>
  <c r="U599" i="3"/>
  <c r="U679" i="3"/>
  <c r="U104" i="3"/>
  <c r="U261" i="3"/>
  <c r="U362" i="3"/>
  <c r="U457" i="3"/>
  <c r="U524" i="3"/>
  <c r="U600" i="3"/>
  <c r="U680" i="3"/>
  <c r="U118" i="3"/>
  <c r="U274" i="3"/>
  <c r="U374" i="3"/>
  <c r="U458" i="3"/>
  <c r="U535" i="3"/>
  <c r="U614" i="3"/>
  <c r="U681" i="3"/>
  <c r="U145" i="3"/>
  <c r="U289" i="3"/>
  <c r="U375" i="3"/>
  <c r="U459" i="3"/>
  <c r="U536" i="3"/>
  <c r="U615" i="3"/>
  <c r="U146" i="3"/>
  <c r="U290" i="3"/>
  <c r="U393" i="3"/>
  <c r="U470" i="3"/>
  <c r="U550" i="3"/>
  <c r="U616" i="3"/>
  <c r="U160" i="3"/>
  <c r="U291" i="3"/>
  <c r="U403" i="3"/>
  <c r="U471" i="3"/>
  <c r="U551" i="3"/>
  <c r="U627" i="3"/>
  <c r="U303" i="3"/>
  <c r="U560" i="3"/>
  <c r="U190" i="3"/>
  <c r="U494" i="3"/>
  <c r="U189" i="3"/>
  <c r="BM19" i="6" a="1"/>
  <c r="BM19" i="6" s="1"/>
  <c r="E251" i="7" a="1"/>
  <c r="E251" i="7" s="1"/>
  <c r="C251" i="7" s="1"/>
  <c r="D251" i="7" s="1"/>
  <c r="E20" i="7"/>
  <c r="G20" i="7" s="1"/>
  <c r="E21" i="7"/>
  <c r="G21" i="7" s="1"/>
  <c r="E22" i="7"/>
  <c r="G22" i="7" s="1"/>
  <c r="E23" i="7"/>
  <c r="G23" i="7" s="1"/>
  <c r="E24" i="7"/>
  <c r="G24" i="7" s="1"/>
  <c r="E25" i="7"/>
  <c r="G25" i="7" s="1"/>
  <c r="E26" i="7"/>
  <c r="G26" i="7" s="1"/>
  <c r="E27" i="7"/>
  <c r="G27" i="7" s="1"/>
  <c r="E28" i="7"/>
  <c r="G28" i="7" s="1"/>
  <c r="E29" i="7"/>
  <c r="G29" i="7" s="1"/>
  <c r="E30" i="7"/>
  <c r="G30" i="7" s="1"/>
  <c r="E31" i="7"/>
  <c r="G31" i="7" s="1"/>
  <c r="E32" i="7"/>
  <c r="G32" i="7" s="1"/>
  <c r="E19" i="7"/>
  <c r="G19" i="7" s="1"/>
  <c r="D190" i="7" a="1"/>
  <c r="D190" i="7" l="1"/>
  <c r="C263" i="7"/>
  <c r="C259" i="7"/>
  <c r="C258" i="7"/>
  <c r="C257" i="7"/>
  <c r="C256" i="7"/>
  <c r="C262" i="7"/>
  <c r="C261" i="7"/>
  <c r="C260" i="7"/>
  <c r="C255" i="7"/>
  <c r="C254" i="7"/>
  <c r="C253" i="7"/>
  <c r="C264" i="7"/>
  <c r="C252" i="7"/>
  <c r="D252" i="7" s="1"/>
  <c r="O54" i="7" a="1"/>
  <c r="H59" i="7" a="1"/>
  <c r="K52" i="7" a="1"/>
  <c r="E62" i="7" a="1"/>
  <c r="L60" i="7" a="1"/>
  <c r="Q64" i="7" a="1"/>
  <c r="E55" i="7" a="1"/>
  <c r="D57" i="7" a="1"/>
  <c r="Q57" i="7" a="1"/>
  <c r="K60" i="7" a="1"/>
  <c r="F60" i="7" a="1"/>
  <c r="H54" i="7" a="1"/>
  <c r="F64" i="7" a="1"/>
  <c r="G53" i="7" a="1"/>
  <c r="G55" i="7" a="1"/>
  <c r="M56" i="7" a="1"/>
  <c r="O56" i="7" a="1"/>
  <c r="E59" i="7" a="1"/>
  <c r="D63" i="7" a="1"/>
  <c r="E52" i="7" a="1"/>
  <c r="E56" i="7" a="1"/>
  <c r="J58" i="7" a="1"/>
  <c r="K59" i="7" a="1"/>
  <c r="I55" i="7" a="1"/>
  <c r="H56" i="7" a="1"/>
  <c r="E64" i="7" a="1"/>
  <c r="O61" i="7" a="1"/>
  <c r="F54" i="7" a="1"/>
  <c r="G58" i="7" a="1"/>
  <c r="G62" i="7" a="1"/>
  <c r="J61" i="7" a="1"/>
  <c r="P54" i="7" a="1"/>
  <c r="H64" i="7" a="1"/>
  <c r="K54" i="7" a="1"/>
  <c r="I52" i="7" a="1"/>
  <c r="P63" i="7" a="1"/>
  <c r="N61" i="7" a="1"/>
  <c r="K51" i="7" a="1"/>
  <c r="J62" i="7" a="1"/>
  <c r="E54" i="7" a="1"/>
  <c r="P57" i="7" a="1"/>
  <c r="D52" i="7" a="1"/>
  <c r="E53" i="7" a="1"/>
  <c r="L57" i="7" a="1"/>
  <c r="G51" i="7" a="1"/>
  <c r="I60" i="7" a="1"/>
  <c r="F61" i="7" a="1"/>
  <c r="N63" i="7" a="1"/>
  <c r="I53" i="7" a="1"/>
  <c r="G59" i="7" a="1"/>
  <c r="M55" i="7" a="1"/>
  <c r="N58" i="7" a="1"/>
  <c r="L61" i="7" a="1"/>
  <c r="H61" i="7" a="1"/>
  <c r="J51" i="7" a="1"/>
  <c r="G61" i="7" a="1"/>
  <c r="Q51" i="7" a="1"/>
  <c r="H55" i="7" a="1"/>
  <c r="M54" i="7" a="1"/>
  <c r="M58" i="7" a="1"/>
  <c r="Q63" i="7" a="1"/>
  <c r="D62" i="7" a="1"/>
  <c r="M64" i="7" a="1"/>
  <c r="P64" i="7" a="1"/>
  <c r="Q53" i="7" a="1"/>
  <c r="O59" i="7" a="1"/>
  <c r="N56" i="7" a="1"/>
  <c r="O58" i="7" a="1"/>
  <c r="N60" i="7" a="1"/>
  <c r="J59" i="7" a="1"/>
  <c r="K63" i="7" a="1"/>
  <c r="N53" i="7" a="1"/>
  <c r="D58" i="7" a="1"/>
  <c r="E57" i="7" a="1"/>
  <c r="P58" i="7" a="1"/>
  <c r="M63" i="7" a="1"/>
  <c r="L54" i="7" a="1"/>
  <c r="F56" i="7" a="1"/>
  <c r="L59" i="7" a="1"/>
  <c r="G54" i="7" a="1"/>
  <c r="I62" i="7" a="1"/>
  <c r="D59" i="7" a="1"/>
  <c r="P51" i="7" a="1"/>
  <c r="D56" i="7" a="1"/>
  <c r="H51" i="7" a="1"/>
  <c r="N54" i="7" a="1"/>
  <c r="F51" i="7" a="1"/>
  <c r="P60" i="7" a="1"/>
  <c r="H53" i="7" a="1"/>
  <c r="H63" i="7" a="1"/>
  <c r="M52" i="7" a="1"/>
  <c r="P62" i="7" a="1"/>
  <c r="J64" i="7" a="1"/>
  <c r="L53" i="7" a="1"/>
  <c r="K61" i="7" a="1"/>
  <c r="Q56" i="7" a="1"/>
  <c r="J60" i="7" a="1"/>
  <c r="H60" i="7" a="1"/>
  <c r="L52" i="7" a="1"/>
  <c r="E63" i="7" a="1"/>
  <c r="G52" i="7" a="1"/>
  <c r="M51" i="7" a="1"/>
  <c r="L55" i="7" a="1"/>
  <c r="F58" i="7" a="1"/>
  <c r="L56" i="7" a="1"/>
  <c r="I63" i="7" a="1"/>
  <c r="D53" i="7" a="1"/>
  <c r="K53" i="7" a="1"/>
  <c r="N55" i="7" a="1"/>
  <c r="I56" i="7" a="1"/>
  <c r="F59" i="7" a="1"/>
  <c r="D60" i="7" a="1"/>
  <c r="Q61" i="7" a="1"/>
  <c r="Q62" i="7" a="1"/>
  <c r="G64" i="7" a="1"/>
  <c r="J54" i="7" a="1"/>
  <c r="I51" i="7" a="1"/>
  <c r="N62" i="7" a="1"/>
  <c r="D64" i="7" a="1"/>
  <c r="O51" i="7" a="1"/>
  <c r="F55" i="7" a="1"/>
  <c r="G63" i="7" a="1"/>
  <c r="L58" i="7" a="1"/>
  <c r="M53" i="7" a="1"/>
  <c r="I61" i="7" a="1"/>
  <c r="F57" i="7" a="1"/>
  <c r="L63" i="7" a="1"/>
  <c r="P53" i="7" a="1"/>
  <c r="Q60" i="7" a="1"/>
  <c r="H57" i="7" a="1"/>
  <c r="P59" i="7" a="1"/>
  <c r="E60" i="7" a="1"/>
  <c r="O62" i="7" a="1"/>
  <c r="J63" i="7" a="1"/>
  <c r="K62" i="7" a="1"/>
  <c r="P52" i="7" a="1"/>
  <c r="K55" i="7" a="1"/>
  <c r="O55" i="7" a="1"/>
  <c r="Q55" i="7" a="1"/>
  <c r="J55" i="7" a="1"/>
  <c r="L62" i="7" a="1"/>
  <c r="D55" i="7" a="1"/>
  <c r="I54" i="7" a="1"/>
  <c r="Q52" i="7" a="1"/>
  <c r="I59" i="7" a="1"/>
  <c r="M61" i="7" a="1"/>
  <c r="O57" i="7" a="1"/>
  <c r="E51" i="7" a="1"/>
  <c r="D54" i="7" a="1"/>
  <c r="E58" i="7" a="1"/>
  <c r="J57" i="7" a="1"/>
  <c r="G60" i="7" a="1"/>
  <c r="N52" i="7" a="1"/>
  <c r="Q58" i="7" a="1"/>
  <c r="J52" i="7" a="1"/>
  <c r="I57" i="7" a="1"/>
  <c r="M60" i="7" a="1"/>
  <c r="K56" i="7" a="1"/>
  <c r="D61" i="7" a="1"/>
  <c r="L64" i="7" a="1"/>
  <c r="O63" i="7" a="1"/>
  <c r="J53" i="7" a="1"/>
  <c r="K57" i="7" a="1"/>
  <c r="P56" i="7" a="1"/>
  <c r="M57" i="7" a="1"/>
  <c r="M59" i="7" a="1"/>
  <c r="N57" i="7" a="1"/>
  <c r="P61" i="7" a="1"/>
  <c r="F52" i="7" a="1"/>
  <c r="L51" i="7" a="1"/>
  <c r="Q54" i="7" a="1"/>
  <c r="I64" i="7" a="1"/>
  <c r="I58" i="7" a="1"/>
  <c r="G56" i="7" a="1"/>
  <c r="K58" i="7" a="1"/>
  <c r="D51" i="7" a="1"/>
  <c r="H62" i="7" a="1"/>
  <c r="O64" i="7" a="1"/>
  <c r="O53" i="7" a="1"/>
  <c r="G57" i="7" a="1"/>
  <c r="N64" i="7" a="1"/>
  <c r="N59" i="7" a="1"/>
  <c r="O52" i="7" a="1"/>
  <c r="F53" i="7" a="1"/>
  <c r="E61" i="7" a="1"/>
  <c r="P55" i="7" a="1"/>
  <c r="Q59" i="7" a="1"/>
  <c r="H58" i="7" a="1"/>
  <c r="F63" i="7" a="1"/>
  <c r="H52" i="7" a="1"/>
  <c r="N51" i="7" a="1"/>
  <c r="F62" i="7" a="1"/>
  <c r="O60" i="7" a="1"/>
  <c r="M62" i="7" a="1"/>
  <c r="J56" i="7" a="1"/>
  <c r="K64" i="7" a="1"/>
  <c r="K64" i="7" l="1"/>
  <c r="J56" i="7"/>
  <c r="M62" i="7"/>
  <c r="O60" i="7"/>
  <c r="F62" i="7"/>
  <c r="N51" i="7"/>
  <c r="H52" i="7"/>
  <c r="F63" i="7"/>
  <c r="H58" i="7"/>
  <c r="Q59" i="7"/>
  <c r="P55" i="7"/>
  <c r="E61" i="7"/>
  <c r="F53" i="7"/>
  <c r="O52" i="7"/>
  <c r="N59" i="7"/>
  <c r="N64" i="7"/>
  <c r="G57" i="7"/>
  <c r="O53" i="7"/>
  <c r="O64" i="7"/>
  <c r="H62" i="7"/>
  <c r="D51" i="7"/>
  <c r="K58" i="7"/>
  <c r="G56" i="7"/>
  <c r="I58" i="7"/>
  <c r="I64" i="7"/>
  <c r="Q54" i="7"/>
  <c r="L51" i="7"/>
  <c r="F52" i="7"/>
  <c r="P61" i="7"/>
  <c r="N57" i="7"/>
  <c r="M59" i="7"/>
  <c r="M57" i="7"/>
  <c r="P56" i="7"/>
  <c r="K57" i="7"/>
  <c r="J53" i="7"/>
  <c r="O63" i="7"/>
  <c r="L64" i="7"/>
  <c r="D61" i="7"/>
  <c r="K56" i="7"/>
  <c r="M60" i="7"/>
  <c r="I57" i="7"/>
  <c r="J52" i="7"/>
  <c r="Q58" i="7"/>
  <c r="N52" i="7"/>
  <c r="G60" i="7"/>
  <c r="J57" i="7"/>
  <c r="E58" i="7"/>
  <c r="D54" i="7"/>
  <c r="E51" i="7"/>
  <c r="O57" i="7"/>
  <c r="M61" i="7"/>
  <c r="I59" i="7"/>
  <c r="Q52" i="7"/>
  <c r="I54" i="7"/>
  <c r="D55" i="7"/>
  <c r="L62" i="7"/>
  <c r="J55" i="7"/>
  <c r="Q55" i="7"/>
  <c r="O55" i="7"/>
  <c r="K55" i="7"/>
  <c r="P52" i="7"/>
  <c r="K62" i="7"/>
  <c r="J63" i="7"/>
  <c r="O62" i="7"/>
  <c r="E60" i="7"/>
  <c r="P59" i="7"/>
  <c r="H57" i="7"/>
  <c r="Q60" i="7"/>
  <c r="P53" i="7"/>
  <c r="L63" i="7"/>
  <c r="F57" i="7"/>
  <c r="I61" i="7"/>
  <c r="M53" i="7"/>
  <c r="L58" i="7"/>
  <c r="G63" i="7"/>
  <c r="F55" i="7"/>
  <c r="O51" i="7"/>
  <c r="D64" i="7"/>
  <c r="N62" i="7"/>
  <c r="I51" i="7"/>
  <c r="J54" i="7"/>
  <c r="G64" i="7"/>
  <c r="Q62" i="7"/>
  <c r="Q61" i="7"/>
  <c r="D60" i="7"/>
  <c r="F59" i="7"/>
  <c r="I56" i="7"/>
  <c r="N55" i="7"/>
  <c r="K53" i="7"/>
  <c r="D53" i="7"/>
  <c r="I63" i="7"/>
  <c r="L56" i="7"/>
  <c r="F58" i="7"/>
  <c r="L55" i="7"/>
  <c r="M51" i="7"/>
  <c r="G52" i="7"/>
  <c r="E63" i="7"/>
  <c r="L52" i="7"/>
  <c r="H60" i="7"/>
  <c r="J60" i="7"/>
  <c r="Q56" i="7"/>
  <c r="K61" i="7"/>
  <c r="L53" i="7"/>
  <c r="J64" i="7"/>
  <c r="P62" i="7"/>
  <c r="M52" i="7"/>
  <c r="H63" i="7"/>
  <c r="H53" i="7"/>
  <c r="P60" i="7"/>
  <c r="F51" i="7"/>
  <c r="N54" i="7"/>
  <c r="H51" i="7"/>
  <c r="D56" i="7"/>
  <c r="P51" i="7"/>
  <c r="D59" i="7"/>
  <c r="I62" i="7"/>
  <c r="G54" i="7"/>
  <c r="L59" i="7"/>
  <c r="F56" i="7"/>
  <c r="L54" i="7"/>
  <c r="M63" i="7"/>
  <c r="P58" i="7"/>
  <c r="E57" i="7"/>
  <c r="D58" i="7"/>
  <c r="N53" i="7"/>
  <c r="K63" i="7"/>
  <c r="J59" i="7"/>
  <c r="N60" i="7"/>
  <c r="O58" i="7"/>
  <c r="N56" i="7"/>
  <c r="O59" i="7"/>
  <c r="Q53" i="7"/>
  <c r="P64" i="7"/>
  <c r="M64" i="7"/>
  <c r="D62" i="7"/>
  <c r="Q63" i="7"/>
  <c r="M58" i="7"/>
  <c r="M54" i="7"/>
  <c r="H55" i="7"/>
  <c r="Q51" i="7"/>
  <c r="G61" i="7"/>
  <c r="J51" i="7"/>
  <c r="H61" i="7"/>
  <c r="L61" i="7"/>
  <c r="N58" i="7"/>
  <c r="M55" i="7"/>
  <c r="G59" i="7"/>
  <c r="I53" i="7"/>
  <c r="N63" i="7"/>
  <c r="F61" i="7"/>
  <c r="I60" i="7"/>
  <c r="G51" i="7"/>
  <c r="L57" i="7"/>
  <c r="E53" i="7"/>
  <c r="D52" i="7"/>
  <c r="P57" i="7"/>
  <c r="E54" i="7"/>
  <c r="J62" i="7"/>
  <c r="K51" i="7"/>
  <c r="N61" i="7"/>
  <c r="P63" i="7"/>
  <c r="I52" i="7"/>
  <c r="K54" i="7"/>
  <c r="H64" i="7"/>
  <c r="P54" i="7"/>
  <c r="J61" i="7"/>
  <c r="G62" i="7"/>
  <c r="G58" i="7"/>
  <c r="F54" i="7"/>
  <c r="O61" i="7"/>
  <c r="E64" i="7"/>
  <c r="H56" i="7"/>
  <c r="I55" i="7"/>
  <c r="K59" i="7"/>
  <c r="J58" i="7"/>
  <c r="E56" i="7"/>
  <c r="E52" i="7"/>
  <c r="D63" i="7"/>
  <c r="E59" i="7"/>
  <c r="O56" i="7"/>
  <c r="M56" i="7"/>
  <c r="G55" i="7"/>
  <c r="G53" i="7"/>
  <c r="F64" i="7"/>
  <c r="H54" i="7"/>
  <c r="F60" i="7"/>
  <c r="K60" i="7"/>
  <c r="Q57" i="7"/>
  <c r="D57" i="7"/>
  <c r="E55" i="7"/>
  <c r="Q64" i="7"/>
  <c r="L60" i="7"/>
  <c r="E62" i="7"/>
  <c r="K52" i="7"/>
  <c r="H59" i="7"/>
  <c r="O54" i="7"/>
  <c r="D263" i="7"/>
  <c r="D264" i="7"/>
  <c r="D262" i="7"/>
  <c r="D254" i="7"/>
  <c r="D260" i="7"/>
  <c r="D261" i="7"/>
  <c r="D255" i="7"/>
  <c r="D256" i="7"/>
  <c r="D257" i="7"/>
  <c r="D258" i="7"/>
  <c r="D259" i="7"/>
  <c r="D253" i="7"/>
  <c r="D268" i="7" s="1"/>
  <c r="E278" i="7" s="1" a="1"/>
  <c r="E278" i="7" s="1"/>
  <c r="D267" i="7" l="1"/>
  <c r="E273" i="7" s="1" a="1"/>
  <c r="E273" i="7" s="1"/>
  <c r="H270" i="7"/>
  <c r="E270" i="7"/>
  <c r="E284" i="7" s="1" a="1"/>
  <c r="E284" i="7" s="1"/>
  <c r="D270" i="7"/>
  <c r="E283" i="7" s="1" a="1"/>
  <c r="E283" i="7" s="1"/>
  <c r="H267" i="7"/>
  <c r="E277" i="7" s="1" a="1"/>
  <c r="E277" i="7" s="1"/>
  <c r="E268" i="7"/>
  <c r="E279" i="7" s="1" a="1"/>
  <c r="E279" i="7" s="1"/>
  <c r="E269" i="7"/>
  <c r="E282" i="7" s="1" a="1"/>
  <c r="E282" i="7" s="1"/>
  <c r="F267" i="7"/>
  <c r="E275" i="7" s="1" a="1"/>
  <c r="E275" i="7" s="1"/>
  <c r="H269" i="7"/>
  <c r="E267" i="7"/>
  <c r="E274" i="7" s="1" a="1"/>
  <c r="E274" i="7" s="1"/>
  <c r="F270" i="7"/>
  <c r="E285" i="7" s="1" a="1"/>
  <c r="E285" i="7" s="1"/>
  <c r="H268" i="7"/>
  <c r="G268" i="7"/>
  <c r="F268" i="7"/>
  <c r="E280" i="7" s="1" a="1"/>
  <c r="E280" i="7" s="1"/>
  <c r="G267" i="7"/>
  <c r="E276" i="7" s="1" a="1"/>
  <c r="E276" i="7" s="1"/>
  <c r="G269" i="7"/>
  <c r="G270" i="7"/>
  <c r="E286" i="7" s="1" a="1"/>
  <c r="E286" i="7" s="1"/>
  <c r="F269" i="7"/>
  <c r="D269" i="7"/>
  <c r="E281" i="7" s="1" a="1"/>
  <c r="E281" i="7" s="1"/>
  <c r="E290" i="7" l="1" a="1"/>
  <c r="I100" i="7"/>
  <c r="L100" i="7" s="1"/>
  <c r="I101" i="7"/>
  <c r="L101" i="7" s="1"/>
  <c r="I102" i="7"/>
  <c r="L102" i="7" s="1"/>
  <c r="I103" i="7"/>
  <c r="L103" i="7" s="1"/>
  <c r="I104" i="7"/>
  <c r="L104" i="7" s="1"/>
  <c r="I105" i="7"/>
  <c r="L105" i="7" s="1"/>
  <c r="I106" i="7"/>
  <c r="I107" i="7"/>
  <c r="I108" i="7"/>
  <c r="L108" i="7" s="1"/>
  <c r="I109" i="7"/>
  <c r="L109" i="7" s="1"/>
  <c r="I110" i="7"/>
  <c r="L110" i="7" s="1"/>
  <c r="I111" i="7"/>
  <c r="L111" i="7" s="1"/>
  <c r="I112" i="7"/>
  <c r="L112" i="7" s="1"/>
  <c r="I113" i="7"/>
  <c r="L113" i="7" s="1"/>
  <c r="I114" i="7"/>
  <c r="L114" i="7" s="1"/>
  <c r="I115" i="7"/>
  <c r="L115" i="7" s="1"/>
  <c r="I116" i="7"/>
  <c r="L116" i="7" s="1"/>
  <c r="I117" i="7"/>
  <c r="L117" i="7" s="1"/>
  <c r="I118" i="7"/>
  <c r="L118" i="7" s="1"/>
  <c r="I119" i="7"/>
  <c r="L119" i="7" s="1"/>
  <c r="I120" i="7"/>
  <c r="L120" i="7" s="1"/>
  <c r="I121" i="7"/>
  <c r="L121" i="7" s="1"/>
  <c r="I122" i="7"/>
  <c r="L122" i="7" s="1"/>
  <c r="I123" i="7"/>
  <c r="L123" i="7" s="1"/>
  <c r="I124" i="7"/>
  <c r="L124" i="7" s="1"/>
  <c r="I125" i="7"/>
  <c r="L125" i="7" s="1"/>
  <c r="I126" i="7"/>
  <c r="L126" i="7" s="1"/>
  <c r="I127" i="7"/>
  <c r="L127" i="7" s="1"/>
  <c r="I128" i="7"/>
  <c r="I129" i="7"/>
  <c r="L129" i="7" s="1"/>
  <c r="I130" i="7"/>
  <c r="I131" i="7"/>
  <c r="L131" i="7" s="1"/>
  <c r="I132" i="7"/>
  <c r="I133" i="7"/>
  <c r="L133" i="7" s="1"/>
  <c r="I134" i="7"/>
  <c r="L134" i="7" s="1"/>
  <c r="I135" i="7"/>
  <c r="I136" i="7"/>
  <c r="L136" i="7" s="1"/>
  <c r="I137" i="7"/>
  <c r="L137" i="7" s="1"/>
  <c r="I138" i="7"/>
  <c r="L138" i="7" s="1"/>
  <c r="I139" i="7"/>
  <c r="L139" i="7" s="1"/>
  <c r="I140" i="7"/>
  <c r="L140" i="7" s="1"/>
  <c r="I141" i="7"/>
  <c r="L141" i="7" s="1"/>
  <c r="I142" i="7"/>
  <c r="L142" i="7" s="1"/>
  <c r="I143" i="7"/>
  <c r="L143" i="7" s="1"/>
  <c r="I144" i="7"/>
  <c r="L144" i="7" s="1"/>
  <c r="I145" i="7"/>
  <c r="L145" i="7" s="1"/>
  <c r="I146" i="7"/>
  <c r="I147" i="7"/>
  <c r="I148" i="7"/>
  <c r="L148" i="7" s="1"/>
  <c r="I149" i="7"/>
  <c r="L149" i="7" s="1"/>
  <c r="C67" i="7" a="1"/>
  <c r="C67" i="7" s="1"/>
  <c r="D301" i="7" l="1"/>
  <c r="D303" i="7"/>
  <c r="D302" i="7"/>
  <c r="E67" i="7" a="1"/>
  <c r="E67" i="7" s="1"/>
  <c r="C323" i="7" a="1"/>
  <c r="C323" i="7" s="1"/>
  <c r="J6" i="6" s="1"/>
  <c r="E290" i="7"/>
  <c r="D291" i="7"/>
  <c r="D293" i="7"/>
  <c r="D295" i="7"/>
  <c r="D294" i="7"/>
  <c r="D297" i="7"/>
  <c r="D298" i="7"/>
  <c r="D299" i="7"/>
  <c r="D300" i="7"/>
  <c r="D292" i="7"/>
  <c r="D296" i="7"/>
  <c r="L135" i="7"/>
  <c r="L147" i="7"/>
  <c r="L146" i="7"/>
  <c r="L107" i="7"/>
  <c r="L130" i="7"/>
  <c r="L106" i="7"/>
  <c r="L132" i="7"/>
  <c r="L128" i="7"/>
  <c r="D290" i="7" l="1"/>
  <c r="I215" i="7" a="1"/>
  <c r="I215" i="7" s="1"/>
  <c r="J215" i="7" a="1"/>
  <c r="J215" i="7" s="1"/>
  <c r="K215" i="7" a="1"/>
  <c r="K215" i="7" s="1"/>
  <c r="L215" i="7" a="1"/>
  <c r="L215" i="7" s="1"/>
  <c r="M215" i="7" a="1"/>
  <c r="M215" i="7" s="1"/>
  <c r="N215" i="7" a="1"/>
  <c r="N215" i="7" s="1"/>
  <c r="O215" i="7" a="1"/>
  <c r="O215" i="7" s="1"/>
  <c r="P215" i="7" a="1"/>
  <c r="P215" i="7" s="1"/>
  <c r="Q215" i="7" a="1"/>
  <c r="Q215" i="7" s="1"/>
  <c r="R215" i="7" a="1"/>
  <c r="R215" i="7" s="1"/>
  <c r="S215" i="7" a="1"/>
  <c r="S215" i="7" s="1"/>
  <c r="T215" i="7" a="1"/>
  <c r="T215" i="7" s="1"/>
  <c r="U215" i="7" a="1"/>
  <c r="U215" i="7" s="1"/>
  <c r="V215" i="7" a="1"/>
  <c r="V215" i="7" s="1"/>
  <c r="W215" i="7" a="1"/>
  <c r="W215" i="7" s="1"/>
  <c r="X215" i="7" a="1"/>
  <c r="X215" i="7" s="1"/>
  <c r="Y215" i="7" a="1"/>
  <c r="Y215" i="7" s="1"/>
  <c r="I218" i="7" a="1"/>
  <c r="I218" i="7" s="1"/>
  <c r="J218" i="7" a="1"/>
  <c r="J218" i="7" s="1"/>
  <c r="K218" i="7" a="1"/>
  <c r="K218" i="7" s="1"/>
  <c r="L218" i="7" a="1"/>
  <c r="L218" i="7" s="1"/>
  <c r="M218" i="7" a="1"/>
  <c r="M218" i="7" s="1"/>
  <c r="N218" i="7" a="1"/>
  <c r="N218" i="7" s="1"/>
  <c r="O218" i="7" a="1"/>
  <c r="O218" i="7" s="1"/>
  <c r="P218" i="7" a="1"/>
  <c r="P218" i="7" s="1"/>
  <c r="Q218" i="7" a="1"/>
  <c r="Q218" i="7" s="1"/>
  <c r="R218" i="7" a="1"/>
  <c r="R218" i="7" s="1"/>
  <c r="S218" i="7" a="1"/>
  <c r="S218" i="7" s="1"/>
  <c r="T218" i="7" a="1"/>
  <c r="T218" i="7" s="1"/>
  <c r="U218" i="7" a="1"/>
  <c r="U218" i="7" s="1"/>
  <c r="V218" i="7" a="1"/>
  <c r="V218" i="7" s="1"/>
  <c r="W218" i="7" a="1"/>
  <c r="W218" i="7" s="1"/>
  <c r="X218" i="7" a="1"/>
  <c r="X218" i="7" s="1"/>
  <c r="Y218" i="7" a="1"/>
  <c r="Y218" i="7" s="1"/>
  <c r="G219" i="7"/>
  <c r="G220" i="7"/>
  <c r="G224" i="7"/>
  <c r="G226" i="7"/>
  <c r="D248" i="7"/>
  <c r="C234" i="7" a="1"/>
  <c r="C234" i="7" s="1"/>
  <c r="D234" i="7" s="1"/>
  <c r="J224" i="7" a="1"/>
  <c r="P219" i="7" a="1"/>
  <c r="P219" i="7" l="1"/>
  <c r="J224" i="7"/>
  <c r="J140" i="7"/>
  <c r="J133" i="7"/>
  <c r="J122" i="7"/>
  <c r="J124" i="7"/>
  <c r="J113" i="7"/>
  <c r="J100" i="7"/>
  <c r="J104" i="7"/>
  <c r="J137" i="7"/>
  <c r="W220" i="7" a="1"/>
  <c r="J226" i="7" a="1"/>
  <c r="Q220" i="7" a="1"/>
  <c r="X224" i="7" a="1"/>
  <c r="L226" i="7" a="1"/>
  <c r="K226" i="7" a="1"/>
  <c r="I220" i="7" a="1"/>
  <c r="K224" i="7" a="1"/>
  <c r="S219" i="7" a="1"/>
  <c r="T226" i="7" a="1"/>
  <c r="N226" i="7" a="1"/>
  <c r="Y220" i="7" a="1"/>
  <c r="S224" i="7" a="1"/>
  <c r="L219" i="7" a="1"/>
  <c r="V219" i="7" a="1"/>
  <c r="M220" i="7" a="1"/>
  <c r="T219" i="7" a="1"/>
  <c r="Q226" i="7" a="1"/>
  <c r="M226" i="7" a="1"/>
  <c r="X226" i="7" a="1"/>
  <c r="M224" i="7" a="1"/>
  <c r="W219" i="7" a="1"/>
  <c r="U226" i="7" a="1"/>
  <c r="Y226" i="7" a="1"/>
  <c r="P220" i="7" a="1"/>
  <c r="P224" i="7" a="1"/>
  <c r="O219" i="7" a="1"/>
  <c r="X220" i="7" a="1"/>
  <c r="X219" i="7" a="1"/>
  <c r="U224" i="7" a="1"/>
  <c r="K219" i="7" a="1"/>
  <c r="V226" i="7" a="1"/>
  <c r="J220" i="7" a="1"/>
  <c r="T224" i="7" a="1"/>
  <c r="R219" i="7" a="1"/>
  <c r="Y219" i="7" a="1"/>
  <c r="P226" i="7" a="1"/>
  <c r="R220" i="7" a="1"/>
  <c r="T220" i="7" a="1"/>
  <c r="U219" i="7" a="1"/>
  <c r="I226" i="7" a="1"/>
  <c r="K220" i="7" a="1"/>
  <c r="U220" i="7" a="1"/>
  <c r="I224" i="7" a="1"/>
  <c r="I219" i="7" a="1"/>
  <c r="N224" i="7" a="1"/>
  <c r="Y224" i="7" a="1"/>
  <c r="L224" i="7" a="1"/>
  <c r="N219" i="7" a="1"/>
  <c r="R226" i="7" a="1"/>
  <c r="S220" i="7" a="1"/>
  <c r="Q219" i="7" a="1"/>
  <c r="S226" i="7" a="1"/>
  <c r="L220" i="7" a="1"/>
  <c r="V224" i="7" a="1"/>
  <c r="J219" i="7" a="1"/>
  <c r="R224" i="7" a="1"/>
  <c r="W226" i="7" a="1"/>
  <c r="V220" i="7" a="1"/>
  <c r="O224" i="7" a="1"/>
  <c r="Q224" i="7" a="1"/>
  <c r="M219" i="7" a="1"/>
  <c r="N220" i="7" a="1"/>
  <c r="O226" i="7" a="1"/>
  <c r="O220" i="7" a="1"/>
  <c r="W224" i="7" a="1"/>
  <c r="W224" i="7" l="1"/>
  <c r="O220" i="7"/>
  <c r="O226" i="7"/>
  <c r="N220" i="7"/>
  <c r="M219" i="7"/>
  <c r="Q224" i="7"/>
  <c r="O224" i="7"/>
  <c r="V220" i="7"/>
  <c r="W226" i="7"/>
  <c r="R224" i="7"/>
  <c r="J219" i="7"/>
  <c r="V224" i="7"/>
  <c r="L220" i="7"/>
  <c r="S226" i="7"/>
  <c r="Q219" i="7"/>
  <c r="S220" i="7"/>
  <c r="R226" i="7"/>
  <c r="N219" i="7"/>
  <c r="L224" i="7"/>
  <c r="Y224" i="7"/>
  <c r="N224" i="7"/>
  <c r="I219" i="7"/>
  <c r="J103" i="7" s="1"/>
  <c r="I224" i="7"/>
  <c r="J146" i="7" s="1"/>
  <c r="U220" i="7"/>
  <c r="K220" i="7"/>
  <c r="I226" i="7"/>
  <c r="J135" i="7" s="1"/>
  <c r="U219" i="7"/>
  <c r="T220" i="7"/>
  <c r="R220" i="7"/>
  <c r="P226" i="7"/>
  <c r="Y219" i="7"/>
  <c r="R219" i="7"/>
  <c r="T224" i="7"/>
  <c r="J220" i="7"/>
  <c r="V226" i="7"/>
  <c r="K219" i="7"/>
  <c r="U224" i="7"/>
  <c r="X219" i="7"/>
  <c r="X220" i="7"/>
  <c r="O219" i="7"/>
  <c r="P224" i="7"/>
  <c r="P220" i="7"/>
  <c r="Y226" i="7"/>
  <c r="U226" i="7"/>
  <c r="W219" i="7"/>
  <c r="M224" i="7"/>
  <c r="X226" i="7"/>
  <c r="M226" i="7"/>
  <c r="Q226" i="7"/>
  <c r="T219" i="7"/>
  <c r="M220" i="7"/>
  <c r="V219" i="7"/>
  <c r="L219" i="7"/>
  <c r="S224" i="7"/>
  <c r="Y220" i="7"/>
  <c r="N226" i="7"/>
  <c r="T226" i="7"/>
  <c r="S219" i="7"/>
  <c r="K224" i="7"/>
  <c r="I220" i="7"/>
  <c r="J117" i="7" s="1"/>
  <c r="K226" i="7"/>
  <c r="L226" i="7"/>
  <c r="X224" i="7"/>
  <c r="Q220" i="7"/>
  <c r="J226" i="7"/>
  <c r="W220" i="7"/>
  <c r="J127" i="7"/>
  <c r="AX4" i="6"/>
  <c r="J141" i="7" l="1"/>
  <c r="J107" i="7"/>
  <c r="J142" i="7"/>
  <c r="J108" i="7"/>
  <c r="J128" i="7"/>
  <c r="J130" i="7"/>
  <c r="J148" i="7"/>
  <c r="J116" i="7"/>
  <c r="BH19" i="6" a="1"/>
  <c r="BD19" i="6" a="1"/>
  <c r="BD20" i="6" s="1"/>
  <c r="AB6" i="6"/>
  <c r="Z6" i="6"/>
  <c r="X6" i="6"/>
  <c r="V6" i="6"/>
  <c r="T6" i="6"/>
  <c r="R6" i="6"/>
  <c r="P6" i="6"/>
  <c r="N6" i="6"/>
  <c r="H6" i="6"/>
  <c r="F6" i="6"/>
  <c r="D6" i="6"/>
  <c r="D180" i="7"/>
  <c r="C199" i="7"/>
  <c r="E210" i="7"/>
  <c r="AV4" i="6"/>
  <c r="K133" i="7"/>
  <c r="K113" i="7"/>
  <c r="K140" i="7"/>
  <c r="K142" i="7"/>
  <c r="K107" i="7"/>
  <c r="K135" i="7"/>
  <c r="K148" i="7"/>
  <c r="K128" i="7"/>
  <c r="K124" i="7"/>
  <c r="K130" i="7"/>
  <c r="K137" i="7"/>
  <c r="K146" i="7"/>
  <c r="K103" i="7"/>
  <c r="K116" i="7"/>
  <c r="K104" i="7"/>
  <c r="K100" i="7"/>
  <c r="K141" i="7"/>
  <c r="K108" i="7"/>
  <c r="AT4" i="6"/>
  <c r="K117" i="7"/>
  <c r="AR4" i="6"/>
  <c r="BH17" i="6"/>
  <c r="BI18" i="6"/>
  <c r="K127" i="7"/>
  <c r="K122" i="7"/>
  <c r="B6" i="6" l="1"/>
  <c r="G225" i="7"/>
  <c r="G223" i="7"/>
  <c r="G217" i="7"/>
  <c r="G216" i="7"/>
  <c r="D210" i="7"/>
  <c r="F209" i="7"/>
  <c r="F210" i="7" s="1"/>
  <c r="G252" i="7"/>
  <c r="BF20" i="6" s="1"/>
  <c r="BO20" i="6"/>
  <c r="I225" i="7"/>
  <c r="BH19" i="6"/>
  <c r="BJ20" i="6"/>
  <c r="BD31" i="6"/>
  <c r="BD29" i="6"/>
  <c r="BD28" i="6"/>
  <c r="BD27" i="6"/>
  <c r="BD26" i="6"/>
  <c r="BD25" i="6"/>
  <c r="BD30" i="6"/>
  <c r="BD23" i="6"/>
  <c r="BD24" i="6"/>
  <c r="BD22" i="6"/>
  <c r="BD19" i="6"/>
  <c r="BD21" i="6"/>
  <c r="BD32" i="6"/>
  <c r="G253" i="7" l="1"/>
  <c r="BF21" i="6" s="1"/>
  <c r="BO21" i="6"/>
  <c r="G251" i="7"/>
  <c r="BF19" i="6" s="1"/>
  <c r="BO19" i="6"/>
  <c r="G264" i="7"/>
  <c r="BF32" i="6" s="1"/>
  <c r="BO32" i="6"/>
  <c r="G256" i="7"/>
  <c r="BF24" i="6" s="1"/>
  <c r="BO24" i="6"/>
  <c r="G255" i="7"/>
  <c r="BF23" i="6" s="1"/>
  <c r="BO23" i="6"/>
  <c r="G262" i="7"/>
  <c r="BF30" i="6" s="1"/>
  <c r="BO30" i="6"/>
  <c r="G257" i="7"/>
  <c r="BF25" i="6" s="1"/>
  <c r="BO25" i="6"/>
  <c r="G258" i="7"/>
  <c r="BF26" i="6" s="1"/>
  <c r="BO26" i="6"/>
  <c r="G263" i="7"/>
  <c r="BF31" i="6" s="1"/>
  <c r="BO31" i="6"/>
  <c r="G259" i="7"/>
  <c r="BF27" i="6" s="1"/>
  <c r="BO27" i="6"/>
  <c r="G261" i="7"/>
  <c r="BF29" i="6" s="1"/>
  <c r="BO29" i="6"/>
  <c r="G254" i="7"/>
  <c r="BF22" i="6" s="1"/>
  <c r="BO22" i="6"/>
  <c r="G260" i="7"/>
  <c r="BF28" i="6" s="1"/>
  <c r="BO28" i="6"/>
  <c r="J121" i="7"/>
  <c r="J147" i="7"/>
  <c r="J132" i="7"/>
  <c r="J112" i="7"/>
  <c r="BJ22" i="6"/>
  <c r="BJ26" i="6"/>
  <c r="BJ24" i="6"/>
  <c r="BJ25" i="6"/>
  <c r="BJ27" i="6"/>
  <c r="BJ30" i="6"/>
  <c r="BJ23" i="6"/>
  <c r="BJ28" i="6"/>
  <c r="BJ29" i="6"/>
  <c r="BJ32" i="6"/>
  <c r="BJ31" i="6"/>
  <c r="BJ19" i="6"/>
  <c r="BJ21" i="6"/>
  <c r="D165" i="7"/>
  <c r="D164" i="7"/>
  <c r="CK35" i="3"/>
  <c r="CK36" i="3"/>
  <c r="CK37" i="3"/>
  <c r="CK38" i="3"/>
  <c r="CK39" i="3"/>
  <c r="CK40" i="3"/>
  <c r="CK41" i="3"/>
  <c r="CK42" i="3"/>
  <c r="CK43" i="3"/>
  <c r="CK44" i="3"/>
  <c r="CK45" i="3"/>
  <c r="CK46" i="3"/>
  <c r="CK47" i="3"/>
  <c r="CK48" i="3"/>
  <c r="CK49" i="3"/>
  <c r="CK50" i="3"/>
  <c r="CK51" i="3"/>
  <c r="CK52" i="3"/>
  <c r="CK53" i="3"/>
  <c r="CK54" i="3"/>
  <c r="CK55" i="3"/>
  <c r="CK56" i="3"/>
  <c r="CK57" i="3"/>
  <c r="CK58" i="3"/>
  <c r="CK59" i="3"/>
  <c r="CK60" i="3"/>
  <c r="CK61" i="3"/>
  <c r="CK62" i="3"/>
  <c r="CK63" i="3"/>
  <c r="CK64" i="3"/>
  <c r="CK65" i="3"/>
  <c r="CK66" i="3"/>
  <c r="CK67" i="3"/>
  <c r="CK68" i="3"/>
  <c r="CK69" i="3"/>
  <c r="CK70" i="3"/>
  <c r="CK71" i="3"/>
  <c r="CK72" i="3"/>
  <c r="CK73" i="3"/>
  <c r="CK74" i="3"/>
  <c r="CK75" i="3"/>
  <c r="CK76" i="3"/>
  <c r="CK77" i="3"/>
  <c r="CK78" i="3"/>
  <c r="CK79" i="3"/>
  <c r="CK80" i="3"/>
  <c r="CK81" i="3"/>
  <c r="CK82" i="3"/>
  <c r="CK83" i="3"/>
  <c r="CK84" i="3"/>
  <c r="CK85" i="3"/>
  <c r="CK86" i="3"/>
  <c r="CK87" i="3"/>
  <c r="CK88" i="3"/>
  <c r="CK89" i="3"/>
  <c r="CK90" i="3"/>
  <c r="CK91" i="3"/>
  <c r="CK92" i="3"/>
  <c r="CK93" i="3"/>
  <c r="CK94" i="3"/>
  <c r="CK95" i="3"/>
  <c r="CK96" i="3"/>
  <c r="CK97" i="3"/>
  <c r="CK98" i="3"/>
  <c r="CK99" i="3"/>
  <c r="CK100" i="3"/>
  <c r="CK101" i="3"/>
  <c r="CK102" i="3"/>
  <c r="CK103" i="3"/>
  <c r="CK104" i="3"/>
  <c r="CK105" i="3"/>
  <c r="CK106" i="3"/>
  <c r="CK107" i="3"/>
  <c r="CK108" i="3"/>
  <c r="CK109" i="3"/>
  <c r="CK110" i="3"/>
  <c r="CK111" i="3"/>
  <c r="CK112" i="3"/>
  <c r="CK113" i="3"/>
  <c r="CK114" i="3"/>
  <c r="CK115" i="3"/>
  <c r="CK116" i="3"/>
  <c r="CK117" i="3"/>
  <c r="CK118" i="3"/>
  <c r="CK119" i="3"/>
  <c r="CK120" i="3"/>
  <c r="CK121" i="3"/>
  <c r="CK122" i="3"/>
  <c r="CK123" i="3"/>
  <c r="CK124" i="3"/>
  <c r="CK125" i="3"/>
  <c r="CK126" i="3"/>
  <c r="CK127" i="3"/>
  <c r="CK128" i="3"/>
  <c r="CK129" i="3"/>
  <c r="CK130" i="3"/>
  <c r="CK131" i="3"/>
  <c r="CK132" i="3"/>
  <c r="CK133" i="3"/>
  <c r="CK134" i="3"/>
  <c r="CK135" i="3"/>
  <c r="CK136" i="3"/>
  <c r="CK137" i="3"/>
  <c r="CK138" i="3"/>
  <c r="CK139" i="3"/>
  <c r="CK140" i="3"/>
  <c r="CK141" i="3"/>
  <c r="CK142" i="3"/>
  <c r="CK143" i="3"/>
  <c r="CK144" i="3"/>
  <c r="CK145" i="3"/>
  <c r="CK146" i="3"/>
  <c r="CK147" i="3"/>
  <c r="CK148" i="3"/>
  <c r="CK149" i="3"/>
  <c r="CK150" i="3"/>
  <c r="CK151" i="3"/>
  <c r="CK152" i="3"/>
  <c r="CK153" i="3"/>
  <c r="CK154" i="3"/>
  <c r="CK155" i="3"/>
  <c r="CK156" i="3"/>
  <c r="CK157" i="3"/>
  <c r="CK158" i="3"/>
  <c r="CK159" i="3"/>
  <c r="CK160" i="3"/>
  <c r="CK161" i="3"/>
  <c r="CK162" i="3"/>
  <c r="CK163" i="3"/>
  <c r="CK164" i="3"/>
  <c r="CK165" i="3"/>
  <c r="CK166" i="3"/>
  <c r="CK167" i="3"/>
  <c r="CK168" i="3"/>
  <c r="CK169" i="3"/>
  <c r="CK170" i="3"/>
  <c r="CK171" i="3"/>
  <c r="CK172" i="3"/>
  <c r="CK173" i="3"/>
  <c r="CK174" i="3"/>
  <c r="CK175" i="3"/>
  <c r="CK176" i="3"/>
  <c r="CK177" i="3"/>
  <c r="CK178" i="3"/>
  <c r="CK179" i="3"/>
  <c r="CK180" i="3"/>
  <c r="CK181" i="3"/>
  <c r="CK182" i="3"/>
  <c r="CK183" i="3"/>
  <c r="CK184" i="3"/>
  <c r="CK185" i="3"/>
  <c r="CK186" i="3"/>
  <c r="CK187" i="3"/>
  <c r="CK188" i="3"/>
  <c r="CK189" i="3"/>
  <c r="CK190" i="3"/>
  <c r="CK191" i="3"/>
  <c r="CK192" i="3"/>
  <c r="CK193" i="3"/>
  <c r="CK194" i="3"/>
  <c r="CK195" i="3"/>
  <c r="CK196" i="3"/>
  <c r="CK197" i="3"/>
  <c r="CK198" i="3"/>
  <c r="CK199" i="3"/>
  <c r="CK200" i="3"/>
  <c r="CK201" i="3"/>
  <c r="CK202" i="3"/>
  <c r="CK203" i="3"/>
  <c r="CK204" i="3"/>
  <c r="CK205" i="3"/>
  <c r="CK206" i="3"/>
  <c r="CK207" i="3"/>
  <c r="CK208" i="3"/>
  <c r="CK209" i="3"/>
  <c r="CK210" i="3"/>
  <c r="CK211" i="3"/>
  <c r="CK212" i="3"/>
  <c r="CK213" i="3"/>
  <c r="CK214" i="3"/>
  <c r="CK215" i="3"/>
  <c r="CK216" i="3"/>
  <c r="CK217" i="3"/>
  <c r="CK218" i="3"/>
  <c r="CK219" i="3"/>
  <c r="CK220" i="3"/>
  <c r="CK221" i="3"/>
  <c r="CK222" i="3"/>
  <c r="CK223" i="3"/>
  <c r="CK224" i="3"/>
  <c r="CK225" i="3"/>
  <c r="CK226" i="3"/>
  <c r="CK227" i="3"/>
  <c r="CK228" i="3"/>
  <c r="CK229" i="3"/>
  <c r="CK230" i="3"/>
  <c r="CK231" i="3"/>
  <c r="CK232" i="3"/>
  <c r="CK233" i="3"/>
  <c r="CK234" i="3"/>
  <c r="CK235" i="3"/>
  <c r="CK236" i="3"/>
  <c r="CK237" i="3"/>
  <c r="CK238" i="3"/>
  <c r="CK239" i="3"/>
  <c r="CK240" i="3"/>
  <c r="CK241" i="3"/>
  <c r="CK242" i="3"/>
  <c r="CK243" i="3"/>
  <c r="CK244" i="3"/>
  <c r="CK245" i="3"/>
  <c r="CK246" i="3"/>
  <c r="CK247" i="3"/>
  <c r="CK248" i="3"/>
  <c r="CK249" i="3"/>
  <c r="CK250" i="3"/>
  <c r="CK251" i="3"/>
  <c r="CK252" i="3"/>
  <c r="CK253" i="3"/>
  <c r="CK254" i="3"/>
  <c r="CK255" i="3"/>
  <c r="CK256" i="3"/>
  <c r="CK257" i="3"/>
  <c r="CK258" i="3"/>
  <c r="CK259" i="3"/>
  <c r="CK260" i="3"/>
  <c r="CK261" i="3"/>
  <c r="CK262" i="3"/>
  <c r="CK263" i="3"/>
  <c r="CK264" i="3"/>
  <c r="CK265" i="3"/>
  <c r="CK266" i="3"/>
  <c r="CK267" i="3"/>
  <c r="CK268" i="3"/>
  <c r="CK269" i="3"/>
  <c r="CK270" i="3"/>
  <c r="CK271" i="3"/>
  <c r="CK272" i="3"/>
  <c r="CK273" i="3"/>
  <c r="CK274" i="3"/>
  <c r="CK275" i="3"/>
  <c r="CK276" i="3"/>
  <c r="CK277" i="3"/>
  <c r="CK278" i="3"/>
  <c r="CK279" i="3"/>
  <c r="CK280" i="3"/>
  <c r="CK281" i="3"/>
  <c r="CK282" i="3"/>
  <c r="CK283" i="3"/>
  <c r="CK284" i="3"/>
  <c r="CK285" i="3"/>
  <c r="CK286" i="3"/>
  <c r="CK287" i="3"/>
  <c r="CK288" i="3"/>
  <c r="CK289" i="3"/>
  <c r="CK290" i="3"/>
  <c r="CK291" i="3"/>
  <c r="CK292" i="3"/>
  <c r="CK293" i="3"/>
  <c r="CK294" i="3"/>
  <c r="CK295" i="3"/>
  <c r="CK296" i="3"/>
  <c r="CK297" i="3"/>
  <c r="CK298" i="3"/>
  <c r="CK299" i="3"/>
  <c r="CK300" i="3"/>
  <c r="CK301" i="3"/>
  <c r="CK302" i="3"/>
  <c r="CK303" i="3"/>
  <c r="CK304" i="3"/>
  <c r="CK305" i="3"/>
  <c r="CK306" i="3"/>
  <c r="CK307" i="3"/>
  <c r="CK308" i="3"/>
  <c r="CK309" i="3"/>
  <c r="CK310" i="3"/>
  <c r="CK311" i="3"/>
  <c r="CK312" i="3"/>
  <c r="CK313" i="3"/>
  <c r="CK314" i="3"/>
  <c r="CK315" i="3"/>
  <c r="CK316" i="3"/>
  <c r="CK317" i="3"/>
  <c r="CK318" i="3"/>
  <c r="CK319" i="3"/>
  <c r="CK320" i="3"/>
  <c r="CK321" i="3"/>
  <c r="CK322" i="3"/>
  <c r="CK323" i="3"/>
  <c r="CK324" i="3"/>
  <c r="CK325" i="3"/>
  <c r="CK326" i="3"/>
  <c r="CK327" i="3"/>
  <c r="CK328" i="3"/>
  <c r="CK329" i="3"/>
  <c r="CK330" i="3"/>
  <c r="CK331" i="3"/>
  <c r="CK332" i="3"/>
  <c r="CK333" i="3"/>
  <c r="CK334" i="3"/>
  <c r="CK335" i="3"/>
  <c r="CK336" i="3"/>
  <c r="CK337" i="3"/>
  <c r="CK338" i="3"/>
  <c r="CK339" i="3"/>
  <c r="CK340" i="3"/>
  <c r="CK341" i="3"/>
  <c r="CK342" i="3"/>
  <c r="CK343" i="3"/>
  <c r="CK344" i="3"/>
  <c r="CK345" i="3"/>
  <c r="CK346" i="3"/>
  <c r="CK347" i="3"/>
  <c r="CK348" i="3"/>
  <c r="CK349" i="3"/>
  <c r="CK350" i="3"/>
  <c r="CK351" i="3"/>
  <c r="CK352" i="3"/>
  <c r="CK353" i="3"/>
  <c r="CK354" i="3"/>
  <c r="CK355" i="3"/>
  <c r="CK356" i="3"/>
  <c r="CK357" i="3"/>
  <c r="CK358" i="3"/>
  <c r="CK359" i="3"/>
  <c r="CK360" i="3"/>
  <c r="CK361" i="3"/>
  <c r="CK362" i="3"/>
  <c r="CK363" i="3"/>
  <c r="CK364" i="3"/>
  <c r="CK365" i="3"/>
  <c r="CK366" i="3"/>
  <c r="CK367" i="3"/>
  <c r="CK368" i="3"/>
  <c r="CK369" i="3"/>
  <c r="CK370" i="3"/>
  <c r="CK371" i="3"/>
  <c r="CK372" i="3"/>
  <c r="CK373" i="3"/>
  <c r="CK374" i="3"/>
  <c r="CK375" i="3"/>
  <c r="CK376" i="3"/>
  <c r="CK377" i="3"/>
  <c r="CK378" i="3"/>
  <c r="CK379" i="3"/>
  <c r="CK380" i="3"/>
  <c r="CK381" i="3"/>
  <c r="CK382" i="3"/>
  <c r="CK383" i="3"/>
  <c r="CK384" i="3"/>
  <c r="CK385" i="3"/>
  <c r="CK386" i="3"/>
  <c r="CK387" i="3"/>
  <c r="CK388" i="3"/>
  <c r="CK389" i="3"/>
  <c r="CK390" i="3"/>
  <c r="CK391" i="3"/>
  <c r="CK392" i="3"/>
  <c r="CK393" i="3"/>
  <c r="CK394" i="3"/>
  <c r="CK395" i="3"/>
  <c r="CK396" i="3"/>
  <c r="CK397" i="3"/>
  <c r="CK398" i="3"/>
  <c r="CK399" i="3"/>
  <c r="CK400" i="3"/>
  <c r="CK401" i="3"/>
  <c r="CK402" i="3"/>
  <c r="CK403" i="3"/>
  <c r="CK404" i="3"/>
  <c r="CK405" i="3"/>
  <c r="CK406" i="3"/>
  <c r="CK407" i="3"/>
  <c r="CK408" i="3"/>
  <c r="CK409" i="3"/>
  <c r="CK410" i="3"/>
  <c r="CK411" i="3"/>
  <c r="CK412" i="3"/>
  <c r="CK413" i="3"/>
  <c r="CK414" i="3"/>
  <c r="CK415" i="3"/>
  <c r="CK416" i="3"/>
  <c r="CK417" i="3"/>
  <c r="CK418" i="3"/>
  <c r="CK419" i="3"/>
  <c r="CK420" i="3"/>
  <c r="CK421" i="3"/>
  <c r="CK422" i="3"/>
  <c r="CK423" i="3"/>
  <c r="CK424" i="3"/>
  <c r="CK425" i="3"/>
  <c r="CK426" i="3"/>
  <c r="CK427" i="3"/>
  <c r="CK428" i="3"/>
  <c r="CK429" i="3"/>
  <c r="CK430" i="3"/>
  <c r="CK431" i="3"/>
  <c r="CK432" i="3"/>
  <c r="CK433" i="3"/>
  <c r="CK434" i="3"/>
  <c r="CK435" i="3"/>
  <c r="CK436" i="3"/>
  <c r="CK437" i="3"/>
  <c r="CK438" i="3"/>
  <c r="CK439" i="3"/>
  <c r="CK440" i="3"/>
  <c r="CK441" i="3"/>
  <c r="CK442" i="3"/>
  <c r="CK443" i="3"/>
  <c r="CK444" i="3"/>
  <c r="CK445" i="3"/>
  <c r="CK446" i="3"/>
  <c r="CK447" i="3"/>
  <c r="CK448" i="3"/>
  <c r="CK449" i="3"/>
  <c r="CK450" i="3"/>
  <c r="CK451" i="3"/>
  <c r="CK452" i="3"/>
  <c r="CK453" i="3"/>
  <c r="CK454" i="3"/>
  <c r="CK455" i="3"/>
  <c r="CK456" i="3"/>
  <c r="CK457" i="3"/>
  <c r="CK458" i="3"/>
  <c r="CK459" i="3"/>
  <c r="CK460" i="3"/>
  <c r="CK461" i="3"/>
  <c r="CK462" i="3"/>
  <c r="CK463" i="3"/>
  <c r="CK464" i="3"/>
  <c r="CK465" i="3"/>
  <c r="CK466" i="3"/>
  <c r="CK467" i="3"/>
  <c r="CK468" i="3"/>
  <c r="CK469" i="3"/>
  <c r="CK470" i="3"/>
  <c r="CK471" i="3"/>
  <c r="CK472" i="3"/>
  <c r="CK473" i="3"/>
  <c r="CK474" i="3"/>
  <c r="CK475" i="3"/>
  <c r="CK476" i="3"/>
  <c r="CK477" i="3"/>
  <c r="CK478" i="3"/>
  <c r="CK479" i="3"/>
  <c r="CK480" i="3"/>
  <c r="CK481" i="3"/>
  <c r="CK482" i="3"/>
  <c r="CK483" i="3"/>
  <c r="CK484" i="3"/>
  <c r="CK485" i="3"/>
  <c r="CK486" i="3"/>
  <c r="CK487" i="3"/>
  <c r="CK488" i="3"/>
  <c r="CK489" i="3"/>
  <c r="CK490" i="3"/>
  <c r="CK491" i="3"/>
  <c r="CK492" i="3"/>
  <c r="CK493" i="3"/>
  <c r="CK494" i="3"/>
  <c r="CK495" i="3"/>
  <c r="CK496" i="3"/>
  <c r="CK497" i="3"/>
  <c r="CK498" i="3"/>
  <c r="CK499" i="3"/>
  <c r="CK500" i="3"/>
  <c r="CK501" i="3"/>
  <c r="CK502" i="3"/>
  <c r="CK503" i="3"/>
  <c r="CK504" i="3"/>
  <c r="CK505" i="3"/>
  <c r="CK506" i="3"/>
  <c r="CK507" i="3"/>
  <c r="CK508" i="3"/>
  <c r="CK509" i="3"/>
  <c r="CK510" i="3"/>
  <c r="CK511" i="3"/>
  <c r="CK512" i="3"/>
  <c r="CK513" i="3"/>
  <c r="CK514" i="3"/>
  <c r="CK515" i="3"/>
  <c r="CK516" i="3"/>
  <c r="CK517" i="3"/>
  <c r="CK518" i="3"/>
  <c r="CK519" i="3"/>
  <c r="CK520" i="3"/>
  <c r="CK521" i="3"/>
  <c r="CK522" i="3"/>
  <c r="CK523" i="3"/>
  <c r="CK524" i="3"/>
  <c r="CK525" i="3"/>
  <c r="CK526" i="3"/>
  <c r="CK527" i="3"/>
  <c r="CK528" i="3"/>
  <c r="CK529" i="3"/>
  <c r="CK530" i="3"/>
  <c r="CK531" i="3"/>
  <c r="CK532" i="3"/>
  <c r="CK533" i="3"/>
  <c r="CK534" i="3"/>
  <c r="CK535" i="3"/>
  <c r="CK536" i="3"/>
  <c r="CK537" i="3"/>
  <c r="CK538" i="3"/>
  <c r="CK539" i="3"/>
  <c r="CK540" i="3"/>
  <c r="CK541" i="3"/>
  <c r="CK542" i="3"/>
  <c r="CK543" i="3"/>
  <c r="CK544" i="3"/>
  <c r="CK545" i="3"/>
  <c r="CK546" i="3"/>
  <c r="CK547" i="3"/>
  <c r="CK548" i="3"/>
  <c r="CK549" i="3"/>
  <c r="CK550" i="3"/>
  <c r="CK551" i="3"/>
  <c r="CK552" i="3"/>
  <c r="CK553" i="3"/>
  <c r="CK554" i="3"/>
  <c r="CK555" i="3"/>
  <c r="CK556" i="3"/>
  <c r="CK557" i="3"/>
  <c r="CK558" i="3"/>
  <c r="CK559" i="3"/>
  <c r="CK560" i="3"/>
  <c r="CK561" i="3"/>
  <c r="CK562" i="3"/>
  <c r="CK563" i="3"/>
  <c r="CK564" i="3"/>
  <c r="CK565" i="3"/>
  <c r="CK566" i="3"/>
  <c r="CK567" i="3"/>
  <c r="CK568" i="3"/>
  <c r="CK569" i="3"/>
  <c r="CK570" i="3"/>
  <c r="CK571" i="3"/>
  <c r="CK572" i="3"/>
  <c r="CK573" i="3"/>
  <c r="CK574" i="3"/>
  <c r="CK575" i="3"/>
  <c r="CK576" i="3"/>
  <c r="CK577" i="3"/>
  <c r="CK578" i="3"/>
  <c r="CK579" i="3"/>
  <c r="CK580" i="3"/>
  <c r="CK581" i="3"/>
  <c r="CK582" i="3"/>
  <c r="CK583" i="3"/>
  <c r="CK584" i="3"/>
  <c r="CK585" i="3"/>
  <c r="CK586" i="3"/>
  <c r="CK587" i="3"/>
  <c r="CK588" i="3"/>
  <c r="CK589" i="3"/>
  <c r="CK590" i="3"/>
  <c r="CK591" i="3"/>
  <c r="CK592" i="3"/>
  <c r="CK593" i="3"/>
  <c r="CK594" i="3"/>
  <c r="CK595" i="3"/>
  <c r="CK596" i="3"/>
  <c r="CK597" i="3"/>
  <c r="CK598" i="3"/>
  <c r="CK599" i="3"/>
  <c r="CK600" i="3"/>
  <c r="CK601" i="3"/>
  <c r="CK602" i="3"/>
  <c r="CK603" i="3"/>
  <c r="CK604" i="3"/>
  <c r="CK605" i="3"/>
  <c r="CK606" i="3"/>
  <c r="CK607" i="3"/>
  <c r="CK608" i="3"/>
  <c r="CK609" i="3"/>
  <c r="CK610" i="3"/>
  <c r="CK611" i="3"/>
  <c r="CK612" i="3"/>
  <c r="CK613" i="3"/>
  <c r="CK614" i="3"/>
  <c r="CK615" i="3"/>
  <c r="CK616" i="3"/>
  <c r="CK617" i="3"/>
  <c r="CK618" i="3"/>
  <c r="CK619" i="3"/>
  <c r="CK620" i="3"/>
  <c r="CK621" i="3"/>
  <c r="CK622" i="3"/>
  <c r="CK623" i="3"/>
  <c r="CK624" i="3"/>
  <c r="CK625" i="3"/>
  <c r="CK626" i="3"/>
  <c r="CK627" i="3"/>
  <c r="CK628" i="3"/>
  <c r="CK629" i="3"/>
  <c r="CK630" i="3"/>
  <c r="CK631" i="3"/>
  <c r="CK632" i="3"/>
  <c r="CK633" i="3"/>
  <c r="CK634" i="3"/>
  <c r="CK635" i="3"/>
  <c r="CK636" i="3"/>
  <c r="CK637" i="3"/>
  <c r="CK638" i="3"/>
  <c r="CK639" i="3"/>
  <c r="CK640" i="3"/>
  <c r="CK641" i="3"/>
  <c r="CK642" i="3"/>
  <c r="CK643" i="3"/>
  <c r="CK644" i="3"/>
  <c r="CK645" i="3"/>
  <c r="CK646" i="3"/>
  <c r="CK647" i="3"/>
  <c r="CK648" i="3"/>
  <c r="CK649" i="3"/>
  <c r="CK650" i="3"/>
  <c r="CK651" i="3"/>
  <c r="CK652" i="3"/>
  <c r="CK653" i="3"/>
  <c r="CK654" i="3"/>
  <c r="CK655" i="3"/>
  <c r="CK656" i="3"/>
  <c r="CK657" i="3"/>
  <c r="CK658" i="3"/>
  <c r="CK659" i="3"/>
  <c r="CK660" i="3"/>
  <c r="CK661" i="3"/>
  <c r="CK662" i="3"/>
  <c r="CK663" i="3"/>
  <c r="CK664" i="3"/>
  <c r="CK665" i="3"/>
  <c r="CK666" i="3"/>
  <c r="CK667" i="3"/>
  <c r="CK668" i="3"/>
  <c r="CK669" i="3"/>
  <c r="CK670" i="3"/>
  <c r="CK671" i="3"/>
  <c r="CK672" i="3"/>
  <c r="CK673" i="3"/>
  <c r="CK674" i="3"/>
  <c r="CK675" i="3"/>
  <c r="CK676" i="3"/>
  <c r="CK677" i="3"/>
  <c r="CK678" i="3"/>
  <c r="CK679" i="3"/>
  <c r="CK680" i="3"/>
  <c r="CK681" i="3"/>
  <c r="CK682" i="3"/>
  <c r="CJ36" i="3"/>
  <c r="CL36" i="3" s="1"/>
  <c r="CJ37" i="3"/>
  <c r="CL37" i="3" s="1"/>
  <c r="CJ38" i="3"/>
  <c r="CL38" i="3" s="1"/>
  <c r="CJ39" i="3"/>
  <c r="CL39" i="3" s="1"/>
  <c r="CJ40" i="3"/>
  <c r="CL40" i="3" s="1"/>
  <c r="CJ41" i="3"/>
  <c r="CL41" i="3" s="1"/>
  <c r="CJ42" i="3"/>
  <c r="CL42" i="3" s="1"/>
  <c r="CJ43" i="3"/>
  <c r="CL43" i="3" s="1"/>
  <c r="CJ44" i="3"/>
  <c r="CL44" i="3" s="1"/>
  <c r="CJ45" i="3"/>
  <c r="CL45" i="3" s="1"/>
  <c r="CJ46" i="3"/>
  <c r="CL46" i="3" s="1"/>
  <c r="CJ47" i="3"/>
  <c r="CL47" i="3" s="1"/>
  <c r="CJ48" i="3"/>
  <c r="CL48" i="3" s="1"/>
  <c r="CJ49" i="3"/>
  <c r="CL49" i="3" s="1"/>
  <c r="CJ50" i="3"/>
  <c r="CL50" i="3" s="1"/>
  <c r="CJ51" i="3"/>
  <c r="CL51" i="3" s="1"/>
  <c r="CJ53" i="3"/>
  <c r="CL53" i="3" s="1"/>
  <c r="CJ54" i="3"/>
  <c r="CL54" i="3" s="1"/>
  <c r="CJ55" i="3"/>
  <c r="CL55" i="3" s="1"/>
  <c r="CJ56" i="3"/>
  <c r="CL56" i="3" s="1"/>
  <c r="CJ57" i="3"/>
  <c r="CL57" i="3" s="1"/>
  <c r="CJ58" i="3"/>
  <c r="CL58" i="3" s="1"/>
  <c r="CJ59" i="3"/>
  <c r="CL59" i="3" s="1"/>
  <c r="CJ60" i="3"/>
  <c r="CL60" i="3" s="1"/>
  <c r="CJ61" i="3"/>
  <c r="CL61" i="3" s="1"/>
  <c r="CJ62" i="3"/>
  <c r="CL62" i="3" s="1"/>
  <c r="CJ63" i="3"/>
  <c r="CL63" i="3" s="1"/>
  <c r="CJ64" i="3"/>
  <c r="CL64" i="3" s="1"/>
  <c r="CJ65" i="3"/>
  <c r="CL65" i="3" s="1"/>
  <c r="CJ66" i="3"/>
  <c r="CL66" i="3" s="1"/>
  <c r="CJ67" i="3"/>
  <c r="CL67" i="3" s="1"/>
  <c r="CJ68" i="3"/>
  <c r="CL68" i="3" s="1"/>
  <c r="CJ69" i="3"/>
  <c r="CL69" i="3" s="1"/>
  <c r="CJ71" i="3"/>
  <c r="CL71" i="3" s="1"/>
  <c r="CJ72" i="3"/>
  <c r="CL72" i="3" s="1"/>
  <c r="CJ73" i="3"/>
  <c r="CL73" i="3" s="1"/>
  <c r="CJ74" i="3"/>
  <c r="CL74" i="3" s="1"/>
  <c r="CJ75" i="3"/>
  <c r="CL75" i="3" s="1"/>
  <c r="CJ76" i="3"/>
  <c r="CL76" i="3" s="1"/>
  <c r="CJ77" i="3"/>
  <c r="CL77" i="3" s="1"/>
  <c r="CJ78" i="3"/>
  <c r="CL78" i="3" s="1"/>
  <c r="CJ79" i="3"/>
  <c r="CL79" i="3" s="1"/>
  <c r="CJ80" i="3"/>
  <c r="CL80" i="3" s="1"/>
  <c r="CJ81" i="3"/>
  <c r="CL81" i="3" s="1"/>
  <c r="CJ82" i="3"/>
  <c r="CL82" i="3" s="1"/>
  <c r="CJ83" i="3"/>
  <c r="CL83" i="3" s="1"/>
  <c r="CJ84" i="3"/>
  <c r="CL84" i="3" s="1"/>
  <c r="CJ85" i="3"/>
  <c r="CL85" i="3" s="1"/>
  <c r="CJ86" i="3"/>
  <c r="CL86" i="3" s="1"/>
  <c r="CJ87" i="3"/>
  <c r="CL87" i="3" s="1"/>
  <c r="CJ89" i="3"/>
  <c r="CL89" i="3" s="1"/>
  <c r="CJ90" i="3"/>
  <c r="CL90" i="3" s="1"/>
  <c r="CJ91" i="3"/>
  <c r="CL91" i="3" s="1"/>
  <c r="CJ92" i="3"/>
  <c r="CL92" i="3" s="1"/>
  <c r="CJ93" i="3"/>
  <c r="CL93" i="3" s="1"/>
  <c r="CJ94" i="3"/>
  <c r="CL94" i="3" s="1"/>
  <c r="CJ95" i="3"/>
  <c r="CL95" i="3" s="1"/>
  <c r="CJ96" i="3"/>
  <c r="CL96" i="3" s="1"/>
  <c r="CJ97" i="3"/>
  <c r="CL97" i="3" s="1"/>
  <c r="CJ98" i="3"/>
  <c r="CL98" i="3" s="1"/>
  <c r="CJ99" i="3"/>
  <c r="CL99" i="3" s="1"/>
  <c r="CJ100" i="3"/>
  <c r="CL100" i="3" s="1"/>
  <c r="CJ101" i="3"/>
  <c r="CL101" i="3" s="1"/>
  <c r="CJ102" i="3"/>
  <c r="CL102" i="3" s="1"/>
  <c r="CJ103" i="3"/>
  <c r="CL103" i="3" s="1"/>
  <c r="CJ104" i="3"/>
  <c r="CL104" i="3" s="1"/>
  <c r="CJ105" i="3"/>
  <c r="CL105" i="3" s="1"/>
  <c r="CJ107" i="3"/>
  <c r="CL107" i="3" s="1"/>
  <c r="CJ108" i="3"/>
  <c r="CL108" i="3" s="1"/>
  <c r="CJ109" i="3"/>
  <c r="CL109" i="3" s="1"/>
  <c r="CJ110" i="3"/>
  <c r="CL110" i="3" s="1"/>
  <c r="CJ111" i="3"/>
  <c r="CL111" i="3" s="1"/>
  <c r="CJ112" i="3"/>
  <c r="CL112" i="3" s="1"/>
  <c r="CJ113" i="3"/>
  <c r="CL113" i="3" s="1"/>
  <c r="CJ114" i="3"/>
  <c r="CL114" i="3" s="1"/>
  <c r="CJ115" i="3"/>
  <c r="CL115" i="3" s="1"/>
  <c r="CJ116" i="3"/>
  <c r="CL116" i="3" s="1"/>
  <c r="CJ117" i="3"/>
  <c r="CL117" i="3" s="1"/>
  <c r="CJ118" i="3"/>
  <c r="CL118" i="3" s="1"/>
  <c r="CJ119" i="3"/>
  <c r="CL119" i="3" s="1"/>
  <c r="CJ120" i="3"/>
  <c r="CL120" i="3" s="1"/>
  <c r="CJ121" i="3"/>
  <c r="CL121" i="3" s="1"/>
  <c r="CJ122" i="3"/>
  <c r="CL122" i="3" s="1"/>
  <c r="CJ123" i="3"/>
  <c r="CL123" i="3" s="1"/>
  <c r="CJ125" i="3"/>
  <c r="CL125" i="3" s="1"/>
  <c r="CJ126" i="3"/>
  <c r="CL126" i="3" s="1"/>
  <c r="CJ127" i="3"/>
  <c r="CL127" i="3" s="1"/>
  <c r="CJ128" i="3"/>
  <c r="CL128" i="3" s="1"/>
  <c r="CJ129" i="3"/>
  <c r="CL129" i="3" s="1"/>
  <c r="CJ130" i="3"/>
  <c r="CL130" i="3" s="1"/>
  <c r="CJ131" i="3"/>
  <c r="CL131" i="3" s="1"/>
  <c r="CJ132" i="3"/>
  <c r="CL132" i="3" s="1"/>
  <c r="CJ133" i="3"/>
  <c r="CL133" i="3" s="1"/>
  <c r="CJ134" i="3"/>
  <c r="CL134" i="3" s="1"/>
  <c r="CJ135" i="3"/>
  <c r="CL135" i="3" s="1"/>
  <c r="CJ136" i="3"/>
  <c r="CL136" i="3" s="1"/>
  <c r="CJ137" i="3"/>
  <c r="CL137" i="3" s="1"/>
  <c r="CJ138" i="3"/>
  <c r="CL138" i="3" s="1"/>
  <c r="CJ139" i="3"/>
  <c r="CL139" i="3" s="1"/>
  <c r="CJ140" i="3"/>
  <c r="CL140" i="3" s="1"/>
  <c r="CJ141" i="3"/>
  <c r="CL141" i="3" s="1"/>
  <c r="CJ143" i="3"/>
  <c r="CL143" i="3" s="1"/>
  <c r="CJ144" i="3"/>
  <c r="CL144" i="3" s="1"/>
  <c r="CJ145" i="3"/>
  <c r="CL145" i="3" s="1"/>
  <c r="CJ146" i="3"/>
  <c r="CL146" i="3" s="1"/>
  <c r="CJ147" i="3"/>
  <c r="CL147" i="3" s="1"/>
  <c r="CJ148" i="3"/>
  <c r="CL148" i="3" s="1"/>
  <c r="CJ149" i="3"/>
  <c r="CL149" i="3" s="1"/>
  <c r="CJ150" i="3"/>
  <c r="CL150" i="3" s="1"/>
  <c r="CJ151" i="3"/>
  <c r="CL151" i="3" s="1"/>
  <c r="CJ152" i="3"/>
  <c r="CL152" i="3" s="1"/>
  <c r="CJ153" i="3"/>
  <c r="CL153" i="3" s="1"/>
  <c r="CJ154" i="3"/>
  <c r="CL154" i="3" s="1"/>
  <c r="CJ155" i="3"/>
  <c r="CL155" i="3" s="1"/>
  <c r="CJ156" i="3"/>
  <c r="CL156" i="3" s="1"/>
  <c r="CJ157" i="3"/>
  <c r="CL157" i="3" s="1"/>
  <c r="CJ158" i="3"/>
  <c r="CL158" i="3" s="1"/>
  <c r="CJ159" i="3"/>
  <c r="CL159" i="3" s="1"/>
  <c r="CJ161" i="3"/>
  <c r="CL161" i="3" s="1"/>
  <c r="CJ162" i="3"/>
  <c r="CL162" i="3" s="1"/>
  <c r="CJ163" i="3"/>
  <c r="CL163" i="3" s="1"/>
  <c r="CJ164" i="3"/>
  <c r="CL164" i="3" s="1"/>
  <c r="CJ165" i="3"/>
  <c r="CL165" i="3" s="1"/>
  <c r="CJ166" i="3"/>
  <c r="CL166" i="3" s="1"/>
  <c r="CJ167" i="3"/>
  <c r="CL167" i="3" s="1"/>
  <c r="CJ168" i="3"/>
  <c r="CL168" i="3" s="1"/>
  <c r="CJ169" i="3"/>
  <c r="CL169" i="3" s="1"/>
  <c r="CJ170" i="3"/>
  <c r="CL170" i="3" s="1"/>
  <c r="CJ171" i="3"/>
  <c r="CL171" i="3" s="1"/>
  <c r="CJ172" i="3"/>
  <c r="CL172" i="3" s="1"/>
  <c r="CJ173" i="3"/>
  <c r="CL173" i="3" s="1"/>
  <c r="CJ174" i="3"/>
  <c r="CL174" i="3" s="1"/>
  <c r="CJ175" i="3"/>
  <c r="CL175" i="3" s="1"/>
  <c r="CJ176" i="3"/>
  <c r="CL176" i="3" s="1"/>
  <c r="CJ177" i="3"/>
  <c r="CL177" i="3" s="1"/>
  <c r="CJ179" i="3"/>
  <c r="CL179" i="3" s="1"/>
  <c r="CJ180" i="3"/>
  <c r="CL180" i="3" s="1"/>
  <c r="CJ181" i="3"/>
  <c r="CL181" i="3" s="1"/>
  <c r="CJ182" i="3"/>
  <c r="CL182" i="3" s="1"/>
  <c r="CJ183" i="3"/>
  <c r="CL183" i="3" s="1"/>
  <c r="CJ184" i="3"/>
  <c r="CL184" i="3" s="1"/>
  <c r="CJ185" i="3"/>
  <c r="CL185" i="3" s="1"/>
  <c r="CJ186" i="3"/>
  <c r="CL186" i="3" s="1"/>
  <c r="CJ187" i="3"/>
  <c r="CL187" i="3" s="1"/>
  <c r="CJ188" i="3"/>
  <c r="CL188" i="3" s="1"/>
  <c r="CJ189" i="3"/>
  <c r="CL189" i="3" s="1"/>
  <c r="CJ190" i="3"/>
  <c r="CL190" i="3" s="1"/>
  <c r="CJ191" i="3"/>
  <c r="CL191" i="3" s="1"/>
  <c r="CJ192" i="3"/>
  <c r="CL192" i="3" s="1"/>
  <c r="CJ193" i="3"/>
  <c r="CL193" i="3" s="1"/>
  <c r="CJ194" i="3"/>
  <c r="CL194" i="3" s="1"/>
  <c r="CJ195" i="3"/>
  <c r="CL195" i="3" s="1"/>
  <c r="CJ197" i="3"/>
  <c r="CL197" i="3" s="1"/>
  <c r="CJ198" i="3"/>
  <c r="CL198" i="3" s="1"/>
  <c r="CJ199" i="3"/>
  <c r="CL199" i="3" s="1"/>
  <c r="CJ200" i="3"/>
  <c r="CL200" i="3" s="1"/>
  <c r="CJ201" i="3"/>
  <c r="CL201" i="3" s="1"/>
  <c r="CJ202" i="3"/>
  <c r="CL202" i="3" s="1"/>
  <c r="CJ203" i="3"/>
  <c r="CL203" i="3" s="1"/>
  <c r="CJ204" i="3"/>
  <c r="CL204" i="3" s="1"/>
  <c r="CJ205" i="3"/>
  <c r="CL205" i="3" s="1"/>
  <c r="CJ206" i="3"/>
  <c r="CL206" i="3" s="1"/>
  <c r="CJ207" i="3"/>
  <c r="CL207" i="3" s="1"/>
  <c r="CJ208" i="3"/>
  <c r="CL208" i="3" s="1"/>
  <c r="CJ209" i="3"/>
  <c r="CL209" i="3" s="1"/>
  <c r="CJ210" i="3"/>
  <c r="CL210" i="3" s="1"/>
  <c r="CJ211" i="3"/>
  <c r="CL211" i="3" s="1"/>
  <c r="CJ212" i="3"/>
  <c r="CL212" i="3" s="1"/>
  <c r="CJ213" i="3"/>
  <c r="CL213" i="3" s="1"/>
  <c r="CJ215" i="3"/>
  <c r="CL215" i="3" s="1"/>
  <c r="CJ216" i="3"/>
  <c r="CL216" i="3" s="1"/>
  <c r="CJ217" i="3"/>
  <c r="CL217" i="3" s="1"/>
  <c r="CJ218" i="3"/>
  <c r="CL218" i="3" s="1"/>
  <c r="CJ219" i="3"/>
  <c r="CL219" i="3" s="1"/>
  <c r="CJ220" i="3"/>
  <c r="CL220" i="3" s="1"/>
  <c r="CJ221" i="3"/>
  <c r="CL221" i="3" s="1"/>
  <c r="CJ222" i="3"/>
  <c r="CL222" i="3" s="1"/>
  <c r="CJ223" i="3"/>
  <c r="CL223" i="3" s="1"/>
  <c r="CJ224" i="3"/>
  <c r="CL224" i="3" s="1"/>
  <c r="CJ225" i="3"/>
  <c r="CL225" i="3" s="1"/>
  <c r="CJ226" i="3"/>
  <c r="CL226" i="3" s="1"/>
  <c r="CJ227" i="3"/>
  <c r="CL227" i="3" s="1"/>
  <c r="CJ228" i="3"/>
  <c r="CL228" i="3" s="1"/>
  <c r="CJ229" i="3"/>
  <c r="CL229" i="3" s="1"/>
  <c r="CJ230" i="3"/>
  <c r="CL230" i="3" s="1"/>
  <c r="CJ231" i="3"/>
  <c r="CL231" i="3" s="1"/>
  <c r="CJ233" i="3"/>
  <c r="CL233" i="3" s="1"/>
  <c r="CJ234" i="3"/>
  <c r="CL234" i="3" s="1"/>
  <c r="CJ235" i="3"/>
  <c r="CL235" i="3" s="1"/>
  <c r="CJ236" i="3"/>
  <c r="CL236" i="3" s="1"/>
  <c r="CJ237" i="3"/>
  <c r="CL237" i="3" s="1"/>
  <c r="CJ238" i="3"/>
  <c r="CL238" i="3" s="1"/>
  <c r="CJ239" i="3"/>
  <c r="CL239" i="3" s="1"/>
  <c r="CJ240" i="3"/>
  <c r="CL240" i="3" s="1"/>
  <c r="CJ241" i="3"/>
  <c r="CL241" i="3" s="1"/>
  <c r="CJ242" i="3"/>
  <c r="CL242" i="3" s="1"/>
  <c r="CJ243" i="3"/>
  <c r="CL243" i="3" s="1"/>
  <c r="CJ244" i="3"/>
  <c r="CL244" i="3" s="1"/>
  <c r="CJ245" i="3"/>
  <c r="CL245" i="3" s="1"/>
  <c r="CJ246" i="3"/>
  <c r="CL246" i="3" s="1"/>
  <c r="CJ247" i="3"/>
  <c r="CL247" i="3" s="1"/>
  <c r="CJ248" i="3"/>
  <c r="CL248" i="3" s="1"/>
  <c r="CJ249" i="3"/>
  <c r="CL249" i="3" s="1"/>
  <c r="CJ251" i="3"/>
  <c r="CL251" i="3" s="1"/>
  <c r="CJ252" i="3"/>
  <c r="CL252" i="3" s="1"/>
  <c r="CJ253" i="3"/>
  <c r="CL253" i="3" s="1"/>
  <c r="CJ254" i="3"/>
  <c r="CL254" i="3" s="1"/>
  <c r="CJ255" i="3"/>
  <c r="CL255" i="3" s="1"/>
  <c r="CJ256" i="3"/>
  <c r="CL256" i="3" s="1"/>
  <c r="CJ257" i="3"/>
  <c r="CL257" i="3" s="1"/>
  <c r="CJ258" i="3"/>
  <c r="CL258" i="3" s="1"/>
  <c r="CJ259" i="3"/>
  <c r="CL259" i="3" s="1"/>
  <c r="CJ260" i="3"/>
  <c r="CL260" i="3" s="1"/>
  <c r="CJ261" i="3"/>
  <c r="CL261" i="3" s="1"/>
  <c r="CJ262" i="3"/>
  <c r="CL262" i="3" s="1"/>
  <c r="CJ263" i="3"/>
  <c r="CL263" i="3" s="1"/>
  <c r="CJ264" i="3"/>
  <c r="CL264" i="3" s="1"/>
  <c r="CJ265" i="3"/>
  <c r="CL265" i="3" s="1"/>
  <c r="CJ266" i="3"/>
  <c r="CL266" i="3" s="1"/>
  <c r="CJ267" i="3"/>
  <c r="CL267" i="3" s="1"/>
  <c r="CJ269" i="3"/>
  <c r="CL269" i="3" s="1"/>
  <c r="CJ270" i="3"/>
  <c r="CL270" i="3" s="1"/>
  <c r="CJ271" i="3"/>
  <c r="CL271" i="3" s="1"/>
  <c r="CJ272" i="3"/>
  <c r="CL272" i="3" s="1"/>
  <c r="CJ273" i="3"/>
  <c r="CL273" i="3" s="1"/>
  <c r="CJ274" i="3"/>
  <c r="CL274" i="3" s="1"/>
  <c r="CJ275" i="3"/>
  <c r="CL275" i="3" s="1"/>
  <c r="CJ276" i="3"/>
  <c r="CL276" i="3" s="1"/>
  <c r="CJ277" i="3"/>
  <c r="CL277" i="3" s="1"/>
  <c r="CJ278" i="3"/>
  <c r="CL278" i="3" s="1"/>
  <c r="CJ279" i="3"/>
  <c r="CL279" i="3" s="1"/>
  <c r="CJ280" i="3"/>
  <c r="CL280" i="3" s="1"/>
  <c r="CJ281" i="3"/>
  <c r="CL281" i="3" s="1"/>
  <c r="CJ282" i="3"/>
  <c r="CL282" i="3" s="1"/>
  <c r="CJ283" i="3"/>
  <c r="CL283" i="3" s="1"/>
  <c r="CJ284" i="3"/>
  <c r="CL284" i="3" s="1"/>
  <c r="CJ285" i="3"/>
  <c r="CL285" i="3" s="1"/>
  <c r="CJ287" i="3"/>
  <c r="CL287" i="3" s="1"/>
  <c r="CJ288" i="3"/>
  <c r="CL288" i="3" s="1"/>
  <c r="CJ289" i="3"/>
  <c r="CL289" i="3" s="1"/>
  <c r="CJ290" i="3"/>
  <c r="CL290" i="3" s="1"/>
  <c r="CJ291" i="3"/>
  <c r="CL291" i="3" s="1"/>
  <c r="CJ292" i="3"/>
  <c r="CL292" i="3" s="1"/>
  <c r="CJ293" i="3"/>
  <c r="CL293" i="3" s="1"/>
  <c r="CJ294" i="3"/>
  <c r="CL294" i="3" s="1"/>
  <c r="CJ295" i="3"/>
  <c r="CL295" i="3" s="1"/>
  <c r="CJ296" i="3"/>
  <c r="CL296" i="3" s="1"/>
  <c r="CJ297" i="3"/>
  <c r="CL297" i="3" s="1"/>
  <c r="CJ298" i="3"/>
  <c r="CL298" i="3" s="1"/>
  <c r="CJ299" i="3"/>
  <c r="CL299" i="3" s="1"/>
  <c r="CJ300" i="3"/>
  <c r="CL300" i="3" s="1"/>
  <c r="CJ301" i="3"/>
  <c r="CL301" i="3" s="1"/>
  <c r="CJ302" i="3"/>
  <c r="CL302" i="3" s="1"/>
  <c r="CJ303" i="3"/>
  <c r="CL303" i="3" s="1"/>
  <c r="CJ305" i="3"/>
  <c r="CL305" i="3" s="1"/>
  <c r="CJ306" i="3"/>
  <c r="CL306" i="3" s="1"/>
  <c r="CJ307" i="3"/>
  <c r="CL307" i="3" s="1"/>
  <c r="CJ308" i="3"/>
  <c r="CL308" i="3" s="1"/>
  <c r="CJ309" i="3"/>
  <c r="CL309" i="3" s="1"/>
  <c r="CJ310" i="3"/>
  <c r="CL310" i="3" s="1"/>
  <c r="CJ311" i="3"/>
  <c r="CL311" i="3" s="1"/>
  <c r="CJ312" i="3"/>
  <c r="CL312" i="3" s="1"/>
  <c r="CJ313" i="3"/>
  <c r="CL313" i="3" s="1"/>
  <c r="CJ314" i="3"/>
  <c r="CL314" i="3" s="1"/>
  <c r="CJ315" i="3"/>
  <c r="CL315" i="3" s="1"/>
  <c r="CJ316" i="3"/>
  <c r="CL316" i="3" s="1"/>
  <c r="CJ317" i="3"/>
  <c r="CL317" i="3" s="1"/>
  <c r="CJ318" i="3"/>
  <c r="CL318" i="3" s="1"/>
  <c r="CJ319" i="3"/>
  <c r="CL319" i="3" s="1"/>
  <c r="CJ320" i="3"/>
  <c r="CL320" i="3" s="1"/>
  <c r="CJ321" i="3"/>
  <c r="CL321" i="3" s="1"/>
  <c r="CJ323" i="3"/>
  <c r="CL323" i="3" s="1"/>
  <c r="CJ324" i="3"/>
  <c r="CL324" i="3" s="1"/>
  <c r="CJ325" i="3"/>
  <c r="CL325" i="3" s="1"/>
  <c r="CJ326" i="3"/>
  <c r="CL326" i="3" s="1"/>
  <c r="CJ327" i="3"/>
  <c r="CL327" i="3" s="1"/>
  <c r="CJ328" i="3"/>
  <c r="CL328" i="3" s="1"/>
  <c r="CJ329" i="3"/>
  <c r="CL329" i="3" s="1"/>
  <c r="CJ330" i="3"/>
  <c r="CL330" i="3" s="1"/>
  <c r="CJ331" i="3"/>
  <c r="CL331" i="3" s="1"/>
  <c r="CJ332" i="3"/>
  <c r="CL332" i="3" s="1"/>
  <c r="CJ333" i="3"/>
  <c r="CL333" i="3" s="1"/>
  <c r="CJ334" i="3"/>
  <c r="CL334" i="3" s="1"/>
  <c r="CJ335" i="3"/>
  <c r="CL335" i="3" s="1"/>
  <c r="CJ336" i="3"/>
  <c r="CL336" i="3" s="1"/>
  <c r="CJ337" i="3"/>
  <c r="CL337" i="3" s="1"/>
  <c r="CJ338" i="3"/>
  <c r="CL338" i="3" s="1"/>
  <c r="CJ339" i="3"/>
  <c r="CL339" i="3" s="1"/>
  <c r="CJ341" i="3"/>
  <c r="CL341" i="3" s="1"/>
  <c r="CJ342" i="3"/>
  <c r="CL342" i="3" s="1"/>
  <c r="CJ343" i="3"/>
  <c r="CL343" i="3" s="1"/>
  <c r="CJ344" i="3"/>
  <c r="CL344" i="3" s="1"/>
  <c r="CJ345" i="3"/>
  <c r="CL345" i="3" s="1"/>
  <c r="CJ346" i="3"/>
  <c r="CL346" i="3" s="1"/>
  <c r="CJ347" i="3"/>
  <c r="CL347" i="3" s="1"/>
  <c r="CJ348" i="3"/>
  <c r="CL348" i="3" s="1"/>
  <c r="CJ349" i="3"/>
  <c r="CL349" i="3" s="1"/>
  <c r="CJ350" i="3"/>
  <c r="CL350" i="3" s="1"/>
  <c r="CJ351" i="3"/>
  <c r="CL351" i="3" s="1"/>
  <c r="CJ352" i="3"/>
  <c r="CL352" i="3" s="1"/>
  <c r="CJ353" i="3"/>
  <c r="CL353" i="3" s="1"/>
  <c r="CJ354" i="3"/>
  <c r="CL354" i="3" s="1"/>
  <c r="CJ355" i="3"/>
  <c r="CL355" i="3" s="1"/>
  <c r="CJ356" i="3"/>
  <c r="CL356" i="3" s="1"/>
  <c r="CJ357" i="3"/>
  <c r="CL357" i="3" s="1"/>
  <c r="CJ359" i="3"/>
  <c r="CL359" i="3" s="1"/>
  <c r="CJ360" i="3"/>
  <c r="CL360" i="3" s="1"/>
  <c r="CJ361" i="3"/>
  <c r="CL361" i="3" s="1"/>
  <c r="CJ362" i="3"/>
  <c r="CL362" i="3" s="1"/>
  <c r="CJ363" i="3"/>
  <c r="CL363" i="3" s="1"/>
  <c r="CJ364" i="3"/>
  <c r="CL364" i="3" s="1"/>
  <c r="CJ365" i="3"/>
  <c r="CL365" i="3" s="1"/>
  <c r="CJ366" i="3"/>
  <c r="CL366" i="3" s="1"/>
  <c r="CJ367" i="3"/>
  <c r="CL367" i="3" s="1"/>
  <c r="CJ368" i="3"/>
  <c r="CL368" i="3" s="1"/>
  <c r="CJ369" i="3"/>
  <c r="CL369" i="3" s="1"/>
  <c r="CJ370" i="3"/>
  <c r="CL370" i="3" s="1"/>
  <c r="CJ371" i="3"/>
  <c r="CL371" i="3" s="1"/>
  <c r="CJ372" i="3"/>
  <c r="CL372" i="3" s="1"/>
  <c r="CJ373" i="3"/>
  <c r="CL373" i="3" s="1"/>
  <c r="CJ374" i="3"/>
  <c r="CL374" i="3" s="1"/>
  <c r="CJ375" i="3"/>
  <c r="CL375" i="3" s="1"/>
  <c r="CJ377" i="3"/>
  <c r="CL377" i="3" s="1"/>
  <c r="CJ378" i="3"/>
  <c r="CL378" i="3" s="1"/>
  <c r="CJ379" i="3"/>
  <c r="CL379" i="3" s="1"/>
  <c r="CJ380" i="3"/>
  <c r="CL380" i="3" s="1"/>
  <c r="CJ381" i="3"/>
  <c r="CL381" i="3" s="1"/>
  <c r="CJ382" i="3"/>
  <c r="CL382" i="3" s="1"/>
  <c r="CJ383" i="3"/>
  <c r="CL383" i="3" s="1"/>
  <c r="CJ384" i="3"/>
  <c r="CL384" i="3" s="1"/>
  <c r="CJ385" i="3"/>
  <c r="CL385" i="3" s="1"/>
  <c r="CJ386" i="3"/>
  <c r="CL386" i="3" s="1"/>
  <c r="CJ387" i="3"/>
  <c r="CL387" i="3" s="1"/>
  <c r="CJ388" i="3"/>
  <c r="CL388" i="3" s="1"/>
  <c r="CJ389" i="3"/>
  <c r="CL389" i="3" s="1"/>
  <c r="CJ390" i="3"/>
  <c r="CL390" i="3" s="1"/>
  <c r="CJ391" i="3"/>
  <c r="CL391" i="3" s="1"/>
  <c r="CJ392" i="3"/>
  <c r="CL392" i="3" s="1"/>
  <c r="CJ393" i="3"/>
  <c r="CL393" i="3" s="1"/>
  <c r="CJ395" i="3"/>
  <c r="CL395" i="3" s="1"/>
  <c r="CJ396" i="3"/>
  <c r="CL396" i="3" s="1"/>
  <c r="CJ397" i="3"/>
  <c r="CL397" i="3" s="1"/>
  <c r="CJ398" i="3"/>
  <c r="CL398" i="3" s="1"/>
  <c r="CJ399" i="3"/>
  <c r="CL399" i="3" s="1"/>
  <c r="CJ400" i="3"/>
  <c r="CL400" i="3" s="1"/>
  <c r="CJ401" i="3"/>
  <c r="CL401" i="3" s="1"/>
  <c r="CJ402" i="3"/>
  <c r="CL402" i="3" s="1"/>
  <c r="CJ403" i="3"/>
  <c r="CL403" i="3" s="1"/>
  <c r="CJ404" i="3"/>
  <c r="CL404" i="3" s="1"/>
  <c r="CJ405" i="3"/>
  <c r="CL405" i="3" s="1"/>
  <c r="CJ406" i="3"/>
  <c r="CL406" i="3" s="1"/>
  <c r="CJ407" i="3"/>
  <c r="CL407" i="3" s="1"/>
  <c r="CJ408" i="3"/>
  <c r="CL408" i="3" s="1"/>
  <c r="CJ409" i="3"/>
  <c r="CL409" i="3" s="1"/>
  <c r="CJ410" i="3"/>
  <c r="CL410" i="3" s="1"/>
  <c r="CJ411" i="3"/>
  <c r="CL411" i="3" s="1"/>
  <c r="CJ413" i="3"/>
  <c r="CL413" i="3" s="1"/>
  <c r="CJ414" i="3"/>
  <c r="CL414" i="3" s="1"/>
  <c r="CJ415" i="3"/>
  <c r="CL415" i="3" s="1"/>
  <c r="CJ416" i="3"/>
  <c r="CL416" i="3" s="1"/>
  <c r="CJ417" i="3"/>
  <c r="CL417" i="3" s="1"/>
  <c r="CJ418" i="3"/>
  <c r="CL418" i="3" s="1"/>
  <c r="CJ419" i="3"/>
  <c r="CL419" i="3" s="1"/>
  <c r="CJ420" i="3"/>
  <c r="CL420" i="3" s="1"/>
  <c r="CJ421" i="3"/>
  <c r="CL421" i="3" s="1"/>
  <c r="CJ422" i="3"/>
  <c r="CL422" i="3" s="1"/>
  <c r="CJ423" i="3"/>
  <c r="CL423" i="3" s="1"/>
  <c r="CJ424" i="3"/>
  <c r="CL424" i="3" s="1"/>
  <c r="CJ425" i="3"/>
  <c r="CL425" i="3" s="1"/>
  <c r="CJ426" i="3"/>
  <c r="CL426" i="3" s="1"/>
  <c r="CJ427" i="3"/>
  <c r="CL427" i="3" s="1"/>
  <c r="CJ428" i="3"/>
  <c r="CL428" i="3" s="1"/>
  <c r="CJ429" i="3"/>
  <c r="CL429" i="3" s="1"/>
  <c r="CJ431" i="3"/>
  <c r="CL431" i="3" s="1"/>
  <c r="CJ432" i="3"/>
  <c r="CL432" i="3" s="1"/>
  <c r="CJ433" i="3"/>
  <c r="CL433" i="3" s="1"/>
  <c r="CJ434" i="3"/>
  <c r="CL434" i="3" s="1"/>
  <c r="CJ435" i="3"/>
  <c r="CL435" i="3" s="1"/>
  <c r="CJ436" i="3"/>
  <c r="CL436" i="3" s="1"/>
  <c r="CJ437" i="3"/>
  <c r="CL437" i="3" s="1"/>
  <c r="CJ438" i="3"/>
  <c r="CL438" i="3" s="1"/>
  <c r="CJ439" i="3"/>
  <c r="CL439" i="3" s="1"/>
  <c r="CJ440" i="3"/>
  <c r="CL440" i="3" s="1"/>
  <c r="CJ441" i="3"/>
  <c r="CL441" i="3" s="1"/>
  <c r="CJ442" i="3"/>
  <c r="CL442" i="3" s="1"/>
  <c r="CJ443" i="3"/>
  <c r="CL443" i="3" s="1"/>
  <c r="CJ444" i="3"/>
  <c r="CL444" i="3" s="1"/>
  <c r="CJ445" i="3"/>
  <c r="CL445" i="3" s="1"/>
  <c r="CJ446" i="3"/>
  <c r="CL446" i="3" s="1"/>
  <c r="CJ447" i="3"/>
  <c r="CL447" i="3" s="1"/>
  <c r="CJ449" i="3"/>
  <c r="CL449" i="3" s="1"/>
  <c r="CJ450" i="3"/>
  <c r="CL450" i="3" s="1"/>
  <c r="CJ451" i="3"/>
  <c r="CL451" i="3" s="1"/>
  <c r="CJ452" i="3"/>
  <c r="CL452" i="3" s="1"/>
  <c r="CJ453" i="3"/>
  <c r="CL453" i="3" s="1"/>
  <c r="CJ454" i="3"/>
  <c r="CL454" i="3" s="1"/>
  <c r="CJ455" i="3"/>
  <c r="CL455" i="3" s="1"/>
  <c r="CJ456" i="3"/>
  <c r="CL456" i="3" s="1"/>
  <c r="CJ457" i="3"/>
  <c r="CL457" i="3" s="1"/>
  <c r="CJ458" i="3"/>
  <c r="CL458" i="3" s="1"/>
  <c r="CJ459" i="3"/>
  <c r="CL459" i="3" s="1"/>
  <c r="CJ460" i="3"/>
  <c r="CL460" i="3" s="1"/>
  <c r="CJ461" i="3"/>
  <c r="CL461" i="3" s="1"/>
  <c r="CJ462" i="3"/>
  <c r="CL462" i="3" s="1"/>
  <c r="CJ463" i="3"/>
  <c r="CL463" i="3" s="1"/>
  <c r="CJ464" i="3"/>
  <c r="CL464" i="3" s="1"/>
  <c r="CJ465" i="3"/>
  <c r="CL465" i="3" s="1"/>
  <c r="CJ467" i="3"/>
  <c r="CL467" i="3" s="1"/>
  <c r="CJ468" i="3"/>
  <c r="CL468" i="3" s="1"/>
  <c r="CJ469" i="3"/>
  <c r="CL469" i="3" s="1"/>
  <c r="CJ470" i="3"/>
  <c r="CL470" i="3" s="1"/>
  <c r="CJ471" i="3"/>
  <c r="CL471" i="3" s="1"/>
  <c r="CJ472" i="3"/>
  <c r="CL472" i="3" s="1"/>
  <c r="CJ473" i="3"/>
  <c r="CL473" i="3" s="1"/>
  <c r="CJ474" i="3"/>
  <c r="CL474" i="3" s="1"/>
  <c r="CJ475" i="3"/>
  <c r="CL475" i="3" s="1"/>
  <c r="CJ476" i="3"/>
  <c r="CL476" i="3" s="1"/>
  <c r="CJ477" i="3"/>
  <c r="CL477" i="3" s="1"/>
  <c r="CJ478" i="3"/>
  <c r="CL478" i="3" s="1"/>
  <c r="CJ479" i="3"/>
  <c r="CL479" i="3" s="1"/>
  <c r="CJ480" i="3"/>
  <c r="CL480" i="3" s="1"/>
  <c r="CJ481" i="3"/>
  <c r="CL481" i="3" s="1"/>
  <c r="CJ482" i="3"/>
  <c r="CL482" i="3" s="1"/>
  <c r="CJ483" i="3"/>
  <c r="CL483" i="3" s="1"/>
  <c r="CJ485" i="3"/>
  <c r="CL485" i="3" s="1"/>
  <c r="CJ486" i="3"/>
  <c r="CL486" i="3" s="1"/>
  <c r="CJ487" i="3"/>
  <c r="CL487" i="3" s="1"/>
  <c r="CJ488" i="3"/>
  <c r="CL488" i="3" s="1"/>
  <c r="CJ489" i="3"/>
  <c r="CL489" i="3" s="1"/>
  <c r="CJ490" i="3"/>
  <c r="CL490" i="3" s="1"/>
  <c r="CJ491" i="3"/>
  <c r="CL491" i="3" s="1"/>
  <c r="CJ492" i="3"/>
  <c r="CL492" i="3" s="1"/>
  <c r="CJ493" i="3"/>
  <c r="CL493" i="3" s="1"/>
  <c r="CJ494" i="3"/>
  <c r="CL494" i="3" s="1"/>
  <c r="CJ495" i="3"/>
  <c r="CL495" i="3" s="1"/>
  <c r="CJ496" i="3"/>
  <c r="CL496" i="3" s="1"/>
  <c r="CJ497" i="3"/>
  <c r="CL497" i="3" s="1"/>
  <c r="CJ498" i="3"/>
  <c r="CL498" i="3" s="1"/>
  <c r="CJ499" i="3"/>
  <c r="CL499" i="3" s="1"/>
  <c r="CJ500" i="3"/>
  <c r="CL500" i="3" s="1"/>
  <c r="CJ501" i="3"/>
  <c r="CL501" i="3" s="1"/>
  <c r="CJ503" i="3"/>
  <c r="CL503" i="3" s="1"/>
  <c r="CJ504" i="3"/>
  <c r="CL504" i="3" s="1"/>
  <c r="CJ505" i="3"/>
  <c r="CL505" i="3" s="1"/>
  <c r="CJ506" i="3"/>
  <c r="CL506" i="3" s="1"/>
  <c r="CJ507" i="3"/>
  <c r="CL507" i="3" s="1"/>
  <c r="CJ508" i="3"/>
  <c r="CL508" i="3" s="1"/>
  <c r="CJ509" i="3"/>
  <c r="CL509" i="3" s="1"/>
  <c r="CJ510" i="3"/>
  <c r="CL510" i="3" s="1"/>
  <c r="CJ511" i="3"/>
  <c r="CL511" i="3" s="1"/>
  <c r="CJ512" i="3"/>
  <c r="CL512" i="3" s="1"/>
  <c r="CJ513" i="3"/>
  <c r="CL513" i="3" s="1"/>
  <c r="CJ514" i="3"/>
  <c r="CL514" i="3" s="1"/>
  <c r="CJ515" i="3"/>
  <c r="CL515" i="3" s="1"/>
  <c r="CJ516" i="3"/>
  <c r="CL516" i="3" s="1"/>
  <c r="CJ517" i="3"/>
  <c r="CL517" i="3" s="1"/>
  <c r="CJ518" i="3"/>
  <c r="CL518" i="3" s="1"/>
  <c r="CJ519" i="3"/>
  <c r="CL519" i="3" s="1"/>
  <c r="CJ521" i="3"/>
  <c r="CL521" i="3" s="1"/>
  <c r="CJ522" i="3"/>
  <c r="CL522" i="3" s="1"/>
  <c r="CJ523" i="3"/>
  <c r="CL523" i="3" s="1"/>
  <c r="CJ524" i="3"/>
  <c r="CL524" i="3" s="1"/>
  <c r="CJ525" i="3"/>
  <c r="CL525" i="3" s="1"/>
  <c r="CJ526" i="3"/>
  <c r="CL526" i="3" s="1"/>
  <c r="CJ527" i="3"/>
  <c r="CL527" i="3" s="1"/>
  <c r="CJ528" i="3"/>
  <c r="CL528" i="3" s="1"/>
  <c r="CJ529" i="3"/>
  <c r="CL529" i="3" s="1"/>
  <c r="CJ530" i="3"/>
  <c r="CL530" i="3" s="1"/>
  <c r="CJ531" i="3"/>
  <c r="CL531" i="3" s="1"/>
  <c r="CJ532" i="3"/>
  <c r="CL532" i="3" s="1"/>
  <c r="CJ533" i="3"/>
  <c r="CL533" i="3" s="1"/>
  <c r="CJ534" i="3"/>
  <c r="CL534" i="3" s="1"/>
  <c r="CJ535" i="3"/>
  <c r="CL535" i="3" s="1"/>
  <c r="CJ536" i="3"/>
  <c r="CL536" i="3" s="1"/>
  <c r="CJ537" i="3"/>
  <c r="CL537" i="3" s="1"/>
  <c r="CJ539" i="3"/>
  <c r="CL539" i="3" s="1"/>
  <c r="CJ540" i="3"/>
  <c r="CL540" i="3" s="1"/>
  <c r="CJ541" i="3"/>
  <c r="CL541" i="3" s="1"/>
  <c r="CJ542" i="3"/>
  <c r="CL542" i="3" s="1"/>
  <c r="CJ543" i="3"/>
  <c r="CL543" i="3" s="1"/>
  <c r="CJ544" i="3"/>
  <c r="CL544" i="3" s="1"/>
  <c r="CJ545" i="3"/>
  <c r="CL545" i="3" s="1"/>
  <c r="CJ546" i="3"/>
  <c r="CL546" i="3" s="1"/>
  <c r="CJ547" i="3"/>
  <c r="CL547" i="3" s="1"/>
  <c r="CJ548" i="3"/>
  <c r="CL548" i="3" s="1"/>
  <c r="CJ549" i="3"/>
  <c r="CL549" i="3" s="1"/>
  <c r="CJ550" i="3"/>
  <c r="CL550" i="3" s="1"/>
  <c r="CJ551" i="3"/>
  <c r="CL551" i="3" s="1"/>
  <c r="CJ552" i="3"/>
  <c r="CL552" i="3" s="1"/>
  <c r="CJ553" i="3"/>
  <c r="CL553" i="3" s="1"/>
  <c r="CJ554" i="3"/>
  <c r="CL554" i="3" s="1"/>
  <c r="CJ555" i="3"/>
  <c r="CL555" i="3" s="1"/>
  <c r="CJ557" i="3"/>
  <c r="CL557" i="3" s="1"/>
  <c r="CJ558" i="3"/>
  <c r="CL558" i="3" s="1"/>
  <c r="CJ559" i="3"/>
  <c r="CL559" i="3" s="1"/>
  <c r="CJ560" i="3"/>
  <c r="CL560" i="3" s="1"/>
  <c r="CJ561" i="3"/>
  <c r="CL561" i="3" s="1"/>
  <c r="CJ562" i="3"/>
  <c r="CL562" i="3" s="1"/>
  <c r="CJ563" i="3"/>
  <c r="CL563" i="3" s="1"/>
  <c r="CJ564" i="3"/>
  <c r="CL564" i="3" s="1"/>
  <c r="CJ565" i="3"/>
  <c r="CL565" i="3" s="1"/>
  <c r="CJ566" i="3"/>
  <c r="CL566" i="3" s="1"/>
  <c r="CJ567" i="3"/>
  <c r="CL567" i="3" s="1"/>
  <c r="CJ568" i="3"/>
  <c r="CL568" i="3" s="1"/>
  <c r="CJ569" i="3"/>
  <c r="CL569" i="3" s="1"/>
  <c r="CJ570" i="3"/>
  <c r="CL570" i="3" s="1"/>
  <c r="CJ571" i="3"/>
  <c r="CL571" i="3" s="1"/>
  <c r="CJ572" i="3"/>
  <c r="CL572" i="3" s="1"/>
  <c r="CJ573" i="3"/>
  <c r="CL573" i="3" s="1"/>
  <c r="CJ575" i="3"/>
  <c r="CL575" i="3" s="1"/>
  <c r="CJ576" i="3"/>
  <c r="CL576" i="3" s="1"/>
  <c r="CJ577" i="3"/>
  <c r="CL577" i="3" s="1"/>
  <c r="CJ578" i="3"/>
  <c r="CL578" i="3" s="1"/>
  <c r="CJ579" i="3"/>
  <c r="CL579" i="3" s="1"/>
  <c r="CJ580" i="3"/>
  <c r="CL580" i="3" s="1"/>
  <c r="CJ581" i="3"/>
  <c r="CL581" i="3" s="1"/>
  <c r="CJ582" i="3"/>
  <c r="CL582" i="3" s="1"/>
  <c r="CJ583" i="3"/>
  <c r="CL583" i="3" s="1"/>
  <c r="CJ584" i="3"/>
  <c r="CL584" i="3" s="1"/>
  <c r="CJ585" i="3"/>
  <c r="CL585" i="3" s="1"/>
  <c r="CJ586" i="3"/>
  <c r="CL586" i="3" s="1"/>
  <c r="CJ587" i="3"/>
  <c r="CL587" i="3" s="1"/>
  <c r="CJ588" i="3"/>
  <c r="CL588" i="3" s="1"/>
  <c r="CJ589" i="3"/>
  <c r="CL589" i="3" s="1"/>
  <c r="CJ590" i="3"/>
  <c r="CL590" i="3" s="1"/>
  <c r="CJ591" i="3"/>
  <c r="CL591" i="3" s="1"/>
  <c r="CJ593" i="3"/>
  <c r="CL593" i="3" s="1"/>
  <c r="CJ594" i="3"/>
  <c r="CL594" i="3" s="1"/>
  <c r="CJ595" i="3"/>
  <c r="CL595" i="3" s="1"/>
  <c r="CJ596" i="3"/>
  <c r="CL596" i="3" s="1"/>
  <c r="CJ597" i="3"/>
  <c r="CL597" i="3" s="1"/>
  <c r="CJ598" i="3"/>
  <c r="CL598" i="3" s="1"/>
  <c r="CJ599" i="3"/>
  <c r="CL599" i="3" s="1"/>
  <c r="CJ600" i="3"/>
  <c r="CL600" i="3" s="1"/>
  <c r="CJ601" i="3"/>
  <c r="CL601" i="3" s="1"/>
  <c r="CJ602" i="3"/>
  <c r="CL602" i="3" s="1"/>
  <c r="CJ603" i="3"/>
  <c r="CL603" i="3" s="1"/>
  <c r="CJ604" i="3"/>
  <c r="CL604" i="3" s="1"/>
  <c r="CJ605" i="3"/>
  <c r="CL605" i="3" s="1"/>
  <c r="CJ606" i="3"/>
  <c r="CL606" i="3" s="1"/>
  <c r="CJ607" i="3"/>
  <c r="CL607" i="3" s="1"/>
  <c r="CJ608" i="3"/>
  <c r="CL608" i="3" s="1"/>
  <c r="CJ609" i="3"/>
  <c r="CL609" i="3" s="1"/>
  <c r="CJ611" i="3"/>
  <c r="CL611" i="3" s="1"/>
  <c r="CJ612" i="3"/>
  <c r="CL612" i="3" s="1"/>
  <c r="CJ613" i="3"/>
  <c r="CL613" i="3" s="1"/>
  <c r="CJ614" i="3"/>
  <c r="CL614" i="3" s="1"/>
  <c r="CJ615" i="3"/>
  <c r="CL615" i="3" s="1"/>
  <c r="CJ616" i="3"/>
  <c r="CL616" i="3" s="1"/>
  <c r="CJ617" i="3"/>
  <c r="CL617" i="3" s="1"/>
  <c r="CJ618" i="3"/>
  <c r="CL618" i="3" s="1"/>
  <c r="CJ619" i="3"/>
  <c r="CL619" i="3" s="1"/>
  <c r="CJ620" i="3"/>
  <c r="CL620" i="3" s="1"/>
  <c r="CJ621" i="3"/>
  <c r="CL621" i="3" s="1"/>
  <c r="CJ622" i="3"/>
  <c r="CL622" i="3" s="1"/>
  <c r="CJ623" i="3"/>
  <c r="CL623" i="3" s="1"/>
  <c r="CJ624" i="3"/>
  <c r="CL624" i="3" s="1"/>
  <c r="CJ625" i="3"/>
  <c r="CL625" i="3" s="1"/>
  <c r="CJ626" i="3"/>
  <c r="CL626" i="3" s="1"/>
  <c r="CJ627" i="3"/>
  <c r="CL627" i="3" s="1"/>
  <c r="CJ629" i="3"/>
  <c r="CL629" i="3" s="1"/>
  <c r="CJ630" i="3"/>
  <c r="CL630" i="3" s="1"/>
  <c r="CJ631" i="3"/>
  <c r="CL631" i="3" s="1"/>
  <c r="CJ632" i="3"/>
  <c r="CL632" i="3" s="1"/>
  <c r="CJ633" i="3"/>
  <c r="CL633" i="3" s="1"/>
  <c r="CJ634" i="3"/>
  <c r="CL634" i="3" s="1"/>
  <c r="CJ635" i="3"/>
  <c r="CL635" i="3" s="1"/>
  <c r="CJ636" i="3"/>
  <c r="CL636" i="3" s="1"/>
  <c r="CJ637" i="3"/>
  <c r="CL637" i="3" s="1"/>
  <c r="CJ638" i="3"/>
  <c r="CL638" i="3" s="1"/>
  <c r="CJ639" i="3"/>
  <c r="CL639" i="3" s="1"/>
  <c r="CJ640" i="3"/>
  <c r="CL640" i="3" s="1"/>
  <c r="CJ641" i="3"/>
  <c r="CL641" i="3" s="1"/>
  <c r="CJ642" i="3"/>
  <c r="CL642" i="3" s="1"/>
  <c r="CJ643" i="3"/>
  <c r="CL643" i="3" s="1"/>
  <c r="CJ644" i="3"/>
  <c r="CL644" i="3" s="1"/>
  <c r="CJ645" i="3"/>
  <c r="CL645" i="3" s="1"/>
  <c r="CJ647" i="3"/>
  <c r="CL647" i="3" s="1"/>
  <c r="CJ648" i="3"/>
  <c r="CL648" i="3" s="1"/>
  <c r="CJ649" i="3"/>
  <c r="CL649" i="3" s="1"/>
  <c r="CJ650" i="3"/>
  <c r="CL650" i="3" s="1"/>
  <c r="CJ651" i="3"/>
  <c r="CL651" i="3" s="1"/>
  <c r="CJ652" i="3"/>
  <c r="CL652" i="3" s="1"/>
  <c r="CJ653" i="3"/>
  <c r="CL653" i="3" s="1"/>
  <c r="CJ654" i="3"/>
  <c r="CL654" i="3" s="1"/>
  <c r="CJ655" i="3"/>
  <c r="CL655" i="3" s="1"/>
  <c r="CJ656" i="3"/>
  <c r="CL656" i="3" s="1"/>
  <c r="CJ657" i="3"/>
  <c r="CL657" i="3" s="1"/>
  <c r="CJ658" i="3"/>
  <c r="CL658" i="3" s="1"/>
  <c r="CJ659" i="3"/>
  <c r="CL659" i="3" s="1"/>
  <c r="CJ660" i="3"/>
  <c r="CL660" i="3" s="1"/>
  <c r="CJ661" i="3"/>
  <c r="CL661" i="3" s="1"/>
  <c r="CJ662" i="3"/>
  <c r="CL662" i="3" s="1"/>
  <c r="CJ663" i="3"/>
  <c r="CL663" i="3" s="1"/>
  <c r="CJ665" i="3"/>
  <c r="CL665" i="3" s="1"/>
  <c r="CJ666" i="3"/>
  <c r="CL666" i="3" s="1"/>
  <c r="CJ667" i="3"/>
  <c r="CL667" i="3" s="1"/>
  <c r="CJ668" i="3"/>
  <c r="CL668" i="3" s="1"/>
  <c r="CJ669" i="3"/>
  <c r="CL669" i="3" s="1"/>
  <c r="CJ670" i="3"/>
  <c r="CL670" i="3" s="1"/>
  <c r="CJ671" i="3"/>
  <c r="CL671" i="3" s="1"/>
  <c r="CJ672" i="3"/>
  <c r="CL672" i="3" s="1"/>
  <c r="CJ673" i="3"/>
  <c r="CL673" i="3" s="1"/>
  <c r="CJ674" i="3"/>
  <c r="CL674" i="3" s="1"/>
  <c r="CJ675" i="3"/>
  <c r="CL675" i="3" s="1"/>
  <c r="CJ676" i="3"/>
  <c r="CL676" i="3" s="1"/>
  <c r="CJ677" i="3"/>
  <c r="CL677" i="3" s="1"/>
  <c r="CJ678" i="3"/>
  <c r="CL678" i="3" s="1"/>
  <c r="CJ679" i="3"/>
  <c r="CL679" i="3" s="1"/>
  <c r="CJ680" i="3"/>
  <c r="CL680" i="3" s="1"/>
  <c r="CJ681" i="3"/>
  <c r="CL681" i="3" s="1"/>
  <c r="CJ35" i="3"/>
  <c r="CL35" i="3" s="1"/>
  <c r="BM666" i="3"/>
  <c r="BQ666" i="3"/>
  <c r="BT666" i="3"/>
  <c r="BU666" i="3"/>
  <c r="BW666" i="3"/>
  <c r="CA666" i="3"/>
  <c r="CB666" i="3"/>
  <c r="BM667" i="3"/>
  <c r="BQ667" i="3"/>
  <c r="BT667" i="3"/>
  <c r="BU667" i="3"/>
  <c r="BW667" i="3"/>
  <c r="CA667" i="3"/>
  <c r="CB667" i="3"/>
  <c r="BM668" i="3"/>
  <c r="BQ668" i="3"/>
  <c r="BT668" i="3"/>
  <c r="BU668" i="3"/>
  <c r="BW668" i="3"/>
  <c r="CA668" i="3"/>
  <c r="CB668" i="3"/>
  <c r="BM669" i="3"/>
  <c r="BQ669" i="3"/>
  <c r="BT669" i="3"/>
  <c r="BU669" i="3"/>
  <c r="BW669" i="3"/>
  <c r="CA669" i="3"/>
  <c r="CB669" i="3"/>
  <c r="BM670" i="3"/>
  <c r="BQ670" i="3"/>
  <c r="BT670" i="3"/>
  <c r="BU670" i="3"/>
  <c r="BW670" i="3"/>
  <c r="CA670" i="3"/>
  <c r="CB670" i="3"/>
  <c r="BM671" i="3"/>
  <c r="BQ671" i="3"/>
  <c r="BT671" i="3"/>
  <c r="BU671" i="3"/>
  <c r="BW671" i="3"/>
  <c r="CA671" i="3"/>
  <c r="CB671" i="3"/>
  <c r="BM672" i="3"/>
  <c r="BQ672" i="3"/>
  <c r="BT672" i="3"/>
  <c r="BU672" i="3"/>
  <c r="BW672" i="3"/>
  <c r="CA672" i="3"/>
  <c r="CB672" i="3"/>
  <c r="BM673" i="3"/>
  <c r="BQ673" i="3"/>
  <c r="BT673" i="3"/>
  <c r="BU673" i="3"/>
  <c r="BW673" i="3"/>
  <c r="CA673" i="3"/>
  <c r="CB673" i="3"/>
  <c r="BM674" i="3"/>
  <c r="BQ674" i="3"/>
  <c r="BT674" i="3"/>
  <c r="BU674" i="3"/>
  <c r="BW674" i="3"/>
  <c r="CA674" i="3"/>
  <c r="CB674" i="3"/>
  <c r="BM675" i="3"/>
  <c r="BQ675" i="3"/>
  <c r="BT675" i="3"/>
  <c r="BU675" i="3"/>
  <c r="BW675" i="3"/>
  <c r="CA675" i="3"/>
  <c r="CB675" i="3"/>
  <c r="BM676" i="3"/>
  <c r="BQ676" i="3"/>
  <c r="BT676" i="3"/>
  <c r="BU676" i="3"/>
  <c r="BW676" i="3"/>
  <c r="CA676" i="3"/>
  <c r="CB676" i="3"/>
  <c r="BM677" i="3"/>
  <c r="BQ677" i="3"/>
  <c r="BT677" i="3"/>
  <c r="BU677" i="3"/>
  <c r="BW677" i="3"/>
  <c r="CA677" i="3"/>
  <c r="CB677" i="3"/>
  <c r="BM678" i="3"/>
  <c r="BQ678" i="3"/>
  <c r="BT678" i="3"/>
  <c r="BU678" i="3"/>
  <c r="BW678" i="3"/>
  <c r="CA678" i="3"/>
  <c r="CB678" i="3"/>
  <c r="BM679" i="3"/>
  <c r="BQ679" i="3"/>
  <c r="BT679" i="3"/>
  <c r="BU679" i="3"/>
  <c r="BW679" i="3"/>
  <c r="CA679" i="3"/>
  <c r="CB679" i="3"/>
  <c r="BM680" i="3"/>
  <c r="BQ680" i="3"/>
  <c r="BT680" i="3"/>
  <c r="BU680" i="3"/>
  <c r="BW680" i="3"/>
  <c r="CA680" i="3"/>
  <c r="CB680" i="3"/>
  <c r="BM681" i="3"/>
  <c r="BQ681" i="3"/>
  <c r="BT681" i="3"/>
  <c r="BU681" i="3"/>
  <c r="BW681" i="3"/>
  <c r="CA681" i="3"/>
  <c r="CB681" i="3"/>
  <c r="BM682" i="3"/>
  <c r="BQ682" i="3"/>
  <c r="BT682" i="3"/>
  <c r="BU682" i="3"/>
  <c r="BW682" i="3"/>
  <c r="CA682" i="3"/>
  <c r="CB682" i="3"/>
  <c r="AW666" i="3"/>
  <c r="AW667" i="3"/>
  <c r="AW668" i="3"/>
  <c r="AW669" i="3"/>
  <c r="AW670" i="3"/>
  <c r="AW671" i="3"/>
  <c r="AW672" i="3"/>
  <c r="AW673" i="3"/>
  <c r="AW674" i="3"/>
  <c r="AW675" i="3"/>
  <c r="AW676" i="3"/>
  <c r="AW677" i="3"/>
  <c r="AW678" i="3"/>
  <c r="AW679" i="3"/>
  <c r="AW680" i="3"/>
  <c r="AW681" i="3"/>
  <c r="AW682" i="3"/>
  <c r="O225" i="7" a="1"/>
  <c r="W223" i="7" a="1"/>
  <c r="Q223" i="7" a="1"/>
  <c r="L216" i="7" a="1"/>
  <c r="I217" i="7" a="1"/>
  <c r="Q217" i="7" a="1"/>
  <c r="R225" i="7" a="1"/>
  <c r="P223" i="7" a="1"/>
  <c r="T223" i="7" a="1"/>
  <c r="T216" i="7" a="1"/>
  <c r="Y217" i="7" a="1"/>
  <c r="J217" i="7" a="1"/>
  <c r="S225" i="7" a="1"/>
  <c r="J223" i="7" a="1"/>
  <c r="K223" i="7" a="1"/>
  <c r="Y216" i="7" a="1"/>
  <c r="X225" i="7" a="1"/>
  <c r="L223" i="7" a="1"/>
  <c r="N216" i="7" a="1"/>
  <c r="I216" i="7" a="1"/>
  <c r="R217" i="7" a="1"/>
  <c r="K225" i="7" a="1"/>
  <c r="N223" i="7" a="1"/>
  <c r="O216" i="7" a="1"/>
  <c r="M216" i="7" a="1"/>
  <c r="P217" i="7" a="1"/>
  <c r="T225" i="7" a="1"/>
  <c r="R223" i="7" a="1"/>
  <c r="W216" i="7" a="1"/>
  <c r="U216" i="7" a="1"/>
  <c r="S217" i="7" a="1"/>
  <c r="U225" i="7" a="1"/>
  <c r="L225" i="7" a="1"/>
  <c r="S223" i="7" a="1"/>
  <c r="V216" i="7" a="1"/>
  <c r="J216" i="7" a="1"/>
  <c r="K217" i="7" a="1"/>
  <c r="T217" i="7" a="1"/>
  <c r="N225" i="7" a="1"/>
  <c r="Q225" i="7" a="1"/>
  <c r="M223" i="7" a="1"/>
  <c r="Q216" i="7" a="1"/>
  <c r="S216" i="7" a="1"/>
  <c r="W225" i="7" a="1"/>
  <c r="J225" i="7" a="1"/>
  <c r="U223" i="7" a="1"/>
  <c r="R216" i="7" a="1"/>
  <c r="M217" i="7" a="1"/>
  <c r="L217" i="7" a="1"/>
  <c r="O217" i="7" a="1"/>
  <c r="P225" i="7" a="1"/>
  <c r="Y225" i="7" a="1"/>
  <c r="V223" i="7" a="1"/>
  <c r="K216" i="7" a="1"/>
  <c r="U217" i="7" a="1"/>
  <c r="M225" i="7" a="1"/>
  <c r="O223" i="7" a="1"/>
  <c r="I223" i="7" a="1"/>
  <c r="X216" i="7" a="1"/>
  <c r="N217" i="7" a="1"/>
  <c r="W217" i="7" a="1"/>
  <c r="V225" i="7" a="1"/>
  <c r="X223" i="7" a="1"/>
  <c r="Y223" i="7" a="1"/>
  <c r="P216" i="7" a="1"/>
  <c r="V217" i="7" a="1"/>
  <c r="X217" i="7" a="1"/>
  <c r="X217" i="7" l="1"/>
  <c r="V217" i="7"/>
  <c r="P216" i="7"/>
  <c r="Y223" i="7"/>
  <c r="X223" i="7"/>
  <c r="V225" i="7"/>
  <c r="W217" i="7"/>
  <c r="N217" i="7"/>
  <c r="X216" i="7"/>
  <c r="I223" i="7"/>
  <c r="O223" i="7"/>
  <c r="M225" i="7"/>
  <c r="U217" i="7"/>
  <c r="K216" i="7"/>
  <c r="V223" i="7"/>
  <c r="Y225" i="7"/>
  <c r="P225" i="7"/>
  <c r="O217" i="7"/>
  <c r="L217" i="7"/>
  <c r="M217" i="7"/>
  <c r="R216" i="7"/>
  <c r="U223" i="7"/>
  <c r="J225" i="7"/>
  <c r="W225" i="7"/>
  <c r="S216" i="7"/>
  <c r="Q216" i="7"/>
  <c r="M223" i="7"/>
  <c r="Q225" i="7"/>
  <c r="N225" i="7"/>
  <c r="T217" i="7"/>
  <c r="K217" i="7"/>
  <c r="J216" i="7"/>
  <c r="V216" i="7"/>
  <c r="S223" i="7"/>
  <c r="L225" i="7"/>
  <c r="U225" i="7"/>
  <c r="S217" i="7"/>
  <c r="U216" i="7"/>
  <c r="W216" i="7"/>
  <c r="R223" i="7"/>
  <c r="T225" i="7"/>
  <c r="P217" i="7"/>
  <c r="M216" i="7"/>
  <c r="O216" i="7"/>
  <c r="N223" i="7"/>
  <c r="K225" i="7"/>
  <c r="R217" i="7"/>
  <c r="I216" i="7"/>
  <c r="J125" i="7" s="1"/>
  <c r="N216" i="7"/>
  <c r="L223" i="7"/>
  <c r="X225" i="7"/>
  <c r="Y216" i="7"/>
  <c r="K223" i="7"/>
  <c r="J223" i="7"/>
  <c r="S225" i="7"/>
  <c r="J217" i="7"/>
  <c r="Y217" i="7"/>
  <c r="T216" i="7"/>
  <c r="T223" i="7"/>
  <c r="P223" i="7"/>
  <c r="R225" i="7"/>
  <c r="Q217" i="7"/>
  <c r="I217" i="7"/>
  <c r="J102" i="7" s="1"/>
  <c r="L216" i="7"/>
  <c r="Q223" i="7"/>
  <c r="W223" i="7"/>
  <c r="O225" i="7"/>
  <c r="BY679" i="3"/>
  <c r="BY667" i="3"/>
  <c r="J145" i="7"/>
  <c r="J110" i="7"/>
  <c r="J126" i="7"/>
  <c r="CJ268" i="3"/>
  <c r="CL268" i="3" s="1"/>
  <c r="CJ178" i="3"/>
  <c r="CL178" i="3" s="1"/>
  <c r="BV679" i="3"/>
  <c r="BZ679" i="3" s="1"/>
  <c r="CJ484" i="3"/>
  <c r="CL484" i="3" s="1"/>
  <c r="CJ682" i="3"/>
  <c r="CL682" i="3" s="1"/>
  <c r="CJ304" i="3"/>
  <c r="CL304" i="3" s="1"/>
  <c r="CJ214" i="3"/>
  <c r="CL214" i="3" s="1"/>
  <c r="CJ88" i="3"/>
  <c r="CL88" i="3" s="1"/>
  <c r="CC675" i="3"/>
  <c r="CD675" i="3" s="1"/>
  <c r="CJ466" i="3"/>
  <c r="CL466" i="3" s="1"/>
  <c r="CJ556" i="3"/>
  <c r="CL556" i="3" s="1"/>
  <c r="CJ340" i="3"/>
  <c r="CL340" i="3" s="1"/>
  <c r="CJ250" i="3"/>
  <c r="CL250" i="3" s="1"/>
  <c r="CJ124" i="3"/>
  <c r="CL124" i="3" s="1"/>
  <c r="CJ502" i="3"/>
  <c r="CL502" i="3" s="1"/>
  <c r="CJ376" i="3"/>
  <c r="CL376" i="3" s="1"/>
  <c r="CJ286" i="3"/>
  <c r="CL286" i="3" s="1"/>
  <c r="CJ160" i="3"/>
  <c r="CL160" i="3" s="1"/>
  <c r="CJ70" i="3"/>
  <c r="CL70" i="3" s="1"/>
  <c r="CJ646" i="3"/>
  <c r="CL646" i="3" s="1"/>
  <c r="CJ520" i="3"/>
  <c r="CL520" i="3" s="1"/>
  <c r="CJ52" i="3"/>
  <c r="CL52" i="3" s="1"/>
  <c r="CJ322" i="3"/>
  <c r="CL322" i="3" s="1"/>
  <c r="CJ430" i="3"/>
  <c r="CL430" i="3" s="1"/>
  <c r="CJ592" i="3"/>
  <c r="CL592" i="3" s="1"/>
  <c r="CJ538" i="3"/>
  <c r="CL538" i="3" s="1"/>
  <c r="CJ628" i="3"/>
  <c r="CL628" i="3" s="1"/>
  <c r="CJ412" i="3"/>
  <c r="CL412" i="3" s="1"/>
  <c r="CJ196" i="3"/>
  <c r="CL196" i="3" s="1"/>
  <c r="CJ106" i="3"/>
  <c r="CL106" i="3" s="1"/>
  <c r="CJ574" i="3"/>
  <c r="CL574" i="3" s="1"/>
  <c r="CJ358" i="3"/>
  <c r="CL358" i="3" s="1"/>
  <c r="CJ664" i="3"/>
  <c r="CL664" i="3" s="1"/>
  <c r="CJ448" i="3"/>
  <c r="CL448" i="3" s="1"/>
  <c r="CJ232" i="3"/>
  <c r="CL232" i="3" s="1"/>
  <c r="CJ142" i="3"/>
  <c r="CL142" i="3" s="1"/>
  <c r="CJ610" i="3"/>
  <c r="CL610" i="3" s="1"/>
  <c r="CJ394" i="3"/>
  <c r="CL394" i="3" s="1"/>
  <c r="BV669" i="3"/>
  <c r="BY671" i="3"/>
  <c r="BY681" i="3"/>
  <c r="CC677" i="3"/>
  <c r="CD677" i="3" s="1"/>
  <c r="CC679" i="3"/>
  <c r="CD679" i="3" s="1"/>
  <c r="BV681" i="3"/>
  <c r="BV677" i="3"/>
  <c r="CC673" i="3"/>
  <c r="CD673" i="3" s="1"/>
  <c r="BV673" i="3"/>
  <c r="BY677" i="3"/>
  <c r="CC671" i="3"/>
  <c r="CD671" i="3" s="1"/>
  <c r="CC667" i="3"/>
  <c r="CD667" i="3" s="1"/>
  <c r="CC681" i="3"/>
  <c r="CD681" i="3" s="1"/>
  <c r="BV675" i="3"/>
  <c r="BV671" i="3"/>
  <c r="CC669" i="3"/>
  <c r="CD669" i="3" s="1"/>
  <c r="BY673" i="3"/>
  <c r="BV667" i="3"/>
  <c r="BZ667" i="3" s="1"/>
  <c r="BV670" i="3"/>
  <c r="BV676" i="3"/>
  <c r="BY669" i="3"/>
  <c r="CC680" i="3"/>
  <c r="CD680" i="3" s="1"/>
  <c r="BV674" i="3"/>
  <c r="CC670" i="3"/>
  <c r="CD670" i="3" s="1"/>
  <c r="BV668" i="3"/>
  <c r="CC682" i="3"/>
  <c r="CD682" i="3" s="1"/>
  <c r="CC676" i="3"/>
  <c r="CD676" i="3" s="1"/>
  <c r="CC672" i="3"/>
  <c r="CD672" i="3" s="1"/>
  <c r="BY675" i="3"/>
  <c r="BV680" i="3"/>
  <c r="CC666" i="3"/>
  <c r="CD666" i="3" s="1"/>
  <c r="BV682" i="3"/>
  <c r="CC678" i="3"/>
  <c r="CD678" i="3" s="1"/>
  <c r="BV666" i="3"/>
  <c r="BV678" i="3"/>
  <c r="CC674" i="3"/>
  <c r="CD674" i="3" s="1"/>
  <c r="BV672" i="3"/>
  <c r="CC668" i="3"/>
  <c r="CD668" i="3" s="1"/>
  <c r="BY678" i="3"/>
  <c r="BY674" i="3"/>
  <c r="BY666" i="3"/>
  <c r="BY682" i="3"/>
  <c r="BY670" i="3"/>
  <c r="BY672" i="3"/>
  <c r="BY680" i="3"/>
  <c r="BY676" i="3"/>
  <c r="BY668" i="3"/>
  <c r="K114" i="7"/>
  <c r="K106" i="7"/>
  <c r="K121" i="7"/>
  <c r="K139" i="7"/>
  <c r="K112" i="7"/>
  <c r="K101" i="7"/>
  <c r="K147" i="7"/>
  <c r="K138" i="7"/>
  <c r="K102" i="7"/>
  <c r="K132" i="7"/>
  <c r="K105" i="7"/>
  <c r="K115" i="7"/>
  <c r="K125" i="7"/>
  <c r="K126" i="7"/>
  <c r="K145" i="7"/>
  <c r="K110" i="7"/>
  <c r="J115" i="7" l="1"/>
  <c r="J138" i="7"/>
  <c r="J105" i="7"/>
  <c r="J101" i="7"/>
  <c r="F254" i="7" s="1"/>
  <c r="BN22" i="6" s="1"/>
  <c r="J106" i="7"/>
  <c r="J114" i="7"/>
  <c r="J139" i="7"/>
  <c r="BI24" i="6"/>
  <c r="F257" i="7"/>
  <c r="F255" i="7"/>
  <c r="BN23" i="6" s="1"/>
  <c r="F256" i="7"/>
  <c r="BN24" i="6" s="1"/>
  <c r="BI25" i="6"/>
  <c r="BI22" i="6"/>
  <c r="BI23" i="6"/>
  <c r="BZ669" i="3"/>
  <c r="BZ681" i="3"/>
  <c r="BZ671" i="3"/>
  <c r="BZ677" i="3"/>
  <c r="BZ678" i="3"/>
  <c r="BZ668" i="3"/>
  <c r="BZ682" i="3"/>
  <c r="BZ675" i="3"/>
  <c r="BZ673" i="3"/>
  <c r="BZ666" i="3"/>
  <c r="BZ676" i="3"/>
  <c r="BZ672" i="3"/>
  <c r="BZ670" i="3"/>
  <c r="BZ680" i="3"/>
  <c r="BZ674" i="3"/>
  <c r="BE22" i="6" l="1"/>
  <c r="BN25" i="6"/>
  <c r="BE24" i="6"/>
  <c r="BE23" i="6"/>
  <c r="BE25" i="6"/>
  <c r="L666" i="3"/>
  <c r="O666" i="3" s="1"/>
  <c r="W666" i="3"/>
  <c r="AA666" i="3"/>
  <c r="AL666" i="3" s="1"/>
  <c r="AE666" i="3"/>
  <c r="AF666" i="3" s="1"/>
  <c r="AM666" i="3"/>
  <c r="AN666" i="3"/>
  <c r="AO666" i="3"/>
  <c r="AP666" i="3"/>
  <c r="AQ666" i="3"/>
  <c r="AS666" i="3" s="1"/>
  <c r="AT666" i="3" s="1"/>
  <c r="L667" i="3"/>
  <c r="O667" i="3" s="1"/>
  <c r="W667" i="3"/>
  <c r="AA667" i="3"/>
  <c r="AL667" i="3" s="1"/>
  <c r="AE667" i="3"/>
  <c r="AH667" i="3" s="1"/>
  <c r="AM667" i="3"/>
  <c r="AN667" i="3"/>
  <c r="AO667" i="3"/>
  <c r="AP667" i="3"/>
  <c r="AQ667" i="3"/>
  <c r="AS667" i="3" s="1"/>
  <c r="AT667" i="3" s="1"/>
  <c r="L668" i="3"/>
  <c r="O668" i="3" s="1"/>
  <c r="W668" i="3"/>
  <c r="AA668" i="3"/>
  <c r="AL668" i="3" s="1"/>
  <c r="AE668" i="3"/>
  <c r="AH668" i="3" s="1"/>
  <c r="AM668" i="3"/>
  <c r="AN668" i="3"/>
  <c r="AO668" i="3"/>
  <c r="AP668" i="3"/>
  <c r="AQ668" i="3"/>
  <c r="AS668" i="3" s="1"/>
  <c r="AT668" i="3" s="1"/>
  <c r="L669" i="3"/>
  <c r="O669" i="3" s="1"/>
  <c r="W669" i="3"/>
  <c r="AA669" i="3"/>
  <c r="AL669" i="3" s="1"/>
  <c r="AE669" i="3"/>
  <c r="AF669" i="3" s="1"/>
  <c r="AM669" i="3"/>
  <c r="AN669" i="3"/>
  <c r="AO669" i="3"/>
  <c r="AP669" i="3"/>
  <c r="AQ669" i="3"/>
  <c r="AS669" i="3" s="1"/>
  <c r="AT669" i="3" s="1"/>
  <c r="AU669" i="3" s="1"/>
  <c r="L670" i="3"/>
  <c r="O670" i="3" s="1"/>
  <c r="W670" i="3"/>
  <c r="AA670" i="3"/>
  <c r="AL670" i="3" s="1"/>
  <c r="AE670" i="3"/>
  <c r="AH670" i="3" s="1"/>
  <c r="AM670" i="3"/>
  <c r="AN670" i="3"/>
  <c r="AO670" i="3"/>
  <c r="AP670" i="3"/>
  <c r="AQ670" i="3"/>
  <c r="AS670" i="3" s="1"/>
  <c r="AT670" i="3" s="1"/>
  <c r="L671" i="3"/>
  <c r="O671" i="3" s="1"/>
  <c r="W671" i="3"/>
  <c r="AA671" i="3"/>
  <c r="AL671" i="3" s="1"/>
  <c r="AE671" i="3"/>
  <c r="AH671" i="3" s="1"/>
  <c r="AM671" i="3"/>
  <c r="AN671" i="3"/>
  <c r="AO671" i="3"/>
  <c r="AP671" i="3"/>
  <c r="AQ671" i="3"/>
  <c r="AS671" i="3" s="1"/>
  <c r="AT671" i="3" s="1"/>
  <c r="L672" i="3"/>
  <c r="O672" i="3" s="1"/>
  <c r="W672" i="3"/>
  <c r="AA672" i="3"/>
  <c r="AL672" i="3" s="1"/>
  <c r="AE672" i="3"/>
  <c r="AF672" i="3" s="1"/>
  <c r="AM672" i="3"/>
  <c r="AN672" i="3"/>
  <c r="AO672" i="3"/>
  <c r="AP672" i="3"/>
  <c r="AQ672" i="3"/>
  <c r="L673" i="3"/>
  <c r="O673" i="3" s="1"/>
  <c r="W673" i="3"/>
  <c r="AA673" i="3"/>
  <c r="AL673" i="3" s="1"/>
  <c r="AE673" i="3"/>
  <c r="AH673" i="3" s="1"/>
  <c r="AM673" i="3"/>
  <c r="AN673" i="3"/>
  <c r="AO673" i="3"/>
  <c r="AP673" i="3"/>
  <c r="AQ673" i="3"/>
  <c r="L674" i="3"/>
  <c r="O674" i="3" s="1"/>
  <c r="W674" i="3"/>
  <c r="AA674" i="3"/>
  <c r="AL674" i="3" s="1"/>
  <c r="AE674" i="3"/>
  <c r="AM674" i="3"/>
  <c r="AN674" i="3"/>
  <c r="AO674" i="3"/>
  <c r="AP674" i="3"/>
  <c r="AQ674" i="3"/>
  <c r="L675" i="3"/>
  <c r="O675" i="3" s="1"/>
  <c r="W675" i="3"/>
  <c r="AA675" i="3"/>
  <c r="AL675" i="3" s="1"/>
  <c r="AE675" i="3"/>
  <c r="AF675" i="3" s="1"/>
  <c r="AM675" i="3"/>
  <c r="AN675" i="3"/>
  <c r="AO675" i="3"/>
  <c r="AP675" i="3"/>
  <c r="AQ675" i="3"/>
  <c r="L676" i="3"/>
  <c r="O676" i="3" s="1"/>
  <c r="W676" i="3"/>
  <c r="AA676" i="3"/>
  <c r="AL676" i="3" s="1"/>
  <c r="AE676" i="3"/>
  <c r="AM676" i="3"/>
  <c r="AN676" i="3"/>
  <c r="AO676" i="3"/>
  <c r="AP676" i="3"/>
  <c r="AQ676" i="3"/>
  <c r="AS676" i="3" s="1"/>
  <c r="AT676" i="3" s="1"/>
  <c r="L677" i="3"/>
  <c r="O677" i="3" s="1"/>
  <c r="W677" i="3"/>
  <c r="AA677" i="3"/>
  <c r="AL677" i="3" s="1"/>
  <c r="AE677" i="3"/>
  <c r="AM677" i="3"/>
  <c r="AN677" i="3"/>
  <c r="AO677" i="3"/>
  <c r="AP677" i="3"/>
  <c r="AQ677" i="3"/>
  <c r="L678" i="3"/>
  <c r="O678" i="3" s="1"/>
  <c r="W678" i="3"/>
  <c r="AA678" i="3"/>
  <c r="AL678" i="3" s="1"/>
  <c r="AE678" i="3"/>
  <c r="AF678" i="3" s="1"/>
  <c r="AM678" i="3"/>
  <c r="AN678" i="3"/>
  <c r="AO678" i="3"/>
  <c r="AP678" i="3"/>
  <c r="AQ678" i="3"/>
  <c r="AS678" i="3" s="1"/>
  <c r="AT678" i="3" s="1"/>
  <c r="L679" i="3"/>
  <c r="O679" i="3" s="1"/>
  <c r="W679" i="3"/>
  <c r="AA679" i="3"/>
  <c r="AL679" i="3" s="1"/>
  <c r="AE679" i="3"/>
  <c r="AF679" i="3" s="1"/>
  <c r="AM679" i="3"/>
  <c r="AN679" i="3"/>
  <c r="AO679" i="3"/>
  <c r="AP679" i="3"/>
  <c r="AQ679" i="3"/>
  <c r="AS679" i="3" s="1"/>
  <c r="AT679" i="3" s="1"/>
  <c r="L680" i="3"/>
  <c r="O680" i="3" s="1"/>
  <c r="W680" i="3"/>
  <c r="AA680" i="3"/>
  <c r="AL680" i="3" s="1"/>
  <c r="AE680" i="3"/>
  <c r="AH680" i="3" s="1"/>
  <c r="AM680" i="3"/>
  <c r="AN680" i="3"/>
  <c r="AO680" i="3"/>
  <c r="AP680" i="3"/>
  <c r="AQ680" i="3"/>
  <c r="AS680" i="3" s="1"/>
  <c r="AT680" i="3" s="1"/>
  <c r="L681" i="3"/>
  <c r="O681" i="3" s="1"/>
  <c r="W681" i="3"/>
  <c r="AA681" i="3"/>
  <c r="AL681" i="3" s="1"/>
  <c r="AE681" i="3"/>
  <c r="AF681" i="3" s="1"/>
  <c r="AM681" i="3"/>
  <c r="AN681" i="3"/>
  <c r="AO681" i="3"/>
  <c r="AP681" i="3"/>
  <c r="AQ681" i="3"/>
  <c r="AS681" i="3" s="1"/>
  <c r="AT681" i="3" s="1"/>
  <c r="AU681" i="3" s="1"/>
  <c r="L682" i="3"/>
  <c r="O682" i="3" s="1"/>
  <c r="W682" i="3"/>
  <c r="AA682" i="3"/>
  <c r="AL682" i="3" s="1"/>
  <c r="AE682" i="3"/>
  <c r="AF682" i="3" s="1"/>
  <c r="AM682" i="3"/>
  <c r="AN682" i="3"/>
  <c r="AO682" i="3"/>
  <c r="AP682" i="3"/>
  <c r="AQ682" i="3"/>
  <c r="L648" i="3"/>
  <c r="O648" i="3" s="1"/>
  <c r="W648" i="3"/>
  <c r="AA648" i="3"/>
  <c r="AL648" i="3" s="1"/>
  <c r="AE648" i="3"/>
  <c r="AM648" i="3"/>
  <c r="AN648" i="3"/>
  <c r="AO648" i="3"/>
  <c r="AP648" i="3"/>
  <c r="AQ648" i="3"/>
  <c r="AS648" i="3" s="1"/>
  <c r="AT648" i="3" s="1"/>
  <c r="AW648" i="3"/>
  <c r="AY648" i="3" s="1"/>
  <c r="BD648" i="3"/>
  <c r="BM648" i="3" s="1"/>
  <c r="BF648" i="3"/>
  <c r="BG648" i="3"/>
  <c r="BQ648" i="3"/>
  <c r="BT648" i="3"/>
  <c r="BU648" i="3"/>
  <c r="BW648" i="3"/>
  <c r="CA648" i="3"/>
  <c r="CB648" i="3"/>
  <c r="L649" i="3"/>
  <c r="O649" i="3" s="1"/>
  <c r="W649" i="3"/>
  <c r="AA649" i="3"/>
  <c r="AL649" i="3" s="1"/>
  <c r="AE649" i="3"/>
  <c r="AM649" i="3"/>
  <c r="AN649" i="3"/>
  <c r="AO649" i="3"/>
  <c r="AP649" i="3"/>
  <c r="AQ649" i="3"/>
  <c r="AS649" i="3" s="1"/>
  <c r="AT649" i="3" s="1"/>
  <c r="AW649" i="3"/>
  <c r="AY649" i="3" s="1"/>
  <c r="BD649" i="3"/>
  <c r="BO649" i="3" s="1"/>
  <c r="BF649" i="3"/>
  <c r="BG649" i="3"/>
  <c r="BQ649" i="3"/>
  <c r="BT649" i="3"/>
  <c r="BU649" i="3"/>
  <c r="BW649" i="3"/>
  <c r="CA649" i="3"/>
  <c r="CB649" i="3"/>
  <c r="L650" i="3"/>
  <c r="O650" i="3" s="1"/>
  <c r="W650" i="3"/>
  <c r="AA650" i="3"/>
  <c r="AL650" i="3" s="1"/>
  <c r="AE650" i="3"/>
  <c r="AH650" i="3" s="1"/>
  <c r="AM650" i="3"/>
  <c r="AN650" i="3"/>
  <c r="AO650" i="3"/>
  <c r="AP650" i="3"/>
  <c r="AQ650" i="3"/>
  <c r="AS650" i="3" s="1"/>
  <c r="AT650" i="3" s="1"/>
  <c r="AW650" i="3"/>
  <c r="AY650" i="3" s="1"/>
  <c r="BD650" i="3"/>
  <c r="BF650" i="3"/>
  <c r="BG650" i="3"/>
  <c r="BQ650" i="3"/>
  <c r="BT650" i="3"/>
  <c r="BU650" i="3"/>
  <c r="BW650" i="3"/>
  <c r="CA650" i="3"/>
  <c r="CB650" i="3"/>
  <c r="L651" i="3"/>
  <c r="O651" i="3" s="1"/>
  <c r="W651" i="3"/>
  <c r="AA651" i="3"/>
  <c r="AL651" i="3" s="1"/>
  <c r="AE651" i="3"/>
  <c r="AF651" i="3" s="1"/>
  <c r="AM651" i="3"/>
  <c r="AN651" i="3"/>
  <c r="AO651" i="3"/>
  <c r="AP651" i="3"/>
  <c r="AQ651" i="3"/>
  <c r="AS651" i="3" s="1"/>
  <c r="AT651" i="3" s="1"/>
  <c r="AW651" i="3"/>
  <c r="AY651" i="3" s="1"/>
  <c r="BD651" i="3"/>
  <c r="BM651" i="3" s="1"/>
  <c r="BF651" i="3"/>
  <c r="BG651" i="3"/>
  <c r="BQ651" i="3"/>
  <c r="BT651" i="3"/>
  <c r="BU651" i="3"/>
  <c r="BW651" i="3"/>
  <c r="CA651" i="3"/>
  <c r="CB651" i="3"/>
  <c r="L652" i="3"/>
  <c r="O652" i="3" s="1"/>
  <c r="W652" i="3"/>
  <c r="AA652" i="3"/>
  <c r="AL652" i="3" s="1"/>
  <c r="AE652" i="3"/>
  <c r="AM652" i="3"/>
  <c r="AN652" i="3"/>
  <c r="AO652" i="3"/>
  <c r="AP652" i="3"/>
  <c r="AQ652" i="3"/>
  <c r="AS652" i="3" s="1"/>
  <c r="AT652" i="3" s="1"/>
  <c r="AW652" i="3"/>
  <c r="AY652" i="3" s="1"/>
  <c r="BD652" i="3"/>
  <c r="BF652" i="3"/>
  <c r="BG652" i="3"/>
  <c r="BQ652" i="3"/>
  <c r="BT652" i="3"/>
  <c r="BU652" i="3"/>
  <c r="BW652" i="3"/>
  <c r="CA652" i="3"/>
  <c r="CB652" i="3"/>
  <c r="L653" i="3"/>
  <c r="O653" i="3" s="1"/>
  <c r="W653" i="3"/>
  <c r="AA653" i="3"/>
  <c r="AL653" i="3" s="1"/>
  <c r="AE653" i="3"/>
  <c r="AM653" i="3"/>
  <c r="AN653" i="3"/>
  <c r="AO653" i="3"/>
  <c r="AP653" i="3"/>
  <c r="AQ653" i="3"/>
  <c r="AS653" i="3" s="1"/>
  <c r="AT653" i="3" s="1"/>
  <c r="AW653" i="3"/>
  <c r="AY653" i="3" s="1"/>
  <c r="BD653" i="3"/>
  <c r="BM653" i="3" s="1"/>
  <c r="BF653" i="3"/>
  <c r="BG653" i="3"/>
  <c r="BQ653" i="3"/>
  <c r="BT653" i="3"/>
  <c r="BU653" i="3"/>
  <c r="BW653" i="3"/>
  <c r="CA653" i="3"/>
  <c r="CB653" i="3"/>
  <c r="L654" i="3"/>
  <c r="O654" i="3" s="1"/>
  <c r="W654" i="3"/>
  <c r="AA654" i="3"/>
  <c r="AL654" i="3" s="1"/>
  <c r="AE654" i="3"/>
  <c r="AF654" i="3" s="1"/>
  <c r="AM654" i="3"/>
  <c r="AN654" i="3"/>
  <c r="AO654" i="3"/>
  <c r="AP654" i="3"/>
  <c r="AQ654" i="3"/>
  <c r="AW654" i="3"/>
  <c r="AY654" i="3" s="1"/>
  <c r="BD654" i="3"/>
  <c r="BM654" i="3" s="1"/>
  <c r="BF654" i="3"/>
  <c r="BG654" i="3"/>
  <c r="BQ654" i="3"/>
  <c r="BT654" i="3"/>
  <c r="BU654" i="3"/>
  <c r="BW654" i="3"/>
  <c r="CA654" i="3"/>
  <c r="CB654" i="3"/>
  <c r="L655" i="3"/>
  <c r="O655" i="3" s="1"/>
  <c r="W655" i="3"/>
  <c r="AA655" i="3"/>
  <c r="AL655" i="3" s="1"/>
  <c r="AE655" i="3"/>
  <c r="AF655" i="3" s="1"/>
  <c r="AM655" i="3"/>
  <c r="AN655" i="3"/>
  <c r="AO655" i="3"/>
  <c r="AP655" i="3"/>
  <c r="AQ655" i="3"/>
  <c r="AS655" i="3" s="1"/>
  <c r="AT655" i="3" s="1"/>
  <c r="AW655" i="3"/>
  <c r="AY655" i="3" s="1"/>
  <c r="BD655" i="3"/>
  <c r="BF655" i="3"/>
  <c r="BG655" i="3"/>
  <c r="BQ655" i="3"/>
  <c r="BT655" i="3"/>
  <c r="BU655" i="3"/>
  <c r="BW655" i="3"/>
  <c r="CA655" i="3"/>
  <c r="CB655" i="3"/>
  <c r="L656" i="3"/>
  <c r="O656" i="3" s="1"/>
  <c r="W656" i="3"/>
  <c r="AA656" i="3"/>
  <c r="AL656" i="3" s="1"/>
  <c r="AE656" i="3"/>
  <c r="AH656" i="3" s="1"/>
  <c r="AM656" i="3"/>
  <c r="AN656" i="3"/>
  <c r="AO656" i="3"/>
  <c r="AP656" i="3"/>
  <c r="AQ656" i="3"/>
  <c r="AS656" i="3" s="1"/>
  <c r="AT656" i="3" s="1"/>
  <c r="AW656" i="3"/>
  <c r="AY656" i="3" s="1"/>
  <c r="BD656" i="3"/>
  <c r="BM656" i="3" s="1"/>
  <c r="BF656" i="3"/>
  <c r="BG656" i="3"/>
  <c r="BQ656" i="3"/>
  <c r="BT656" i="3"/>
  <c r="BU656" i="3"/>
  <c r="BW656" i="3"/>
  <c r="CA656" i="3"/>
  <c r="CB656" i="3"/>
  <c r="L657" i="3"/>
  <c r="O657" i="3" s="1"/>
  <c r="W657" i="3"/>
  <c r="AA657" i="3"/>
  <c r="AL657" i="3" s="1"/>
  <c r="AE657" i="3"/>
  <c r="AF657" i="3" s="1"/>
  <c r="AM657" i="3"/>
  <c r="AN657" i="3"/>
  <c r="AO657" i="3"/>
  <c r="AP657" i="3"/>
  <c r="AQ657" i="3"/>
  <c r="AS657" i="3" s="1"/>
  <c r="AT657" i="3" s="1"/>
  <c r="AW657" i="3"/>
  <c r="AY657" i="3" s="1"/>
  <c r="BD657" i="3"/>
  <c r="BF657" i="3"/>
  <c r="BG657" i="3"/>
  <c r="BQ657" i="3"/>
  <c r="BT657" i="3"/>
  <c r="BU657" i="3"/>
  <c r="BW657" i="3"/>
  <c r="CA657" i="3"/>
  <c r="CB657" i="3"/>
  <c r="L658" i="3"/>
  <c r="O658" i="3" s="1"/>
  <c r="W658" i="3"/>
  <c r="AA658" i="3"/>
  <c r="AL658" i="3" s="1"/>
  <c r="AE658" i="3"/>
  <c r="AF658" i="3" s="1"/>
  <c r="AM658" i="3"/>
  <c r="AN658" i="3"/>
  <c r="AO658" i="3"/>
  <c r="AP658" i="3"/>
  <c r="AQ658" i="3"/>
  <c r="AS658" i="3" s="1"/>
  <c r="AT658" i="3" s="1"/>
  <c r="AW658" i="3"/>
  <c r="AY658" i="3" s="1"/>
  <c r="BD658" i="3"/>
  <c r="BM658" i="3" s="1"/>
  <c r="BF658" i="3"/>
  <c r="BG658" i="3"/>
  <c r="BQ658" i="3"/>
  <c r="BT658" i="3"/>
  <c r="BU658" i="3"/>
  <c r="BW658" i="3"/>
  <c r="CA658" i="3"/>
  <c r="CB658" i="3"/>
  <c r="L659" i="3"/>
  <c r="O659" i="3" s="1"/>
  <c r="W659" i="3"/>
  <c r="AA659" i="3"/>
  <c r="AL659" i="3" s="1"/>
  <c r="AE659" i="3"/>
  <c r="AH659" i="3" s="1"/>
  <c r="AM659" i="3"/>
  <c r="AN659" i="3"/>
  <c r="AO659" i="3"/>
  <c r="AP659" i="3"/>
  <c r="AQ659" i="3"/>
  <c r="AS659" i="3" s="1"/>
  <c r="AT659" i="3" s="1"/>
  <c r="AW659" i="3"/>
  <c r="AY659" i="3" s="1"/>
  <c r="BD659" i="3"/>
  <c r="BM659" i="3" s="1"/>
  <c r="BF659" i="3"/>
  <c r="BG659" i="3"/>
  <c r="BQ659" i="3"/>
  <c r="BT659" i="3"/>
  <c r="BU659" i="3"/>
  <c r="BW659" i="3"/>
  <c r="CA659" i="3"/>
  <c r="CB659" i="3"/>
  <c r="L660" i="3"/>
  <c r="O660" i="3" s="1"/>
  <c r="W660" i="3"/>
  <c r="AA660" i="3"/>
  <c r="AL660" i="3" s="1"/>
  <c r="AE660" i="3"/>
  <c r="AM660" i="3"/>
  <c r="AN660" i="3"/>
  <c r="AO660" i="3"/>
  <c r="AP660" i="3"/>
  <c r="AQ660" i="3"/>
  <c r="AS660" i="3" s="1"/>
  <c r="AT660" i="3" s="1"/>
  <c r="AW660" i="3"/>
  <c r="AY660" i="3" s="1"/>
  <c r="BD660" i="3"/>
  <c r="BM660" i="3" s="1"/>
  <c r="BF660" i="3"/>
  <c r="BG660" i="3"/>
  <c r="BQ660" i="3"/>
  <c r="BT660" i="3"/>
  <c r="BU660" i="3"/>
  <c r="BW660" i="3"/>
  <c r="CA660" i="3"/>
  <c r="CB660" i="3"/>
  <c r="L661" i="3"/>
  <c r="O661" i="3" s="1"/>
  <c r="W661" i="3"/>
  <c r="AA661" i="3"/>
  <c r="AL661" i="3" s="1"/>
  <c r="AE661" i="3"/>
  <c r="AF661" i="3" s="1"/>
  <c r="AM661" i="3"/>
  <c r="AN661" i="3"/>
  <c r="AO661" i="3"/>
  <c r="AP661" i="3"/>
  <c r="AQ661" i="3"/>
  <c r="AS661" i="3" s="1"/>
  <c r="AT661" i="3" s="1"/>
  <c r="AW661" i="3"/>
  <c r="AY661" i="3" s="1"/>
  <c r="BD661" i="3"/>
  <c r="BO661" i="3" s="1"/>
  <c r="BF661" i="3"/>
  <c r="BG661" i="3"/>
  <c r="BQ661" i="3"/>
  <c r="BT661" i="3"/>
  <c r="BU661" i="3"/>
  <c r="BW661" i="3"/>
  <c r="CA661" i="3"/>
  <c r="CB661" i="3"/>
  <c r="L662" i="3"/>
  <c r="O662" i="3" s="1"/>
  <c r="W662" i="3"/>
  <c r="AA662" i="3"/>
  <c r="AL662" i="3" s="1"/>
  <c r="AE662" i="3"/>
  <c r="AH662" i="3" s="1"/>
  <c r="AM662" i="3"/>
  <c r="AN662" i="3"/>
  <c r="AO662" i="3"/>
  <c r="AP662" i="3"/>
  <c r="AQ662" i="3"/>
  <c r="AS662" i="3" s="1"/>
  <c r="AT662" i="3" s="1"/>
  <c r="AW662" i="3"/>
  <c r="AY662" i="3" s="1"/>
  <c r="BD662" i="3"/>
  <c r="BO662" i="3" s="1"/>
  <c r="BF662" i="3"/>
  <c r="BG662" i="3"/>
  <c r="BQ662" i="3"/>
  <c r="BT662" i="3"/>
  <c r="BU662" i="3"/>
  <c r="BW662" i="3"/>
  <c r="CA662" i="3"/>
  <c r="CB662" i="3"/>
  <c r="L663" i="3"/>
  <c r="O663" i="3" s="1"/>
  <c r="W663" i="3"/>
  <c r="AA663" i="3"/>
  <c r="AL663" i="3" s="1"/>
  <c r="AE663" i="3"/>
  <c r="AF663" i="3" s="1"/>
  <c r="AM663" i="3"/>
  <c r="AN663" i="3"/>
  <c r="AO663" i="3"/>
  <c r="AP663" i="3"/>
  <c r="AQ663" i="3"/>
  <c r="AS663" i="3" s="1"/>
  <c r="AT663" i="3" s="1"/>
  <c r="AW663" i="3"/>
  <c r="AY663" i="3" s="1"/>
  <c r="BD663" i="3"/>
  <c r="BM663" i="3" s="1"/>
  <c r="BF663" i="3"/>
  <c r="BG663" i="3"/>
  <c r="BQ663" i="3"/>
  <c r="BT663" i="3"/>
  <c r="BU663" i="3"/>
  <c r="BW663" i="3"/>
  <c r="CA663" i="3"/>
  <c r="CB663" i="3"/>
  <c r="L664" i="3"/>
  <c r="O664" i="3" s="1"/>
  <c r="W664" i="3"/>
  <c r="AA664" i="3"/>
  <c r="AL664" i="3" s="1"/>
  <c r="AE664" i="3"/>
  <c r="AM664" i="3"/>
  <c r="AN664" i="3"/>
  <c r="AO664" i="3"/>
  <c r="AP664" i="3"/>
  <c r="AQ664" i="3"/>
  <c r="AS664" i="3" s="1"/>
  <c r="AT664" i="3" s="1"/>
  <c r="AW664" i="3"/>
  <c r="AY664" i="3" s="1"/>
  <c r="BD664" i="3"/>
  <c r="BF664" i="3"/>
  <c r="BG664" i="3"/>
  <c r="BQ664" i="3"/>
  <c r="BT664" i="3"/>
  <c r="BU664" i="3"/>
  <c r="BW664" i="3"/>
  <c r="CA664" i="3"/>
  <c r="CB664" i="3"/>
  <c r="L630" i="3"/>
  <c r="O630" i="3" s="1"/>
  <c r="W630" i="3"/>
  <c r="AA630" i="3"/>
  <c r="AL630" i="3" s="1"/>
  <c r="AE630" i="3"/>
  <c r="AH630" i="3" s="1"/>
  <c r="AM630" i="3"/>
  <c r="AN630" i="3"/>
  <c r="AQ630" i="3"/>
  <c r="AS630" i="3" s="1"/>
  <c r="AT630" i="3" s="1"/>
  <c r="AW630" i="3"/>
  <c r="AY630" i="3" s="1"/>
  <c r="BD630" i="3"/>
  <c r="BO630" i="3" s="1"/>
  <c r="BF630" i="3"/>
  <c r="BG630" i="3"/>
  <c r="BM630" i="3"/>
  <c r="BQ630" i="3"/>
  <c r="BT630" i="3"/>
  <c r="BU630" i="3"/>
  <c r="BW630" i="3"/>
  <c r="CA630" i="3"/>
  <c r="CB630" i="3"/>
  <c r="L631" i="3"/>
  <c r="O631" i="3" s="1"/>
  <c r="W631" i="3"/>
  <c r="AA631" i="3"/>
  <c r="AL631" i="3" s="1"/>
  <c r="AE631" i="3"/>
  <c r="AF631" i="3" s="1"/>
  <c r="AM631" i="3"/>
  <c r="AN631" i="3"/>
  <c r="AQ631" i="3"/>
  <c r="AS631" i="3" s="1"/>
  <c r="AT631" i="3" s="1"/>
  <c r="AW631" i="3"/>
  <c r="AY631" i="3" s="1"/>
  <c r="BD631" i="3"/>
  <c r="BO631" i="3" s="1"/>
  <c r="BF631" i="3"/>
  <c r="BG631" i="3"/>
  <c r="BM631" i="3"/>
  <c r="BQ631" i="3"/>
  <c r="BT631" i="3"/>
  <c r="BU631" i="3"/>
  <c r="BW631" i="3"/>
  <c r="CA631" i="3"/>
  <c r="CB631" i="3"/>
  <c r="L632" i="3"/>
  <c r="O632" i="3" s="1"/>
  <c r="W632" i="3"/>
  <c r="AA632" i="3"/>
  <c r="AL632" i="3" s="1"/>
  <c r="AE632" i="3"/>
  <c r="AH632" i="3" s="1"/>
  <c r="AM632" i="3"/>
  <c r="AN632" i="3"/>
  <c r="AQ632" i="3"/>
  <c r="AS632" i="3" s="1"/>
  <c r="AT632" i="3" s="1"/>
  <c r="AW632" i="3"/>
  <c r="AY632" i="3" s="1"/>
  <c r="BD632" i="3"/>
  <c r="BO632" i="3" s="1"/>
  <c r="BF632" i="3"/>
  <c r="BG632" i="3"/>
  <c r="BM632" i="3"/>
  <c r="BQ632" i="3"/>
  <c r="BT632" i="3"/>
  <c r="BU632" i="3"/>
  <c r="BW632" i="3"/>
  <c r="CA632" i="3"/>
  <c r="CB632" i="3"/>
  <c r="L633" i="3"/>
  <c r="O633" i="3" s="1"/>
  <c r="W633" i="3"/>
  <c r="AA633" i="3"/>
  <c r="AL633" i="3" s="1"/>
  <c r="AE633" i="3"/>
  <c r="AF633" i="3" s="1"/>
  <c r="AM633" i="3"/>
  <c r="AN633" i="3"/>
  <c r="AQ633" i="3"/>
  <c r="AS633" i="3" s="1"/>
  <c r="AT633" i="3" s="1"/>
  <c r="AW633" i="3"/>
  <c r="AY633" i="3" s="1"/>
  <c r="BD633" i="3"/>
  <c r="BO633" i="3" s="1"/>
  <c r="BF633" i="3"/>
  <c r="BG633" i="3"/>
  <c r="BM633" i="3"/>
  <c r="BQ633" i="3"/>
  <c r="BT633" i="3"/>
  <c r="BU633" i="3"/>
  <c r="BW633" i="3"/>
  <c r="CA633" i="3"/>
  <c r="CB633" i="3"/>
  <c r="L634" i="3"/>
  <c r="O634" i="3" s="1"/>
  <c r="W634" i="3"/>
  <c r="AA634" i="3"/>
  <c r="AL634" i="3" s="1"/>
  <c r="AE634" i="3"/>
  <c r="AM634" i="3"/>
  <c r="AN634" i="3"/>
  <c r="AQ634" i="3"/>
  <c r="AS634" i="3" s="1"/>
  <c r="AT634" i="3" s="1"/>
  <c r="AW634" i="3"/>
  <c r="AY634" i="3" s="1"/>
  <c r="BD634" i="3"/>
  <c r="BO634" i="3" s="1"/>
  <c r="BF634" i="3"/>
  <c r="BG634" i="3"/>
  <c r="BM634" i="3"/>
  <c r="BQ634" i="3"/>
  <c r="BT634" i="3"/>
  <c r="BU634" i="3"/>
  <c r="BW634" i="3"/>
  <c r="CA634" i="3"/>
  <c r="CB634" i="3"/>
  <c r="L635" i="3"/>
  <c r="O635" i="3" s="1"/>
  <c r="W635" i="3"/>
  <c r="AA635" i="3"/>
  <c r="AL635" i="3" s="1"/>
  <c r="AE635" i="3"/>
  <c r="AF635" i="3" s="1"/>
  <c r="AM635" i="3"/>
  <c r="AN635" i="3"/>
  <c r="AQ635" i="3"/>
  <c r="AS635" i="3" s="1"/>
  <c r="AT635" i="3" s="1"/>
  <c r="AW635" i="3"/>
  <c r="AY635" i="3" s="1"/>
  <c r="BD635" i="3"/>
  <c r="BO635" i="3" s="1"/>
  <c r="BF635" i="3"/>
  <c r="BG635" i="3"/>
  <c r="BM635" i="3"/>
  <c r="BQ635" i="3"/>
  <c r="BT635" i="3"/>
  <c r="BU635" i="3"/>
  <c r="BW635" i="3"/>
  <c r="CA635" i="3"/>
  <c r="CB635" i="3"/>
  <c r="L636" i="3"/>
  <c r="O636" i="3" s="1"/>
  <c r="W636" i="3"/>
  <c r="AA636" i="3"/>
  <c r="AL636" i="3" s="1"/>
  <c r="AE636" i="3"/>
  <c r="AF636" i="3" s="1"/>
  <c r="AM636" i="3"/>
  <c r="AN636" i="3"/>
  <c r="AQ636" i="3"/>
  <c r="AW636" i="3"/>
  <c r="AY636" i="3" s="1"/>
  <c r="BD636" i="3"/>
  <c r="BO636" i="3" s="1"/>
  <c r="BF636" i="3"/>
  <c r="BG636" i="3"/>
  <c r="BM636" i="3"/>
  <c r="BQ636" i="3"/>
  <c r="BT636" i="3"/>
  <c r="BU636" i="3"/>
  <c r="BW636" i="3"/>
  <c r="CA636" i="3"/>
  <c r="CB636" i="3"/>
  <c r="L637" i="3"/>
  <c r="O637" i="3" s="1"/>
  <c r="W637" i="3"/>
  <c r="AA637" i="3"/>
  <c r="AL637" i="3" s="1"/>
  <c r="AE637" i="3"/>
  <c r="AF637" i="3" s="1"/>
  <c r="AM637" i="3"/>
  <c r="AN637" i="3"/>
  <c r="AQ637" i="3"/>
  <c r="AS637" i="3" s="1"/>
  <c r="AT637" i="3" s="1"/>
  <c r="AW637" i="3"/>
  <c r="AY637" i="3" s="1"/>
  <c r="BD637" i="3"/>
  <c r="BO637" i="3" s="1"/>
  <c r="BF637" i="3"/>
  <c r="BG637" i="3"/>
  <c r="BM637" i="3"/>
  <c r="BQ637" i="3"/>
  <c r="BT637" i="3"/>
  <c r="BU637" i="3"/>
  <c r="BW637" i="3"/>
  <c r="CA637" i="3"/>
  <c r="CB637" i="3"/>
  <c r="L638" i="3"/>
  <c r="O638" i="3" s="1"/>
  <c r="W638" i="3"/>
  <c r="AA638" i="3"/>
  <c r="AL638" i="3" s="1"/>
  <c r="AE638" i="3"/>
  <c r="AH638" i="3" s="1"/>
  <c r="AM638" i="3"/>
  <c r="AN638" i="3"/>
  <c r="AQ638" i="3"/>
  <c r="AS638" i="3" s="1"/>
  <c r="AT638" i="3" s="1"/>
  <c r="AW638" i="3"/>
  <c r="AY638" i="3" s="1"/>
  <c r="BD638" i="3"/>
  <c r="BO638" i="3" s="1"/>
  <c r="BF638" i="3"/>
  <c r="BG638" i="3"/>
  <c r="BM638" i="3"/>
  <c r="BQ638" i="3"/>
  <c r="BT638" i="3"/>
  <c r="BU638" i="3"/>
  <c r="BW638" i="3"/>
  <c r="CA638" i="3"/>
  <c r="CB638" i="3"/>
  <c r="L639" i="3"/>
  <c r="O639" i="3" s="1"/>
  <c r="W639" i="3"/>
  <c r="AA639" i="3"/>
  <c r="AL639" i="3" s="1"/>
  <c r="AE639" i="3"/>
  <c r="AF639" i="3" s="1"/>
  <c r="AM639" i="3"/>
  <c r="AN639" i="3"/>
  <c r="AQ639" i="3"/>
  <c r="AS639" i="3" s="1"/>
  <c r="AT639" i="3" s="1"/>
  <c r="AW639" i="3"/>
  <c r="AY639" i="3" s="1"/>
  <c r="BD639" i="3"/>
  <c r="BO639" i="3" s="1"/>
  <c r="BF639" i="3"/>
  <c r="BG639" i="3"/>
  <c r="BM639" i="3"/>
  <c r="BQ639" i="3"/>
  <c r="BT639" i="3"/>
  <c r="BU639" i="3"/>
  <c r="BW639" i="3"/>
  <c r="CA639" i="3"/>
  <c r="CB639" i="3"/>
  <c r="L640" i="3"/>
  <c r="O640" i="3" s="1"/>
  <c r="W640" i="3"/>
  <c r="AA640" i="3"/>
  <c r="AL640" i="3" s="1"/>
  <c r="AE640" i="3"/>
  <c r="AH640" i="3" s="1"/>
  <c r="AM640" i="3"/>
  <c r="AN640" i="3"/>
  <c r="AQ640" i="3"/>
  <c r="AS640" i="3" s="1"/>
  <c r="AT640" i="3" s="1"/>
  <c r="AW640" i="3"/>
  <c r="AY640" i="3" s="1"/>
  <c r="BD640" i="3"/>
  <c r="BO640" i="3" s="1"/>
  <c r="BF640" i="3"/>
  <c r="BG640" i="3"/>
  <c r="BM640" i="3"/>
  <c r="BQ640" i="3"/>
  <c r="BT640" i="3"/>
  <c r="BU640" i="3"/>
  <c r="BW640" i="3"/>
  <c r="CA640" i="3"/>
  <c r="CB640" i="3"/>
  <c r="L641" i="3"/>
  <c r="O641" i="3" s="1"/>
  <c r="W641" i="3"/>
  <c r="AA641" i="3"/>
  <c r="AL641" i="3" s="1"/>
  <c r="AE641" i="3"/>
  <c r="AF641" i="3" s="1"/>
  <c r="AM641" i="3"/>
  <c r="AN641" i="3"/>
  <c r="AQ641" i="3"/>
  <c r="AS641" i="3" s="1"/>
  <c r="AT641" i="3" s="1"/>
  <c r="AW641" i="3"/>
  <c r="AY641" i="3" s="1"/>
  <c r="BD641" i="3"/>
  <c r="BO641" i="3" s="1"/>
  <c r="BF641" i="3"/>
  <c r="BG641" i="3"/>
  <c r="BM641" i="3"/>
  <c r="BQ641" i="3"/>
  <c r="BT641" i="3"/>
  <c r="BU641" i="3"/>
  <c r="BW641" i="3"/>
  <c r="CA641" i="3"/>
  <c r="CB641" i="3"/>
  <c r="L642" i="3"/>
  <c r="O642" i="3" s="1"/>
  <c r="W642" i="3"/>
  <c r="AA642" i="3"/>
  <c r="AL642" i="3" s="1"/>
  <c r="AE642" i="3"/>
  <c r="AH642" i="3" s="1"/>
  <c r="AM642" i="3"/>
  <c r="AN642" i="3"/>
  <c r="AQ642" i="3"/>
  <c r="AS642" i="3" s="1"/>
  <c r="AT642" i="3" s="1"/>
  <c r="AW642" i="3"/>
  <c r="AY642" i="3" s="1"/>
  <c r="BD642" i="3"/>
  <c r="BO642" i="3" s="1"/>
  <c r="BF642" i="3"/>
  <c r="BG642" i="3"/>
  <c r="BM642" i="3"/>
  <c r="BQ642" i="3"/>
  <c r="BT642" i="3"/>
  <c r="BU642" i="3"/>
  <c r="BW642" i="3"/>
  <c r="CA642" i="3"/>
  <c r="CB642" i="3"/>
  <c r="L643" i="3"/>
  <c r="O643" i="3" s="1"/>
  <c r="W643" i="3"/>
  <c r="AA643" i="3"/>
  <c r="AL643" i="3" s="1"/>
  <c r="AE643" i="3"/>
  <c r="AF643" i="3" s="1"/>
  <c r="AM643" i="3"/>
  <c r="AN643" i="3"/>
  <c r="AQ643" i="3"/>
  <c r="AS643" i="3" s="1"/>
  <c r="AT643" i="3" s="1"/>
  <c r="AW643" i="3"/>
  <c r="AY643" i="3" s="1"/>
  <c r="BD643" i="3"/>
  <c r="BO643" i="3" s="1"/>
  <c r="BF643" i="3"/>
  <c r="BG643" i="3"/>
  <c r="BM643" i="3"/>
  <c r="BQ643" i="3"/>
  <c r="BT643" i="3"/>
  <c r="BU643" i="3"/>
  <c r="BW643" i="3"/>
  <c r="CA643" i="3"/>
  <c r="CB643" i="3"/>
  <c r="L644" i="3"/>
  <c r="O644" i="3" s="1"/>
  <c r="W644" i="3"/>
  <c r="AA644" i="3"/>
  <c r="AL644" i="3" s="1"/>
  <c r="AE644" i="3"/>
  <c r="AH644" i="3" s="1"/>
  <c r="AM644" i="3"/>
  <c r="AN644" i="3"/>
  <c r="AQ644" i="3"/>
  <c r="AS644" i="3" s="1"/>
  <c r="AT644" i="3" s="1"/>
  <c r="AW644" i="3"/>
  <c r="AY644" i="3" s="1"/>
  <c r="BD644" i="3"/>
  <c r="BO644" i="3" s="1"/>
  <c r="BF644" i="3"/>
  <c r="BG644" i="3"/>
  <c r="BM644" i="3"/>
  <c r="BQ644" i="3"/>
  <c r="BT644" i="3"/>
  <c r="BU644" i="3"/>
  <c r="BW644" i="3"/>
  <c r="CA644" i="3"/>
  <c r="CB644" i="3"/>
  <c r="L645" i="3"/>
  <c r="O645" i="3" s="1"/>
  <c r="W645" i="3"/>
  <c r="AA645" i="3"/>
  <c r="AL645" i="3" s="1"/>
  <c r="AE645" i="3"/>
  <c r="AF645" i="3" s="1"/>
  <c r="AM645" i="3"/>
  <c r="AN645" i="3"/>
  <c r="AQ645" i="3"/>
  <c r="AS645" i="3" s="1"/>
  <c r="AT645" i="3" s="1"/>
  <c r="AW645" i="3"/>
  <c r="AY645" i="3" s="1"/>
  <c r="BD645" i="3"/>
  <c r="BO645" i="3" s="1"/>
  <c r="BF645" i="3"/>
  <c r="BG645" i="3"/>
  <c r="BM645" i="3"/>
  <c r="BQ645" i="3"/>
  <c r="BT645" i="3"/>
  <c r="BU645" i="3"/>
  <c r="BW645" i="3"/>
  <c r="CA645" i="3"/>
  <c r="CB645" i="3"/>
  <c r="L646" i="3"/>
  <c r="O646" i="3" s="1"/>
  <c r="W646" i="3"/>
  <c r="AA646" i="3"/>
  <c r="AL646" i="3" s="1"/>
  <c r="AE646" i="3"/>
  <c r="AF646" i="3" s="1"/>
  <c r="AM646" i="3"/>
  <c r="AN646" i="3"/>
  <c r="AQ646" i="3"/>
  <c r="AS646" i="3" s="1"/>
  <c r="AT646" i="3" s="1"/>
  <c r="AW646" i="3"/>
  <c r="AY646" i="3" s="1"/>
  <c r="BD646" i="3"/>
  <c r="BO646" i="3" s="1"/>
  <c r="BF646" i="3"/>
  <c r="BG646" i="3"/>
  <c r="BM646" i="3"/>
  <c r="BQ646" i="3"/>
  <c r="BT646" i="3"/>
  <c r="BU646" i="3"/>
  <c r="BW646" i="3"/>
  <c r="CA646" i="3"/>
  <c r="CB646" i="3"/>
  <c r="L612" i="3"/>
  <c r="O612" i="3" s="1"/>
  <c r="W612" i="3"/>
  <c r="AA612" i="3"/>
  <c r="AL612" i="3" s="1"/>
  <c r="AE612" i="3"/>
  <c r="AF612" i="3" s="1"/>
  <c r="AM612" i="3"/>
  <c r="AN612" i="3"/>
  <c r="AO612" i="3"/>
  <c r="AP612" i="3"/>
  <c r="AQ612" i="3"/>
  <c r="AS612" i="3" s="1"/>
  <c r="AT612" i="3" s="1"/>
  <c r="AW612" i="3"/>
  <c r="AY612" i="3" s="1"/>
  <c r="BD612" i="3"/>
  <c r="BO612" i="3" s="1"/>
  <c r="BF612" i="3"/>
  <c r="BG612" i="3"/>
  <c r="BM612" i="3"/>
  <c r="BQ612" i="3"/>
  <c r="BT612" i="3"/>
  <c r="BU612" i="3"/>
  <c r="BW612" i="3"/>
  <c r="CA612" i="3"/>
  <c r="CB612" i="3"/>
  <c r="L613" i="3"/>
  <c r="O613" i="3" s="1"/>
  <c r="W613" i="3"/>
  <c r="AA613" i="3"/>
  <c r="AL613" i="3" s="1"/>
  <c r="AE613" i="3"/>
  <c r="AH613" i="3" s="1"/>
  <c r="AM613" i="3"/>
  <c r="AN613" i="3"/>
  <c r="AO613" i="3"/>
  <c r="AP613" i="3"/>
  <c r="AQ613" i="3"/>
  <c r="AS613" i="3" s="1"/>
  <c r="AT613" i="3" s="1"/>
  <c r="AW613" i="3"/>
  <c r="AY613" i="3" s="1"/>
  <c r="BD613" i="3"/>
  <c r="BO613" i="3" s="1"/>
  <c r="BF613" i="3"/>
  <c r="BG613" i="3"/>
  <c r="BM613" i="3"/>
  <c r="BQ613" i="3"/>
  <c r="BT613" i="3"/>
  <c r="BU613" i="3"/>
  <c r="BW613" i="3"/>
  <c r="CA613" i="3"/>
  <c r="CB613" i="3"/>
  <c r="L614" i="3"/>
  <c r="O614" i="3" s="1"/>
  <c r="W614" i="3"/>
  <c r="AA614" i="3"/>
  <c r="AL614" i="3" s="1"/>
  <c r="AE614" i="3"/>
  <c r="AF614" i="3" s="1"/>
  <c r="AM614" i="3"/>
  <c r="AN614" i="3"/>
  <c r="AO614" i="3"/>
  <c r="AP614" i="3"/>
  <c r="AQ614" i="3"/>
  <c r="AS614" i="3" s="1"/>
  <c r="AT614" i="3" s="1"/>
  <c r="AW614" i="3"/>
  <c r="AY614" i="3" s="1"/>
  <c r="BD614" i="3"/>
  <c r="BO614" i="3" s="1"/>
  <c r="BF614" i="3"/>
  <c r="BG614" i="3"/>
  <c r="BM614" i="3"/>
  <c r="BQ614" i="3"/>
  <c r="BT614" i="3"/>
  <c r="BU614" i="3"/>
  <c r="BW614" i="3"/>
  <c r="CA614" i="3"/>
  <c r="CB614" i="3"/>
  <c r="L615" i="3"/>
  <c r="O615" i="3" s="1"/>
  <c r="W615" i="3"/>
  <c r="AA615" i="3"/>
  <c r="AL615" i="3" s="1"/>
  <c r="AE615" i="3"/>
  <c r="AF615" i="3" s="1"/>
  <c r="AM615" i="3"/>
  <c r="AN615" i="3"/>
  <c r="AO615" i="3"/>
  <c r="AP615" i="3"/>
  <c r="AQ615" i="3"/>
  <c r="AS615" i="3" s="1"/>
  <c r="AT615" i="3" s="1"/>
  <c r="AW615" i="3"/>
  <c r="AY615" i="3" s="1"/>
  <c r="BD615" i="3"/>
  <c r="BO615" i="3" s="1"/>
  <c r="BF615" i="3"/>
  <c r="BG615" i="3"/>
  <c r="BM615" i="3"/>
  <c r="BQ615" i="3"/>
  <c r="BT615" i="3"/>
  <c r="BU615" i="3"/>
  <c r="BW615" i="3"/>
  <c r="CA615" i="3"/>
  <c r="CB615" i="3"/>
  <c r="L616" i="3"/>
  <c r="O616" i="3" s="1"/>
  <c r="W616" i="3"/>
  <c r="AA616" i="3"/>
  <c r="AL616" i="3" s="1"/>
  <c r="AE616" i="3"/>
  <c r="AM616" i="3"/>
  <c r="AN616" i="3"/>
  <c r="AO616" i="3"/>
  <c r="AP616" i="3"/>
  <c r="AQ616" i="3"/>
  <c r="AS616" i="3" s="1"/>
  <c r="AT616" i="3" s="1"/>
  <c r="AW616" i="3"/>
  <c r="AY616" i="3" s="1"/>
  <c r="BD616" i="3"/>
  <c r="BO616" i="3" s="1"/>
  <c r="BF616" i="3"/>
  <c r="BG616" i="3"/>
  <c r="BM616" i="3"/>
  <c r="BQ616" i="3"/>
  <c r="BT616" i="3"/>
  <c r="BU616" i="3"/>
  <c r="BW616" i="3"/>
  <c r="CA616" i="3"/>
  <c r="CB616" i="3"/>
  <c r="L617" i="3"/>
  <c r="O617" i="3" s="1"/>
  <c r="W617" i="3"/>
  <c r="AA617" i="3"/>
  <c r="AL617" i="3" s="1"/>
  <c r="AE617" i="3"/>
  <c r="AF617" i="3" s="1"/>
  <c r="AM617" i="3"/>
  <c r="AN617" i="3"/>
  <c r="AO617" i="3"/>
  <c r="AP617" i="3"/>
  <c r="AQ617" i="3"/>
  <c r="AS617" i="3" s="1"/>
  <c r="AT617" i="3" s="1"/>
  <c r="AW617" i="3"/>
  <c r="AY617" i="3" s="1"/>
  <c r="BD617" i="3"/>
  <c r="BO617" i="3" s="1"/>
  <c r="BF617" i="3"/>
  <c r="BG617" i="3"/>
  <c r="BM617" i="3"/>
  <c r="BQ617" i="3"/>
  <c r="BT617" i="3"/>
  <c r="BU617" i="3"/>
  <c r="BW617" i="3"/>
  <c r="CA617" i="3"/>
  <c r="CB617" i="3"/>
  <c r="L618" i="3"/>
  <c r="O618" i="3" s="1"/>
  <c r="W618" i="3"/>
  <c r="AA618" i="3"/>
  <c r="AL618" i="3" s="1"/>
  <c r="AE618" i="3"/>
  <c r="AF618" i="3" s="1"/>
  <c r="AM618" i="3"/>
  <c r="AN618" i="3"/>
  <c r="AO618" i="3"/>
  <c r="AP618" i="3"/>
  <c r="AQ618" i="3"/>
  <c r="AW618" i="3"/>
  <c r="AY618" i="3" s="1"/>
  <c r="BD618" i="3"/>
  <c r="BO618" i="3" s="1"/>
  <c r="BF618" i="3"/>
  <c r="BG618" i="3"/>
  <c r="BM618" i="3"/>
  <c r="BQ618" i="3"/>
  <c r="BT618" i="3"/>
  <c r="BU618" i="3"/>
  <c r="BW618" i="3"/>
  <c r="CA618" i="3"/>
  <c r="CB618" i="3"/>
  <c r="L619" i="3"/>
  <c r="O619" i="3" s="1"/>
  <c r="W619" i="3"/>
  <c r="AA619" i="3"/>
  <c r="AL619" i="3" s="1"/>
  <c r="AE619" i="3"/>
  <c r="AF619" i="3" s="1"/>
  <c r="AM619" i="3"/>
  <c r="AN619" i="3"/>
  <c r="AO619" i="3"/>
  <c r="AP619" i="3"/>
  <c r="AQ619" i="3"/>
  <c r="AS619" i="3" s="1"/>
  <c r="AT619" i="3" s="1"/>
  <c r="AW619" i="3"/>
  <c r="AY619" i="3" s="1"/>
  <c r="BD619" i="3"/>
  <c r="BO619" i="3" s="1"/>
  <c r="BF619" i="3"/>
  <c r="BG619" i="3"/>
  <c r="BM619" i="3"/>
  <c r="BQ619" i="3"/>
  <c r="BT619" i="3"/>
  <c r="BU619" i="3"/>
  <c r="BW619" i="3"/>
  <c r="CA619" i="3"/>
  <c r="CB619" i="3"/>
  <c r="L620" i="3"/>
  <c r="O620" i="3" s="1"/>
  <c r="W620" i="3"/>
  <c r="AA620" i="3"/>
  <c r="AL620" i="3" s="1"/>
  <c r="AE620" i="3"/>
  <c r="AF620" i="3" s="1"/>
  <c r="AM620" i="3"/>
  <c r="AN620" i="3"/>
  <c r="AO620" i="3"/>
  <c r="AP620" i="3"/>
  <c r="AQ620" i="3"/>
  <c r="AS620" i="3" s="1"/>
  <c r="AT620" i="3" s="1"/>
  <c r="AW620" i="3"/>
  <c r="AY620" i="3" s="1"/>
  <c r="BD620" i="3"/>
  <c r="BO620" i="3" s="1"/>
  <c r="BF620" i="3"/>
  <c r="BG620" i="3"/>
  <c r="BM620" i="3"/>
  <c r="BQ620" i="3"/>
  <c r="BT620" i="3"/>
  <c r="BU620" i="3"/>
  <c r="BW620" i="3"/>
  <c r="CA620" i="3"/>
  <c r="CB620" i="3"/>
  <c r="L621" i="3"/>
  <c r="O621" i="3" s="1"/>
  <c r="W621" i="3"/>
  <c r="AA621" i="3"/>
  <c r="AL621" i="3" s="1"/>
  <c r="AE621" i="3"/>
  <c r="AM621" i="3"/>
  <c r="AN621" i="3"/>
  <c r="AO621" i="3"/>
  <c r="AP621" i="3"/>
  <c r="AQ621" i="3"/>
  <c r="AS621" i="3" s="1"/>
  <c r="AT621" i="3" s="1"/>
  <c r="AW621" i="3"/>
  <c r="AY621" i="3" s="1"/>
  <c r="BD621" i="3"/>
  <c r="BO621" i="3" s="1"/>
  <c r="BF621" i="3"/>
  <c r="BG621" i="3"/>
  <c r="BM621" i="3"/>
  <c r="BQ621" i="3"/>
  <c r="BT621" i="3"/>
  <c r="BU621" i="3"/>
  <c r="BW621" i="3"/>
  <c r="CA621" i="3"/>
  <c r="CB621" i="3"/>
  <c r="L622" i="3"/>
  <c r="O622" i="3" s="1"/>
  <c r="W622" i="3"/>
  <c r="AA622" i="3"/>
  <c r="AL622" i="3" s="1"/>
  <c r="AE622" i="3"/>
  <c r="AM622" i="3"/>
  <c r="AN622" i="3"/>
  <c r="AO622" i="3"/>
  <c r="AP622" i="3"/>
  <c r="AQ622" i="3"/>
  <c r="AS622" i="3" s="1"/>
  <c r="AT622" i="3" s="1"/>
  <c r="AW622" i="3"/>
  <c r="AY622" i="3" s="1"/>
  <c r="BD622" i="3"/>
  <c r="BO622" i="3" s="1"/>
  <c r="BF622" i="3"/>
  <c r="BG622" i="3"/>
  <c r="BM622" i="3"/>
  <c r="BQ622" i="3"/>
  <c r="BT622" i="3"/>
  <c r="BU622" i="3"/>
  <c r="BW622" i="3"/>
  <c r="CA622" i="3"/>
  <c r="CB622" i="3"/>
  <c r="L623" i="3"/>
  <c r="O623" i="3" s="1"/>
  <c r="W623" i="3"/>
  <c r="AA623" i="3"/>
  <c r="AL623" i="3" s="1"/>
  <c r="AE623" i="3"/>
  <c r="AH623" i="3" s="1"/>
  <c r="AM623" i="3"/>
  <c r="AN623" i="3"/>
  <c r="AO623" i="3"/>
  <c r="AP623" i="3"/>
  <c r="AQ623" i="3"/>
  <c r="AS623" i="3" s="1"/>
  <c r="AT623" i="3" s="1"/>
  <c r="AW623" i="3"/>
  <c r="AY623" i="3" s="1"/>
  <c r="BD623" i="3"/>
  <c r="BO623" i="3" s="1"/>
  <c r="BF623" i="3"/>
  <c r="BG623" i="3"/>
  <c r="BM623" i="3"/>
  <c r="BQ623" i="3"/>
  <c r="BT623" i="3"/>
  <c r="BU623" i="3"/>
  <c r="BW623" i="3"/>
  <c r="CA623" i="3"/>
  <c r="CB623" i="3"/>
  <c r="L624" i="3"/>
  <c r="O624" i="3" s="1"/>
  <c r="W624" i="3"/>
  <c r="AA624" i="3"/>
  <c r="AL624" i="3" s="1"/>
  <c r="AE624" i="3"/>
  <c r="AF624" i="3" s="1"/>
  <c r="AM624" i="3"/>
  <c r="AN624" i="3"/>
  <c r="AO624" i="3"/>
  <c r="AP624" i="3"/>
  <c r="AQ624" i="3"/>
  <c r="AS624" i="3" s="1"/>
  <c r="AT624" i="3" s="1"/>
  <c r="AW624" i="3"/>
  <c r="AY624" i="3" s="1"/>
  <c r="BD624" i="3"/>
  <c r="BO624" i="3" s="1"/>
  <c r="BF624" i="3"/>
  <c r="BG624" i="3"/>
  <c r="BM624" i="3"/>
  <c r="BQ624" i="3"/>
  <c r="BT624" i="3"/>
  <c r="BU624" i="3"/>
  <c r="BW624" i="3"/>
  <c r="CA624" i="3"/>
  <c r="CB624" i="3"/>
  <c r="L625" i="3"/>
  <c r="O625" i="3" s="1"/>
  <c r="W625" i="3"/>
  <c r="AA625" i="3"/>
  <c r="AL625" i="3" s="1"/>
  <c r="AE625" i="3"/>
  <c r="AF625" i="3" s="1"/>
  <c r="AM625" i="3"/>
  <c r="AN625" i="3"/>
  <c r="AO625" i="3"/>
  <c r="AP625" i="3"/>
  <c r="AQ625" i="3"/>
  <c r="AS625" i="3" s="1"/>
  <c r="AT625" i="3" s="1"/>
  <c r="AW625" i="3"/>
  <c r="AY625" i="3" s="1"/>
  <c r="BD625" i="3"/>
  <c r="BO625" i="3" s="1"/>
  <c r="BF625" i="3"/>
  <c r="BG625" i="3"/>
  <c r="BM625" i="3"/>
  <c r="BQ625" i="3"/>
  <c r="BT625" i="3"/>
  <c r="BU625" i="3"/>
  <c r="BW625" i="3"/>
  <c r="CA625" i="3"/>
  <c r="CB625" i="3"/>
  <c r="L626" i="3"/>
  <c r="O626" i="3" s="1"/>
  <c r="W626" i="3"/>
  <c r="AA626" i="3"/>
  <c r="AL626" i="3" s="1"/>
  <c r="AE626" i="3"/>
  <c r="AF626" i="3" s="1"/>
  <c r="AM626" i="3"/>
  <c r="AN626" i="3"/>
  <c r="AO626" i="3"/>
  <c r="AP626" i="3"/>
  <c r="AQ626" i="3"/>
  <c r="AS626" i="3" s="1"/>
  <c r="AT626" i="3" s="1"/>
  <c r="AW626" i="3"/>
  <c r="AY626" i="3" s="1"/>
  <c r="BD626" i="3"/>
  <c r="BO626" i="3" s="1"/>
  <c r="BF626" i="3"/>
  <c r="BG626" i="3"/>
  <c r="BM626" i="3"/>
  <c r="BQ626" i="3"/>
  <c r="BT626" i="3"/>
  <c r="BU626" i="3"/>
  <c r="BW626" i="3"/>
  <c r="CA626" i="3"/>
  <c r="CB626" i="3"/>
  <c r="L627" i="3"/>
  <c r="O627" i="3" s="1"/>
  <c r="W627" i="3"/>
  <c r="AA627" i="3"/>
  <c r="AL627" i="3" s="1"/>
  <c r="AE627" i="3"/>
  <c r="AM627" i="3"/>
  <c r="AN627" i="3"/>
  <c r="AO627" i="3"/>
  <c r="AP627" i="3"/>
  <c r="AQ627" i="3"/>
  <c r="AS627" i="3" s="1"/>
  <c r="AT627" i="3" s="1"/>
  <c r="AW627" i="3"/>
  <c r="AY627" i="3" s="1"/>
  <c r="BD627" i="3"/>
  <c r="BO627" i="3" s="1"/>
  <c r="BF627" i="3"/>
  <c r="BG627" i="3"/>
  <c r="BM627" i="3"/>
  <c r="BQ627" i="3"/>
  <c r="BT627" i="3"/>
  <c r="BU627" i="3"/>
  <c r="BW627" i="3"/>
  <c r="CA627" i="3"/>
  <c r="CB627" i="3"/>
  <c r="L628" i="3"/>
  <c r="O628" i="3" s="1"/>
  <c r="W628" i="3"/>
  <c r="AA628" i="3"/>
  <c r="AL628" i="3" s="1"/>
  <c r="AE628" i="3"/>
  <c r="AF628" i="3" s="1"/>
  <c r="AM628" i="3"/>
  <c r="AN628" i="3"/>
  <c r="AO628" i="3"/>
  <c r="AP628" i="3"/>
  <c r="AQ628" i="3"/>
  <c r="AS628" i="3" s="1"/>
  <c r="AT628" i="3" s="1"/>
  <c r="AW628" i="3"/>
  <c r="AY628" i="3" s="1"/>
  <c r="BD628" i="3"/>
  <c r="BO628" i="3" s="1"/>
  <c r="BF628" i="3"/>
  <c r="BG628" i="3"/>
  <c r="BM628" i="3"/>
  <c r="BQ628" i="3"/>
  <c r="BT628" i="3"/>
  <c r="BU628" i="3"/>
  <c r="BW628" i="3"/>
  <c r="CA628" i="3"/>
  <c r="CB628" i="3"/>
  <c r="L594" i="3"/>
  <c r="O594" i="3" s="1"/>
  <c r="W594" i="3"/>
  <c r="AA594" i="3"/>
  <c r="AL594" i="3" s="1"/>
  <c r="AE594" i="3"/>
  <c r="AF594" i="3" s="1"/>
  <c r="AM594" i="3"/>
  <c r="AN594" i="3"/>
  <c r="AO594" i="3"/>
  <c r="AP594" i="3"/>
  <c r="AQ594" i="3"/>
  <c r="AS594" i="3" s="1"/>
  <c r="AT594" i="3" s="1"/>
  <c r="AW594" i="3"/>
  <c r="AY594" i="3" s="1"/>
  <c r="BD594" i="3"/>
  <c r="BO594" i="3" s="1"/>
  <c r="BF594" i="3"/>
  <c r="BG594" i="3"/>
  <c r="BM594" i="3"/>
  <c r="BQ594" i="3"/>
  <c r="BT594" i="3"/>
  <c r="BU594" i="3"/>
  <c r="BW594" i="3"/>
  <c r="CA594" i="3"/>
  <c r="CB594" i="3"/>
  <c r="L595" i="3"/>
  <c r="O595" i="3" s="1"/>
  <c r="W595" i="3"/>
  <c r="AA595" i="3"/>
  <c r="AL595" i="3" s="1"/>
  <c r="AE595" i="3"/>
  <c r="AF595" i="3" s="1"/>
  <c r="AM595" i="3"/>
  <c r="AN595" i="3"/>
  <c r="AO595" i="3"/>
  <c r="AP595" i="3"/>
  <c r="AQ595" i="3"/>
  <c r="AS595" i="3" s="1"/>
  <c r="AT595" i="3" s="1"/>
  <c r="AW595" i="3"/>
  <c r="AY595" i="3" s="1"/>
  <c r="BD595" i="3"/>
  <c r="BO595" i="3" s="1"/>
  <c r="BF595" i="3"/>
  <c r="BG595" i="3"/>
  <c r="BM595" i="3"/>
  <c r="BQ595" i="3"/>
  <c r="BT595" i="3"/>
  <c r="BU595" i="3"/>
  <c r="BW595" i="3"/>
  <c r="CA595" i="3"/>
  <c r="CB595" i="3"/>
  <c r="L596" i="3"/>
  <c r="O596" i="3" s="1"/>
  <c r="W596" i="3"/>
  <c r="AA596" i="3"/>
  <c r="AL596" i="3" s="1"/>
  <c r="AE596" i="3"/>
  <c r="AH596" i="3" s="1"/>
  <c r="AM596" i="3"/>
  <c r="AN596" i="3"/>
  <c r="AO596" i="3"/>
  <c r="AP596" i="3"/>
  <c r="AQ596" i="3"/>
  <c r="AS596" i="3" s="1"/>
  <c r="AT596" i="3" s="1"/>
  <c r="AW596" i="3"/>
  <c r="AY596" i="3" s="1"/>
  <c r="BD596" i="3"/>
  <c r="BO596" i="3" s="1"/>
  <c r="BF596" i="3"/>
  <c r="BG596" i="3"/>
  <c r="BM596" i="3"/>
  <c r="BQ596" i="3"/>
  <c r="BT596" i="3"/>
  <c r="BU596" i="3"/>
  <c r="BW596" i="3"/>
  <c r="CA596" i="3"/>
  <c r="CB596" i="3"/>
  <c r="L597" i="3"/>
  <c r="O597" i="3" s="1"/>
  <c r="W597" i="3"/>
  <c r="AA597" i="3"/>
  <c r="AL597" i="3" s="1"/>
  <c r="AE597" i="3"/>
  <c r="AF597" i="3" s="1"/>
  <c r="AM597" i="3"/>
  <c r="AN597" i="3"/>
  <c r="AO597" i="3"/>
  <c r="AP597" i="3"/>
  <c r="AQ597" i="3"/>
  <c r="AS597" i="3" s="1"/>
  <c r="AT597" i="3" s="1"/>
  <c r="AW597" i="3"/>
  <c r="AY597" i="3" s="1"/>
  <c r="BD597" i="3"/>
  <c r="BO597" i="3" s="1"/>
  <c r="BF597" i="3"/>
  <c r="BG597" i="3"/>
  <c r="BM597" i="3"/>
  <c r="BQ597" i="3"/>
  <c r="BT597" i="3"/>
  <c r="BU597" i="3"/>
  <c r="BW597" i="3"/>
  <c r="CA597" i="3"/>
  <c r="CB597" i="3"/>
  <c r="L598" i="3"/>
  <c r="O598" i="3" s="1"/>
  <c r="W598" i="3"/>
  <c r="AA598" i="3"/>
  <c r="AL598" i="3" s="1"/>
  <c r="AE598" i="3"/>
  <c r="AF598" i="3" s="1"/>
  <c r="AM598" i="3"/>
  <c r="AN598" i="3"/>
  <c r="AO598" i="3"/>
  <c r="AP598" i="3"/>
  <c r="AQ598" i="3"/>
  <c r="AS598" i="3" s="1"/>
  <c r="AT598" i="3" s="1"/>
  <c r="AW598" i="3"/>
  <c r="AY598" i="3" s="1"/>
  <c r="BD598" i="3"/>
  <c r="BO598" i="3" s="1"/>
  <c r="BF598" i="3"/>
  <c r="BG598" i="3"/>
  <c r="BM598" i="3"/>
  <c r="BQ598" i="3"/>
  <c r="BT598" i="3"/>
  <c r="BU598" i="3"/>
  <c r="BW598" i="3"/>
  <c r="CA598" i="3"/>
  <c r="CB598" i="3"/>
  <c r="L599" i="3"/>
  <c r="O599" i="3" s="1"/>
  <c r="W599" i="3"/>
  <c r="AA599" i="3"/>
  <c r="AL599" i="3" s="1"/>
  <c r="AE599" i="3"/>
  <c r="AF599" i="3" s="1"/>
  <c r="AM599" i="3"/>
  <c r="AN599" i="3"/>
  <c r="AO599" i="3"/>
  <c r="AP599" i="3"/>
  <c r="AQ599" i="3"/>
  <c r="AS599" i="3" s="1"/>
  <c r="AT599" i="3" s="1"/>
  <c r="AW599" i="3"/>
  <c r="AY599" i="3" s="1"/>
  <c r="BD599" i="3"/>
  <c r="BO599" i="3" s="1"/>
  <c r="BF599" i="3"/>
  <c r="BG599" i="3"/>
  <c r="BM599" i="3"/>
  <c r="BQ599" i="3"/>
  <c r="BT599" i="3"/>
  <c r="BU599" i="3"/>
  <c r="BW599" i="3"/>
  <c r="CA599" i="3"/>
  <c r="CB599" i="3"/>
  <c r="L600" i="3"/>
  <c r="O600" i="3" s="1"/>
  <c r="W600" i="3"/>
  <c r="AA600" i="3"/>
  <c r="AL600" i="3" s="1"/>
  <c r="AE600" i="3"/>
  <c r="AF600" i="3" s="1"/>
  <c r="AM600" i="3"/>
  <c r="AN600" i="3"/>
  <c r="AO600" i="3"/>
  <c r="AP600" i="3"/>
  <c r="AQ600" i="3"/>
  <c r="AS600" i="3" s="1"/>
  <c r="AT600" i="3" s="1"/>
  <c r="AW600" i="3"/>
  <c r="AY600" i="3" s="1"/>
  <c r="BD600" i="3"/>
  <c r="BO600" i="3" s="1"/>
  <c r="BF600" i="3"/>
  <c r="BG600" i="3"/>
  <c r="BM600" i="3"/>
  <c r="BQ600" i="3"/>
  <c r="BT600" i="3"/>
  <c r="BU600" i="3"/>
  <c r="BW600" i="3"/>
  <c r="CA600" i="3"/>
  <c r="CB600" i="3"/>
  <c r="L601" i="3"/>
  <c r="O601" i="3" s="1"/>
  <c r="W601" i="3"/>
  <c r="AA601" i="3"/>
  <c r="AL601" i="3" s="1"/>
  <c r="AE601" i="3"/>
  <c r="AM601" i="3"/>
  <c r="AN601" i="3"/>
  <c r="AO601" i="3"/>
  <c r="AP601" i="3"/>
  <c r="AQ601" i="3"/>
  <c r="AS601" i="3" s="1"/>
  <c r="AT601" i="3" s="1"/>
  <c r="AW601" i="3"/>
  <c r="AY601" i="3" s="1"/>
  <c r="BD601" i="3"/>
  <c r="BO601" i="3" s="1"/>
  <c r="BF601" i="3"/>
  <c r="BG601" i="3"/>
  <c r="BM601" i="3"/>
  <c r="BQ601" i="3"/>
  <c r="BT601" i="3"/>
  <c r="BU601" i="3"/>
  <c r="BW601" i="3"/>
  <c r="CA601" i="3"/>
  <c r="CB601" i="3"/>
  <c r="L602" i="3"/>
  <c r="O602" i="3" s="1"/>
  <c r="W602" i="3"/>
  <c r="AA602" i="3"/>
  <c r="AL602" i="3" s="1"/>
  <c r="AE602" i="3"/>
  <c r="AM602" i="3"/>
  <c r="AN602" i="3"/>
  <c r="AO602" i="3"/>
  <c r="AP602" i="3"/>
  <c r="AQ602" i="3"/>
  <c r="AS602" i="3" s="1"/>
  <c r="AT602" i="3" s="1"/>
  <c r="AW602" i="3"/>
  <c r="AY602" i="3" s="1"/>
  <c r="BD602" i="3"/>
  <c r="BO602" i="3" s="1"/>
  <c r="BF602" i="3"/>
  <c r="BG602" i="3"/>
  <c r="BM602" i="3"/>
  <c r="BQ602" i="3"/>
  <c r="BT602" i="3"/>
  <c r="BU602" i="3"/>
  <c r="BW602" i="3"/>
  <c r="CA602" i="3"/>
  <c r="CB602" i="3"/>
  <c r="L603" i="3"/>
  <c r="O603" i="3" s="1"/>
  <c r="W603" i="3"/>
  <c r="AA603" i="3"/>
  <c r="AL603" i="3" s="1"/>
  <c r="AE603" i="3"/>
  <c r="AF603" i="3" s="1"/>
  <c r="AM603" i="3"/>
  <c r="AN603" i="3"/>
  <c r="AO603" i="3"/>
  <c r="AP603" i="3"/>
  <c r="AQ603" i="3"/>
  <c r="AS603" i="3" s="1"/>
  <c r="AT603" i="3" s="1"/>
  <c r="AW603" i="3"/>
  <c r="AY603" i="3" s="1"/>
  <c r="BD603" i="3"/>
  <c r="BO603" i="3" s="1"/>
  <c r="BF603" i="3"/>
  <c r="BG603" i="3"/>
  <c r="BM603" i="3"/>
  <c r="BQ603" i="3"/>
  <c r="BT603" i="3"/>
  <c r="BU603" i="3"/>
  <c r="BW603" i="3"/>
  <c r="CA603" i="3"/>
  <c r="CB603" i="3"/>
  <c r="L604" i="3"/>
  <c r="O604" i="3" s="1"/>
  <c r="W604" i="3"/>
  <c r="AA604" i="3"/>
  <c r="AL604" i="3" s="1"/>
  <c r="AE604" i="3"/>
  <c r="AH604" i="3" s="1"/>
  <c r="AM604" i="3"/>
  <c r="AN604" i="3"/>
  <c r="AO604" i="3"/>
  <c r="AP604" i="3"/>
  <c r="AQ604" i="3"/>
  <c r="AS604" i="3" s="1"/>
  <c r="AT604" i="3" s="1"/>
  <c r="AW604" i="3"/>
  <c r="AY604" i="3" s="1"/>
  <c r="BD604" i="3"/>
  <c r="BO604" i="3" s="1"/>
  <c r="BF604" i="3"/>
  <c r="BG604" i="3"/>
  <c r="BM604" i="3"/>
  <c r="BQ604" i="3"/>
  <c r="BT604" i="3"/>
  <c r="BU604" i="3"/>
  <c r="BW604" i="3"/>
  <c r="CA604" i="3"/>
  <c r="CB604" i="3"/>
  <c r="L605" i="3"/>
  <c r="O605" i="3" s="1"/>
  <c r="W605" i="3"/>
  <c r="AA605" i="3"/>
  <c r="AL605" i="3" s="1"/>
  <c r="AE605" i="3"/>
  <c r="AH605" i="3" s="1"/>
  <c r="AM605" i="3"/>
  <c r="AN605" i="3"/>
  <c r="AO605" i="3"/>
  <c r="AP605" i="3"/>
  <c r="AQ605" i="3"/>
  <c r="AS605" i="3" s="1"/>
  <c r="AT605" i="3" s="1"/>
  <c r="AW605" i="3"/>
  <c r="AY605" i="3" s="1"/>
  <c r="BD605" i="3"/>
  <c r="BO605" i="3" s="1"/>
  <c r="BF605" i="3"/>
  <c r="BG605" i="3"/>
  <c r="BM605" i="3"/>
  <c r="BQ605" i="3"/>
  <c r="BT605" i="3"/>
  <c r="BU605" i="3"/>
  <c r="BW605" i="3"/>
  <c r="CA605" i="3"/>
  <c r="CB605" i="3"/>
  <c r="L606" i="3"/>
  <c r="O606" i="3" s="1"/>
  <c r="W606" i="3"/>
  <c r="AA606" i="3"/>
  <c r="AL606" i="3" s="1"/>
  <c r="AE606" i="3"/>
  <c r="AF606" i="3" s="1"/>
  <c r="AM606" i="3"/>
  <c r="AN606" i="3"/>
  <c r="AO606" i="3"/>
  <c r="AP606" i="3"/>
  <c r="AQ606" i="3"/>
  <c r="AS606" i="3" s="1"/>
  <c r="AT606" i="3" s="1"/>
  <c r="AW606" i="3"/>
  <c r="AY606" i="3" s="1"/>
  <c r="BD606" i="3"/>
  <c r="BO606" i="3" s="1"/>
  <c r="BF606" i="3"/>
  <c r="BG606" i="3"/>
  <c r="BM606" i="3"/>
  <c r="BQ606" i="3"/>
  <c r="BT606" i="3"/>
  <c r="BU606" i="3"/>
  <c r="BW606" i="3"/>
  <c r="CA606" i="3"/>
  <c r="CB606" i="3"/>
  <c r="L607" i="3"/>
  <c r="O607" i="3" s="1"/>
  <c r="W607" i="3"/>
  <c r="AA607" i="3"/>
  <c r="AL607" i="3" s="1"/>
  <c r="AE607" i="3"/>
  <c r="AF607" i="3" s="1"/>
  <c r="AM607" i="3"/>
  <c r="AN607" i="3"/>
  <c r="AO607" i="3"/>
  <c r="AP607" i="3"/>
  <c r="AQ607" i="3"/>
  <c r="AS607" i="3" s="1"/>
  <c r="AT607" i="3" s="1"/>
  <c r="AW607" i="3"/>
  <c r="AY607" i="3" s="1"/>
  <c r="BD607" i="3"/>
  <c r="BO607" i="3" s="1"/>
  <c r="BF607" i="3"/>
  <c r="BG607" i="3"/>
  <c r="BM607" i="3"/>
  <c r="BQ607" i="3"/>
  <c r="BT607" i="3"/>
  <c r="BU607" i="3"/>
  <c r="BW607" i="3"/>
  <c r="CA607" i="3"/>
  <c r="CB607" i="3"/>
  <c r="L608" i="3"/>
  <c r="O608" i="3" s="1"/>
  <c r="W608" i="3"/>
  <c r="AA608" i="3"/>
  <c r="AL608" i="3" s="1"/>
  <c r="AE608" i="3"/>
  <c r="AH608" i="3" s="1"/>
  <c r="AM608" i="3"/>
  <c r="AN608" i="3"/>
  <c r="AO608" i="3"/>
  <c r="AP608" i="3"/>
  <c r="AQ608" i="3"/>
  <c r="AS608" i="3" s="1"/>
  <c r="AT608" i="3" s="1"/>
  <c r="AW608" i="3"/>
  <c r="AY608" i="3" s="1"/>
  <c r="BD608" i="3"/>
  <c r="BO608" i="3" s="1"/>
  <c r="BF608" i="3"/>
  <c r="BG608" i="3"/>
  <c r="BM608" i="3"/>
  <c r="BQ608" i="3"/>
  <c r="BT608" i="3"/>
  <c r="BU608" i="3"/>
  <c r="BW608" i="3"/>
  <c r="CA608" i="3"/>
  <c r="CB608" i="3"/>
  <c r="L609" i="3"/>
  <c r="O609" i="3" s="1"/>
  <c r="W609" i="3"/>
  <c r="AA609" i="3"/>
  <c r="AL609" i="3" s="1"/>
  <c r="AE609" i="3"/>
  <c r="AM609" i="3"/>
  <c r="AN609" i="3"/>
  <c r="AO609" i="3"/>
  <c r="AP609" i="3"/>
  <c r="AQ609" i="3"/>
  <c r="AS609" i="3" s="1"/>
  <c r="AT609" i="3" s="1"/>
  <c r="AW609" i="3"/>
  <c r="AY609" i="3" s="1"/>
  <c r="BD609" i="3"/>
  <c r="BO609" i="3" s="1"/>
  <c r="BF609" i="3"/>
  <c r="BG609" i="3"/>
  <c r="BM609" i="3"/>
  <c r="BQ609" i="3"/>
  <c r="BT609" i="3"/>
  <c r="BU609" i="3"/>
  <c r="BW609" i="3"/>
  <c r="CA609" i="3"/>
  <c r="CB609" i="3"/>
  <c r="L610" i="3"/>
  <c r="O610" i="3" s="1"/>
  <c r="W610" i="3"/>
  <c r="AA610" i="3"/>
  <c r="AL610" i="3" s="1"/>
  <c r="AE610" i="3"/>
  <c r="AF610" i="3" s="1"/>
  <c r="AM610" i="3"/>
  <c r="AN610" i="3"/>
  <c r="AO610" i="3"/>
  <c r="AP610" i="3"/>
  <c r="AQ610" i="3"/>
  <c r="AS610" i="3" s="1"/>
  <c r="AT610" i="3" s="1"/>
  <c r="AW610" i="3"/>
  <c r="AY610" i="3" s="1"/>
  <c r="BD610" i="3"/>
  <c r="BO610" i="3" s="1"/>
  <c r="BF610" i="3"/>
  <c r="BG610" i="3"/>
  <c r="BM610" i="3"/>
  <c r="BQ610" i="3"/>
  <c r="BT610" i="3"/>
  <c r="BU610" i="3"/>
  <c r="BW610" i="3"/>
  <c r="CA610" i="3"/>
  <c r="CB610" i="3"/>
  <c r="L576" i="3"/>
  <c r="O576" i="3" s="1"/>
  <c r="W576" i="3"/>
  <c r="AA576" i="3"/>
  <c r="AL576" i="3" s="1"/>
  <c r="AE576" i="3"/>
  <c r="AM576" i="3"/>
  <c r="AN576" i="3"/>
  <c r="AO576" i="3"/>
  <c r="AP576" i="3"/>
  <c r="AQ576" i="3"/>
  <c r="AS576" i="3" s="1"/>
  <c r="AT576" i="3" s="1"/>
  <c r="AW576" i="3"/>
  <c r="AY576" i="3" s="1"/>
  <c r="BD576" i="3"/>
  <c r="BO576" i="3" s="1"/>
  <c r="BF576" i="3"/>
  <c r="BG576" i="3"/>
  <c r="BM576" i="3"/>
  <c r="BQ576" i="3"/>
  <c r="BT576" i="3"/>
  <c r="BU576" i="3"/>
  <c r="BW576" i="3"/>
  <c r="CA576" i="3"/>
  <c r="CB576" i="3"/>
  <c r="L577" i="3"/>
  <c r="O577" i="3" s="1"/>
  <c r="W577" i="3"/>
  <c r="AA577" i="3"/>
  <c r="AL577" i="3" s="1"/>
  <c r="AE577" i="3"/>
  <c r="AM577" i="3"/>
  <c r="AN577" i="3"/>
  <c r="AO577" i="3"/>
  <c r="AP577" i="3"/>
  <c r="AQ577" i="3"/>
  <c r="AS577" i="3" s="1"/>
  <c r="AT577" i="3" s="1"/>
  <c r="AW577" i="3"/>
  <c r="AY577" i="3" s="1"/>
  <c r="BD577" i="3"/>
  <c r="BO577" i="3" s="1"/>
  <c r="BF577" i="3"/>
  <c r="BG577" i="3"/>
  <c r="BM577" i="3"/>
  <c r="BQ577" i="3"/>
  <c r="BT577" i="3"/>
  <c r="BU577" i="3"/>
  <c r="BW577" i="3"/>
  <c r="CA577" i="3"/>
  <c r="CB577" i="3"/>
  <c r="L578" i="3"/>
  <c r="O578" i="3" s="1"/>
  <c r="W578" i="3"/>
  <c r="AA578" i="3"/>
  <c r="AL578" i="3" s="1"/>
  <c r="AE578" i="3"/>
  <c r="AH578" i="3" s="1"/>
  <c r="AM578" i="3"/>
  <c r="AN578" i="3"/>
  <c r="AO578" i="3"/>
  <c r="AP578" i="3"/>
  <c r="AQ578" i="3"/>
  <c r="AS578" i="3" s="1"/>
  <c r="AT578" i="3" s="1"/>
  <c r="AW578" i="3"/>
  <c r="AY578" i="3" s="1"/>
  <c r="BD578" i="3"/>
  <c r="BO578" i="3" s="1"/>
  <c r="BF578" i="3"/>
  <c r="BG578" i="3"/>
  <c r="BM578" i="3"/>
  <c r="BQ578" i="3"/>
  <c r="BT578" i="3"/>
  <c r="BU578" i="3"/>
  <c r="BW578" i="3"/>
  <c r="CA578" i="3"/>
  <c r="CB578" i="3"/>
  <c r="L579" i="3"/>
  <c r="O579" i="3" s="1"/>
  <c r="W579" i="3"/>
  <c r="AA579" i="3"/>
  <c r="AL579" i="3" s="1"/>
  <c r="AE579" i="3"/>
  <c r="AF579" i="3" s="1"/>
  <c r="AM579" i="3"/>
  <c r="AN579" i="3"/>
  <c r="AO579" i="3"/>
  <c r="AP579" i="3"/>
  <c r="AQ579" i="3"/>
  <c r="AS579" i="3" s="1"/>
  <c r="AT579" i="3" s="1"/>
  <c r="AW579" i="3"/>
  <c r="AY579" i="3" s="1"/>
  <c r="BD579" i="3"/>
  <c r="BO579" i="3" s="1"/>
  <c r="BF579" i="3"/>
  <c r="BG579" i="3"/>
  <c r="BM579" i="3"/>
  <c r="BQ579" i="3"/>
  <c r="BT579" i="3"/>
  <c r="BU579" i="3"/>
  <c r="BW579" i="3"/>
  <c r="CA579" i="3"/>
  <c r="CB579" i="3"/>
  <c r="L580" i="3"/>
  <c r="O580" i="3" s="1"/>
  <c r="W580" i="3"/>
  <c r="AA580" i="3"/>
  <c r="AL580" i="3" s="1"/>
  <c r="AE580" i="3"/>
  <c r="AF580" i="3" s="1"/>
  <c r="AM580" i="3"/>
  <c r="AN580" i="3"/>
  <c r="AO580" i="3"/>
  <c r="AP580" i="3"/>
  <c r="AQ580" i="3"/>
  <c r="AS580" i="3" s="1"/>
  <c r="AT580" i="3" s="1"/>
  <c r="AW580" i="3"/>
  <c r="AY580" i="3" s="1"/>
  <c r="BD580" i="3"/>
  <c r="BO580" i="3" s="1"/>
  <c r="BF580" i="3"/>
  <c r="BG580" i="3"/>
  <c r="BM580" i="3"/>
  <c r="BQ580" i="3"/>
  <c r="BT580" i="3"/>
  <c r="BU580" i="3"/>
  <c r="BW580" i="3"/>
  <c r="CA580" i="3"/>
  <c r="CB580" i="3"/>
  <c r="L581" i="3"/>
  <c r="O581" i="3" s="1"/>
  <c r="W581" i="3"/>
  <c r="AA581" i="3"/>
  <c r="AL581" i="3" s="1"/>
  <c r="AE581" i="3"/>
  <c r="AF581" i="3" s="1"/>
  <c r="AM581" i="3"/>
  <c r="AN581" i="3"/>
  <c r="AO581" i="3"/>
  <c r="AP581" i="3"/>
  <c r="AQ581" i="3"/>
  <c r="AS581" i="3" s="1"/>
  <c r="AT581" i="3" s="1"/>
  <c r="AW581" i="3"/>
  <c r="AY581" i="3" s="1"/>
  <c r="BD581" i="3"/>
  <c r="BO581" i="3" s="1"/>
  <c r="BF581" i="3"/>
  <c r="BG581" i="3"/>
  <c r="BM581" i="3"/>
  <c r="BQ581" i="3"/>
  <c r="BT581" i="3"/>
  <c r="BU581" i="3"/>
  <c r="BW581" i="3"/>
  <c r="CA581" i="3"/>
  <c r="CB581" i="3"/>
  <c r="L582" i="3"/>
  <c r="O582" i="3" s="1"/>
  <c r="W582" i="3"/>
  <c r="AA582" i="3"/>
  <c r="AL582" i="3" s="1"/>
  <c r="AE582" i="3"/>
  <c r="AF582" i="3" s="1"/>
  <c r="AM582" i="3"/>
  <c r="AN582" i="3"/>
  <c r="AO582" i="3"/>
  <c r="AP582" i="3"/>
  <c r="AQ582" i="3"/>
  <c r="AS582" i="3" s="1"/>
  <c r="AT582" i="3" s="1"/>
  <c r="AW582" i="3"/>
  <c r="AY582" i="3" s="1"/>
  <c r="BD582" i="3"/>
  <c r="BO582" i="3" s="1"/>
  <c r="BF582" i="3"/>
  <c r="BG582" i="3"/>
  <c r="BM582" i="3"/>
  <c r="BQ582" i="3"/>
  <c r="BT582" i="3"/>
  <c r="BU582" i="3"/>
  <c r="BW582" i="3"/>
  <c r="BY582" i="3" s="1"/>
  <c r="CA582" i="3"/>
  <c r="CB582" i="3"/>
  <c r="L583" i="3"/>
  <c r="O583" i="3" s="1"/>
  <c r="W583" i="3"/>
  <c r="AA583" i="3"/>
  <c r="AL583" i="3" s="1"/>
  <c r="AE583" i="3"/>
  <c r="AF583" i="3" s="1"/>
  <c r="AM583" i="3"/>
  <c r="AN583" i="3"/>
  <c r="AO583" i="3"/>
  <c r="AP583" i="3"/>
  <c r="AQ583" i="3"/>
  <c r="AS583" i="3" s="1"/>
  <c r="AT583" i="3" s="1"/>
  <c r="AW583" i="3"/>
  <c r="AY583" i="3" s="1"/>
  <c r="BD583" i="3"/>
  <c r="BO583" i="3" s="1"/>
  <c r="BF583" i="3"/>
  <c r="BG583" i="3"/>
  <c r="BM583" i="3"/>
  <c r="BQ583" i="3"/>
  <c r="BT583" i="3"/>
  <c r="BU583" i="3"/>
  <c r="BW583" i="3"/>
  <c r="CA583" i="3"/>
  <c r="CB583" i="3"/>
  <c r="L584" i="3"/>
  <c r="O584" i="3" s="1"/>
  <c r="W584" i="3"/>
  <c r="AA584" i="3"/>
  <c r="AL584" i="3" s="1"/>
  <c r="AE584" i="3"/>
  <c r="AH584" i="3" s="1"/>
  <c r="AM584" i="3"/>
  <c r="AN584" i="3"/>
  <c r="AO584" i="3"/>
  <c r="AP584" i="3"/>
  <c r="AQ584" i="3"/>
  <c r="AS584" i="3" s="1"/>
  <c r="AT584" i="3" s="1"/>
  <c r="AW584" i="3"/>
  <c r="AY584" i="3" s="1"/>
  <c r="BD584" i="3"/>
  <c r="BO584" i="3" s="1"/>
  <c r="BF584" i="3"/>
  <c r="BG584" i="3"/>
  <c r="BM584" i="3"/>
  <c r="BQ584" i="3"/>
  <c r="BT584" i="3"/>
  <c r="BU584" i="3"/>
  <c r="BW584" i="3"/>
  <c r="CA584" i="3"/>
  <c r="CB584" i="3"/>
  <c r="L585" i="3"/>
  <c r="O585" i="3" s="1"/>
  <c r="W585" i="3"/>
  <c r="AA585" i="3"/>
  <c r="AL585" i="3" s="1"/>
  <c r="AE585" i="3"/>
  <c r="AF585" i="3" s="1"/>
  <c r="AM585" i="3"/>
  <c r="AN585" i="3"/>
  <c r="AO585" i="3"/>
  <c r="AP585" i="3"/>
  <c r="AQ585" i="3"/>
  <c r="AS585" i="3" s="1"/>
  <c r="AT585" i="3" s="1"/>
  <c r="AW585" i="3"/>
  <c r="AY585" i="3" s="1"/>
  <c r="BD585" i="3"/>
  <c r="BO585" i="3" s="1"/>
  <c r="BF585" i="3"/>
  <c r="BG585" i="3"/>
  <c r="BM585" i="3"/>
  <c r="BQ585" i="3"/>
  <c r="BT585" i="3"/>
  <c r="BU585" i="3"/>
  <c r="BW585" i="3"/>
  <c r="CA585" i="3"/>
  <c r="CB585" i="3"/>
  <c r="L586" i="3"/>
  <c r="O586" i="3" s="1"/>
  <c r="W586" i="3"/>
  <c r="AA586" i="3"/>
  <c r="AL586" i="3" s="1"/>
  <c r="AE586" i="3"/>
  <c r="AM586" i="3"/>
  <c r="AN586" i="3"/>
  <c r="AO586" i="3"/>
  <c r="AP586" i="3"/>
  <c r="AQ586" i="3"/>
  <c r="AS586" i="3" s="1"/>
  <c r="AT586" i="3" s="1"/>
  <c r="AW586" i="3"/>
  <c r="AY586" i="3" s="1"/>
  <c r="BD586" i="3"/>
  <c r="BO586" i="3" s="1"/>
  <c r="BF586" i="3"/>
  <c r="BG586" i="3"/>
  <c r="BM586" i="3"/>
  <c r="BQ586" i="3"/>
  <c r="BT586" i="3"/>
  <c r="BU586" i="3"/>
  <c r="BW586" i="3"/>
  <c r="CA586" i="3"/>
  <c r="CB586" i="3"/>
  <c r="L587" i="3"/>
  <c r="O587" i="3" s="1"/>
  <c r="W587" i="3"/>
  <c r="AA587" i="3"/>
  <c r="AL587" i="3" s="1"/>
  <c r="AE587" i="3"/>
  <c r="AH587" i="3" s="1"/>
  <c r="AM587" i="3"/>
  <c r="AN587" i="3"/>
  <c r="AO587" i="3"/>
  <c r="AP587" i="3"/>
  <c r="AQ587" i="3"/>
  <c r="AS587" i="3" s="1"/>
  <c r="AT587" i="3" s="1"/>
  <c r="AW587" i="3"/>
  <c r="AY587" i="3" s="1"/>
  <c r="BD587" i="3"/>
  <c r="BO587" i="3" s="1"/>
  <c r="BF587" i="3"/>
  <c r="BG587" i="3"/>
  <c r="BM587" i="3"/>
  <c r="BQ587" i="3"/>
  <c r="BT587" i="3"/>
  <c r="BU587" i="3"/>
  <c r="BW587" i="3"/>
  <c r="CA587" i="3"/>
  <c r="CB587" i="3"/>
  <c r="L588" i="3"/>
  <c r="O588" i="3" s="1"/>
  <c r="W588" i="3"/>
  <c r="AA588" i="3"/>
  <c r="AL588" i="3" s="1"/>
  <c r="AE588" i="3"/>
  <c r="AF588" i="3" s="1"/>
  <c r="AM588" i="3"/>
  <c r="AN588" i="3"/>
  <c r="AO588" i="3"/>
  <c r="AP588" i="3"/>
  <c r="AQ588" i="3"/>
  <c r="AS588" i="3" s="1"/>
  <c r="AT588" i="3" s="1"/>
  <c r="AW588" i="3"/>
  <c r="AY588" i="3" s="1"/>
  <c r="BD588" i="3"/>
  <c r="BO588" i="3" s="1"/>
  <c r="BF588" i="3"/>
  <c r="BG588" i="3"/>
  <c r="BM588" i="3"/>
  <c r="BQ588" i="3"/>
  <c r="BT588" i="3"/>
  <c r="BU588" i="3"/>
  <c r="BW588" i="3"/>
  <c r="CA588" i="3"/>
  <c r="CB588" i="3"/>
  <c r="L589" i="3"/>
  <c r="O589" i="3" s="1"/>
  <c r="W589" i="3"/>
  <c r="AA589" i="3"/>
  <c r="AL589" i="3" s="1"/>
  <c r="AE589" i="3"/>
  <c r="AF589" i="3" s="1"/>
  <c r="AM589" i="3"/>
  <c r="AN589" i="3"/>
  <c r="AO589" i="3"/>
  <c r="AP589" i="3"/>
  <c r="AQ589" i="3"/>
  <c r="AS589" i="3" s="1"/>
  <c r="AT589" i="3" s="1"/>
  <c r="AW589" i="3"/>
  <c r="AY589" i="3" s="1"/>
  <c r="BD589" i="3"/>
  <c r="BO589" i="3" s="1"/>
  <c r="BF589" i="3"/>
  <c r="BG589" i="3"/>
  <c r="BM589" i="3"/>
  <c r="BQ589" i="3"/>
  <c r="BT589" i="3"/>
  <c r="BU589" i="3"/>
  <c r="BW589" i="3"/>
  <c r="CA589" i="3"/>
  <c r="CB589" i="3"/>
  <c r="L590" i="3"/>
  <c r="O590" i="3" s="1"/>
  <c r="W590" i="3"/>
  <c r="AA590" i="3"/>
  <c r="AL590" i="3" s="1"/>
  <c r="AE590" i="3"/>
  <c r="AH590" i="3" s="1"/>
  <c r="AM590" i="3"/>
  <c r="AN590" i="3"/>
  <c r="AO590" i="3"/>
  <c r="AP590" i="3"/>
  <c r="AQ590" i="3"/>
  <c r="AS590" i="3" s="1"/>
  <c r="AT590" i="3" s="1"/>
  <c r="AW590" i="3"/>
  <c r="AY590" i="3" s="1"/>
  <c r="BD590" i="3"/>
  <c r="BO590" i="3" s="1"/>
  <c r="BF590" i="3"/>
  <c r="BG590" i="3"/>
  <c r="BM590" i="3"/>
  <c r="BQ590" i="3"/>
  <c r="BT590" i="3"/>
  <c r="BU590" i="3"/>
  <c r="BW590" i="3"/>
  <c r="CA590" i="3"/>
  <c r="CB590" i="3"/>
  <c r="L591" i="3"/>
  <c r="O591" i="3" s="1"/>
  <c r="W591" i="3"/>
  <c r="AA591" i="3"/>
  <c r="AL591" i="3" s="1"/>
  <c r="AE591" i="3"/>
  <c r="AF591" i="3" s="1"/>
  <c r="AM591" i="3"/>
  <c r="AN591" i="3"/>
  <c r="AO591" i="3"/>
  <c r="AP591" i="3"/>
  <c r="AQ591" i="3"/>
  <c r="AS591" i="3" s="1"/>
  <c r="AT591" i="3" s="1"/>
  <c r="AW591" i="3"/>
  <c r="AY591" i="3" s="1"/>
  <c r="BD591" i="3"/>
  <c r="BO591" i="3" s="1"/>
  <c r="BF591" i="3"/>
  <c r="BG591" i="3"/>
  <c r="BM591" i="3"/>
  <c r="BQ591" i="3"/>
  <c r="BT591" i="3"/>
  <c r="BU591" i="3"/>
  <c r="BW591" i="3"/>
  <c r="CA591" i="3"/>
  <c r="CB591" i="3"/>
  <c r="L592" i="3"/>
  <c r="O592" i="3" s="1"/>
  <c r="W592" i="3"/>
  <c r="AA592" i="3"/>
  <c r="AL592" i="3" s="1"/>
  <c r="AE592" i="3"/>
  <c r="AH592" i="3" s="1"/>
  <c r="AM592" i="3"/>
  <c r="AN592" i="3"/>
  <c r="AO592" i="3"/>
  <c r="AP592" i="3"/>
  <c r="AQ592" i="3"/>
  <c r="AS592" i="3" s="1"/>
  <c r="AT592" i="3" s="1"/>
  <c r="AW592" i="3"/>
  <c r="AY592" i="3" s="1"/>
  <c r="BD592" i="3"/>
  <c r="BO592" i="3" s="1"/>
  <c r="BF592" i="3"/>
  <c r="BG592" i="3"/>
  <c r="BM592" i="3"/>
  <c r="BQ592" i="3"/>
  <c r="BT592" i="3"/>
  <c r="BU592" i="3"/>
  <c r="BW592" i="3"/>
  <c r="CA592" i="3"/>
  <c r="CB592" i="3"/>
  <c r="L558" i="3"/>
  <c r="O558" i="3" s="1"/>
  <c r="W558" i="3"/>
  <c r="AA558" i="3"/>
  <c r="AL558" i="3" s="1"/>
  <c r="AE558" i="3"/>
  <c r="AF558" i="3" s="1"/>
  <c r="AM558" i="3"/>
  <c r="AN558" i="3"/>
  <c r="AO558" i="3"/>
  <c r="AP558" i="3"/>
  <c r="AQ558" i="3"/>
  <c r="AS558" i="3" s="1"/>
  <c r="AT558" i="3" s="1"/>
  <c r="AW558" i="3"/>
  <c r="AY558" i="3" s="1"/>
  <c r="BD558" i="3"/>
  <c r="BO558" i="3" s="1"/>
  <c r="BF558" i="3"/>
  <c r="BG558" i="3"/>
  <c r="BM558" i="3"/>
  <c r="BQ558" i="3"/>
  <c r="BT558" i="3"/>
  <c r="BU558" i="3"/>
  <c r="BW558" i="3"/>
  <c r="CA558" i="3"/>
  <c r="CB558" i="3"/>
  <c r="L559" i="3"/>
  <c r="O559" i="3" s="1"/>
  <c r="W559" i="3"/>
  <c r="AA559" i="3"/>
  <c r="AL559" i="3" s="1"/>
  <c r="AE559" i="3"/>
  <c r="AF559" i="3" s="1"/>
  <c r="AM559" i="3"/>
  <c r="AN559" i="3"/>
  <c r="AO559" i="3"/>
  <c r="AP559" i="3"/>
  <c r="AQ559" i="3"/>
  <c r="AS559" i="3" s="1"/>
  <c r="AT559" i="3" s="1"/>
  <c r="AW559" i="3"/>
  <c r="AY559" i="3" s="1"/>
  <c r="BD559" i="3"/>
  <c r="BO559" i="3" s="1"/>
  <c r="BF559" i="3"/>
  <c r="BG559" i="3"/>
  <c r="BM559" i="3"/>
  <c r="BQ559" i="3"/>
  <c r="BT559" i="3"/>
  <c r="BU559" i="3"/>
  <c r="BW559" i="3"/>
  <c r="CA559" i="3"/>
  <c r="CB559" i="3"/>
  <c r="L560" i="3"/>
  <c r="O560" i="3" s="1"/>
  <c r="W560" i="3"/>
  <c r="AA560" i="3"/>
  <c r="AL560" i="3" s="1"/>
  <c r="AE560" i="3"/>
  <c r="AF560" i="3" s="1"/>
  <c r="AM560" i="3"/>
  <c r="AN560" i="3"/>
  <c r="AO560" i="3"/>
  <c r="AP560" i="3"/>
  <c r="AQ560" i="3"/>
  <c r="AS560" i="3" s="1"/>
  <c r="AT560" i="3" s="1"/>
  <c r="AW560" i="3"/>
  <c r="AY560" i="3" s="1"/>
  <c r="BD560" i="3"/>
  <c r="BO560" i="3" s="1"/>
  <c r="BF560" i="3"/>
  <c r="BG560" i="3"/>
  <c r="BM560" i="3"/>
  <c r="BQ560" i="3"/>
  <c r="BT560" i="3"/>
  <c r="BU560" i="3"/>
  <c r="BW560" i="3"/>
  <c r="CA560" i="3"/>
  <c r="CB560" i="3"/>
  <c r="L561" i="3"/>
  <c r="O561" i="3" s="1"/>
  <c r="W561" i="3"/>
  <c r="AA561" i="3"/>
  <c r="AL561" i="3" s="1"/>
  <c r="AE561" i="3"/>
  <c r="AF561" i="3" s="1"/>
  <c r="AM561" i="3"/>
  <c r="AN561" i="3"/>
  <c r="AO561" i="3"/>
  <c r="AP561" i="3"/>
  <c r="AQ561" i="3"/>
  <c r="AS561" i="3" s="1"/>
  <c r="AT561" i="3" s="1"/>
  <c r="AW561" i="3"/>
  <c r="AY561" i="3" s="1"/>
  <c r="BD561" i="3"/>
  <c r="BO561" i="3" s="1"/>
  <c r="BF561" i="3"/>
  <c r="BG561" i="3"/>
  <c r="BM561" i="3"/>
  <c r="BQ561" i="3"/>
  <c r="BT561" i="3"/>
  <c r="BU561" i="3"/>
  <c r="BW561" i="3"/>
  <c r="CA561" i="3"/>
  <c r="CB561" i="3"/>
  <c r="L562" i="3"/>
  <c r="O562" i="3" s="1"/>
  <c r="W562" i="3"/>
  <c r="AA562" i="3"/>
  <c r="AL562" i="3" s="1"/>
  <c r="AE562" i="3"/>
  <c r="AM562" i="3"/>
  <c r="AN562" i="3"/>
  <c r="AO562" i="3"/>
  <c r="AP562" i="3"/>
  <c r="AQ562" i="3"/>
  <c r="AS562" i="3" s="1"/>
  <c r="AT562" i="3" s="1"/>
  <c r="AW562" i="3"/>
  <c r="AY562" i="3" s="1"/>
  <c r="BD562" i="3"/>
  <c r="BO562" i="3" s="1"/>
  <c r="BF562" i="3"/>
  <c r="BG562" i="3"/>
  <c r="BM562" i="3"/>
  <c r="BQ562" i="3"/>
  <c r="BT562" i="3"/>
  <c r="BU562" i="3"/>
  <c r="BW562" i="3"/>
  <c r="CA562" i="3"/>
  <c r="CB562" i="3"/>
  <c r="L563" i="3"/>
  <c r="O563" i="3" s="1"/>
  <c r="W563" i="3"/>
  <c r="AA563" i="3"/>
  <c r="AL563" i="3" s="1"/>
  <c r="AE563" i="3"/>
  <c r="AF563" i="3" s="1"/>
  <c r="AM563" i="3"/>
  <c r="AN563" i="3"/>
  <c r="AO563" i="3"/>
  <c r="AP563" i="3"/>
  <c r="AQ563" i="3"/>
  <c r="AS563" i="3" s="1"/>
  <c r="AT563" i="3" s="1"/>
  <c r="AU563" i="3" s="1"/>
  <c r="AW563" i="3"/>
  <c r="AY563" i="3" s="1"/>
  <c r="BD563" i="3"/>
  <c r="BO563" i="3" s="1"/>
  <c r="BF563" i="3"/>
  <c r="BG563" i="3"/>
  <c r="BM563" i="3"/>
  <c r="BQ563" i="3"/>
  <c r="BT563" i="3"/>
  <c r="BU563" i="3"/>
  <c r="BW563" i="3"/>
  <c r="CA563" i="3"/>
  <c r="CB563" i="3"/>
  <c r="L564" i="3"/>
  <c r="O564" i="3" s="1"/>
  <c r="W564" i="3"/>
  <c r="AA564" i="3"/>
  <c r="AL564" i="3" s="1"/>
  <c r="AE564" i="3"/>
  <c r="AF564" i="3" s="1"/>
  <c r="AM564" i="3"/>
  <c r="AN564" i="3"/>
  <c r="AO564" i="3"/>
  <c r="AP564" i="3"/>
  <c r="AQ564" i="3"/>
  <c r="AS564" i="3" s="1"/>
  <c r="AT564" i="3" s="1"/>
  <c r="AW564" i="3"/>
  <c r="AY564" i="3" s="1"/>
  <c r="BD564" i="3"/>
  <c r="BO564" i="3" s="1"/>
  <c r="BF564" i="3"/>
  <c r="BG564" i="3"/>
  <c r="BM564" i="3"/>
  <c r="BQ564" i="3"/>
  <c r="BT564" i="3"/>
  <c r="BU564" i="3"/>
  <c r="BW564" i="3"/>
  <c r="CA564" i="3"/>
  <c r="CB564" i="3"/>
  <c r="L565" i="3"/>
  <c r="O565" i="3" s="1"/>
  <c r="W565" i="3"/>
  <c r="AA565" i="3"/>
  <c r="AL565" i="3" s="1"/>
  <c r="AE565" i="3"/>
  <c r="AF565" i="3" s="1"/>
  <c r="AM565" i="3"/>
  <c r="AN565" i="3"/>
  <c r="AO565" i="3"/>
  <c r="AP565" i="3"/>
  <c r="AQ565" i="3"/>
  <c r="AS565" i="3" s="1"/>
  <c r="AT565" i="3" s="1"/>
  <c r="AW565" i="3"/>
  <c r="AY565" i="3" s="1"/>
  <c r="BD565" i="3"/>
  <c r="BO565" i="3" s="1"/>
  <c r="BF565" i="3"/>
  <c r="BG565" i="3"/>
  <c r="BM565" i="3"/>
  <c r="BQ565" i="3"/>
  <c r="BT565" i="3"/>
  <c r="BU565" i="3"/>
  <c r="BW565" i="3"/>
  <c r="CA565" i="3"/>
  <c r="CB565" i="3"/>
  <c r="L566" i="3"/>
  <c r="O566" i="3" s="1"/>
  <c r="W566" i="3"/>
  <c r="AA566" i="3"/>
  <c r="AL566" i="3" s="1"/>
  <c r="AE566" i="3"/>
  <c r="AF566" i="3" s="1"/>
  <c r="AM566" i="3"/>
  <c r="AN566" i="3"/>
  <c r="AO566" i="3"/>
  <c r="AP566" i="3"/>
  <c r="AQ566" i="3"/>
  <c r="AS566" i="3" s="1"/>
  <c r="AT566" i="3" s="1"/>
  <c r="AW566" i="3"/>
  <c r="AY566" i="3" s="1"/>
  <c r="BD566" i="3"/>
  <c r="BO566" i="3" s="1"/>
  <c r="BF566" i="3"/>
  <c r="BG566" i="3"/>
  <c r="BM566" i="3"/>
  <c r="BQ566" i="3"/>
  <c r="BT566" i="3"/>
  <c r="BU566" i="3"/>
  <c r="BW566" i="3"/>
  <c r="CA566" i="3"/>
  <c r="CB566" i="3"/>
  <c r="L567" i="3"/>
  <c r="O567" i="3" s="1"/>
  <c r="W567" i="3"/>
  <c r="AA567" i="3"/>
  <c r="AL567" i="3" s="1"/>
  <c r="AE567" i="3"/>
  <c r="AF567" i="3" s="1"/>
  <c r="AM567" i="3"/>
  <c r="AN567" i="3"/>
  <c r="AO567" i="3"/>
  <c r="AP567" i="3"/>
  <c r="AQ567" i="3"/>
  <c r="AS567" i="3" s="1"/>
  <c r="AT567" i="3" s="1"/>
  <c r="AW567" i="3"/>
  <c r="AY567" i="3" s="1"/>
  <c r="BD567" i="3"/>
  <c r="BO567" i="3" s="1"/>
  <c r="BF567" i="3"/>
  <c r="BG567" i="3"/>
  <c r="BM567" i="3"/>
  <c r="BQ567" i="3"/>
  <c r="BT567" i="3"/>
  <c r="BU567" i="3"/>
  <c r="BW567" i="3"/>
  <c r="CA567" i="3"/>
  <c r="CB567" i="3"/>
  <c r="L568" i="3"/>
  <c r="O568" i="3" s="1"/>
  <c r="W568" i="3"/>
  <c r="AA568" i="3"/>
  <c r="AL568" i="3" s="1"/>
  <c r="AE568" i="3"/>
  <c r="AF568" i="3" s="1"/>
  <c r="AM568" i="3"/>
  <c r="AN568" i="3"/>
  <c r="AO568" i="3"/>
  <c r="AP568" i="3"/>
  <c r="AQ568" i="3"/>
  <c r="AS568" i="3" s="1"/>
  <c r="AT568" i="3" s="1"/>
  <c r="AW568" i="3"/>
  <c r="AY568" i="3" s="1"/>
  <c r="BD568" i="3"/>
  <c r="BO568" i="3" s="1"/>
  <c r="BF568" i="3"/>
  <c r="BG568" i="3"/>
  <c r="BM568" i="3"/>
  <c r="BQ568" i="3"/>
  <c r="BT568" i="3"/>
  <c r="BU568" i="3"/>
  <c r="BW568" i="3"/>
  <c r="CA568" i="3"/>
  <c r="CB568" i="3"/>
  <c r="L569" i="3"/>
  <c r="O569" i="3" s="1"/>
  <c r="W569" i="3"/>
  <c r="AA569" i="3"/>
  <c r="AL569" i="3" s="1"/>
  <c r="AE569" i="3"/>
  <c r="AH569" i="3" s="1"/>
  <c r="AM569" i="3"/>
  <c r="AN569" i="3"/>
  <c r="AO569" i="3"/>
  <c r="AP569" i="3"/>
  <c r="AQ569" i="3"/>
  <c r="AS569" i="3" s="1"/>
  <c r="AT569" i="3" s="1"/>
  <c r="AW569" i="3"/>
  <c r="AY569" i="3" s="1"/>
  <c r="BD569" i="3"/>
  <c r="BO569" i="3" s="1"/>
  <c r="BF569" i="3"/>
  <c r="BG569" i="3"/>
  <c r="BM569" i="3"/>
  <c r="BQ569" i="3"/>
  <c r="BT569" i="3"/>
  <c r="BU569" i="3"/>
  <c r="BW569" i="3"/>
  <c r="CA569" i="3"/>
  <c r="CB569" i="3"/>
  <c r="L570" i="3"/>
  <c r="O570" i="3" s="1"/>
  <c r="W570" i="3"/>
  <c r="AA570" i="3"/>
  <c r="AL570" i="3" s="1"/>
  <c r="AE570" i="3"/>
  <c r="AF570" i="3" s="1"/>
  <c r="AM570" i="3"/>
  <c r="AN570" i="3"/>
  <c r="AO570" i="3"/>
  <c r="AP570" i="3"/>
  <c r="AQ570" i="3"/>
  <c r="AS570" i="3" s="1"/>
  <c r="AT570" i="3" s="1"/>
  <c r="AW570" i="3"/>
  <c r="AY570" i="3" s="1"/>
  <c r="BD570" i="3"/>
  <c r="BO570" i="3" s="1"/>
  <c r="BF570" i="3"/>
  <c r="BG570" i="3"/>
  <c r="BM570" i="3"/>
  <c r="BQ570" i="3"/>
  <c r="BT570" i="3"/>
  <c r="BU570" i="3"/>
  <c r="BW570" i="3"/>
  <c r="CA570" i="3"/>
  <c r="CB570" i="3"/>
  <c r="L571" i="3"/>
  <c r="O571" i="3" s="1"/>
  <c r="W571" i="3"/>
  <c r="AA571" i="3"/>
  <c r="AL571" i="3" s="1"/>
  <c r="AE571" i="3"/>
  <c r="AF571" i="3" s="1"/>
  <c r="AM571" i="3"/>
  <c r="AN571" i="3"/>
  <c r="AO571" i="3"/>
  <c r="AP571" i="3"/>
  <c r="AQ571" i="3"/>
  <c r="AS571" i="3" s="1"/>
  <c r="AT571" i="3" s="1"/>
  <c r="AW571" i="3"/>
  <c r="AY571" i="3" s="1"/>
  <c r="BD571" i="3"/>
  <c r="BO571" i="3" s="1"/>
  <c r="BF571" i="3"/>
  <c r="BG571" i="3"/>
  <c r="BM571" i="3"/>
  <c r="BQ571" i="3"/>
  <c r="BT571" i="3"/>
  <c r="BU571" i="3"/>
  <c r="BW571" i="3"/>
  <c r="CA571" i="3"/>
  <c r="CB571" i="3"/>
  <c r="L572" i="3"/>
  <c r="O572" i="3" s="1"/>
  <c r="W572" i="3"/>
  <c r="AA572" i="3"/>
  <c r="AL572" i="3" s="1"/>
  <c r="AE572" i="3"/>
  <c r="AF572" i="3" s="1"/>
  <c r="AM572" i="3"/>
  <c r="AN572" i="3"/>
  <c r="AO572" i="3"/>
  <c r="AP572" i="3"/>
  <c r="AQ572" i="3"/>
  <c r="AS572" i="3" s="1"/>
  <c r="AT572" i="3" s="1"/>
  <c r="AW572" i="3"/>
  <c r="AY572" i="3" s="1"/>
  <c r="BD572" i="3"/>
  <c r="BO572" i="3" s="1"/>
  <c r="BF572" i="3"/>
  <c r="BG572" i="3"/>
  <c r="BM572" i="3"/>
  <c r="BQ572" i="3"/>
  <c r="BT572" i="3"/>
  <c r="BU572" i="3"/>
  <c r="BW572" i="3"/>
  <c r="CA572" i="3"/>
  <c r="CB572" i="3"/>
  <c r="L573" i="3"/>
  <c r="O573" i="3" s="1"/>
  <c r="W573" i="3"/>
  <c r="AA573" i="3"/>
  <c r="AL573" i="3" s="1"/>
  <c r="AE573" i="3"/>
  <c r="AM573" i="3"/>
  <c r="AN573" i="3"/>
  <c r="AO573" i="3"/>
  <c r="AP573" i="3"/>
  <c r="AQ573" i="3"/>
  <c r="AS573" i="3" s="1"/>
  <c r="AT573" i="3" s="1"/>
  <c r="AW573" i="3"/>
  <c r="AY573" i="3" s="1"/>
  <c r="BD573" i="3"/>
  <c r="BO573" i="3" s="1"/>
  <c r="BF573" i="3"/>
  <c r="BG573" i="3"/>
  <c r="BM573" i="3"/>
  <c r="BQ573" i="3"/>
  <c r="BT573" i="3"/>
  <c r="BU573" i="3"/>
  <c r="BW573" i="3"/>
  <c r="CA573" i="3"/>
  <c r="CB573" i="3"/>
  <c r="L574" i="3"/>
  <c r="O574" i="3" s="1"/>
  <c r="W574" i="3"/>
  <c r="AA574" i="3"/>
  <c r="AL574" i="3" s="1"/>
  <c r="AE574" i="3"/>
  <c r="AF574" i="3" s="1"/>
  <c r="AM574" i="3"/>
  <c r="AN574" i="3"/>
  <c r="AO574" i="3"/>
  <c r="AP574" i="3"/>
  <c r="AQ574" i="3"/>
  <c r="AS574" i="3" s="1"/>
  <c r="AT574" i="3" s="1"/>
  <c r="AW574" i="3"/>
  <c r="AY574" i="3" s="1"/>
  <c r="BD574" i="3"/>
  <c r="BO574" i="3" s="1"/>
  <c r="BF574" i="3"/>
  <c r="BG574" i="3"/>
  <c r="BM574" i="3"/>
  <c r="BQ574" i="3"/>
  <c r="BT574" i="3"/>
  <c r="BU574" i="3"/>
  <c r="BW574" i="3"/>
  <c r="CA574" i="3"/>
  <c r="CB574" i="3"/>
  <c r="L540" i="3"/>
  <c r="O540" i="3" s="1"/>
  <c r="W540" i="3"/>
  <c r="AA540" i="3"/>
  <c r="AL540" i="3" s="1"/>
  <c r="AE540" i="3"/>
  <c r="AF540" i="3" s="1"/>
  <c r="AM540" i="3"/>
  <c r="AN540" i="3"/>
  <c r="AO540" i="3"/>
  <c r="AP540" i="3"/>
  <c r="AQ540" i="3"/>
  <c r="AS540" i="3" s="1"/>
  <c r="AT540" i="3" s="1"/>
  <c r="AW540" i="3"/>
  <c r="AY540" i="3" s="1"/>
  <c r="BD540" i="3"/>
  <c r="BO540" i="3" s="1"/>
  <c r="BF540" i="3"/>
  <c r="BG540" i="3"/>
  <c r="BM540" i="3"/>
  <c r="BQ540" i="3"/>
  <c r="BT540" i="3"/>
  <c r="BU540" i="3"/>
  <c r="BW540" i="3"/>
  <c r="CA540" i="3"/>
  <c r="CB540" i="3"/>
  <c r="L541" i="3"/>
  <c r="O541" i="3" s="1"/>
  <c r="W541" i="3"/>
  <c r="AA541" i="3"/>
  <c r="AL541" i="3" s="1"/>
  <c r="AE541" i="3"/>
  <c r="AF541" i="3" s="1"/>
  <c r="AM541" i="3"/>
  <c r="AN541" i="3"/>
  <c r="AO541" i="3"/>
  <c r="AP541" i="3"/>
  <c r="AQ541" i="3"/>
  <c r="AS541" i="3" s="1"/>
  <c r="AT541" i="3" s="1"/>
  <c r="AW541" i="3"/>
  <c r="AY541" i="3" s="1"/>
  <c r="BD541" i="3"/>
  <c r="BO541" i="3" s="1"/>
  <c r="BF541" i="3"/>
  <c r="BG541" i="3"/>
  <c r="BM541" i="3"/>
  <c r="BQ541" i="3"/>
  <c r="BT541" i="3"/>
  <c r="BU541" i="3"/>
  <c r="BW541" i="3"/>
  <c r="CA541" i="3"/>
  <c r="CB541" i="3"/>
  <c r="L542" i="3"/>
  <c r="O542" i="3" s="1"/>
  <c r="W542" i="3"/>
  <c r="AA542" i="3"/>
  <c r="AL542" i="3" s="1"/>
  <c r="AE542" i="3"/>
  <c r="AF542" i="3" s="1"/>
  <c r="AM542" i="3"/>
  <c r="AN542" i="3"/>
  <c r="AO542" i="3"/>
  <c r="AP542" i="3"/>
  <c r="AQ542" i="3"/>
  <c r="AS542" i="3" s="1"/>
  <c r="AT542" i="3" s="1"/>
  <c r="AW542" i="3"/>
  <c r="AY542" i="3" s="1"/>
  <c r="BD542" i="3"/>
  <c r="BO542" i="3" s="1"/>
  <c r="BF542" i="3"/>
  <c r="BG542" i="3"/>
  <c r="BM542" i="3"/>
  <c r="BQ542" i="3"/>
  <c r="BT542" i="3"/>
  <c r="BU542" i="3"/>
  <c r="BW542" i="3"/>
  <c r="CA542" i="3"/>
  <c r="CB542" i="3"/>
  <c r="L543" i="3"/>
  <c r="O543" i="3" s="1"/>
  <c r="W543" i="3"/>
  <c r="AA543" i="3"/>
  <c r="AL543" i="3" s="1"/>
  <c r="AE543" i="3"/>
  <c r="AF543" i="3" s="1"/>
  <c r="AM543" i="3"/>
  <c r="AN543" i="3"/>
  <c r="AO543" i="3"/>
  <c r="AP543" i="3"/>
  <c r="AQ543" i="3"/>
  <c r="AS543" i="3" s="1"/>
  <c r="AT543" i="3" s="1"/>
  <c r="AW543" i="3"/>
  <c r="AY543" i="3" s="1"/>
  <c r="BD543" i="3"/>
  <c r="BO543" i="3" s="1"/>
  <c r="BF543" i="3"/>
  <c r="BG543" i="3"/>
  <c r="BM543" i="3"/>
  <c r="BQ543" i="3"/>
  <c r="BT543" i="3"/>
  <c r="BU543" i="3"/>
  <c r="BW543" i="3"/>
  <c r="CA543" i="3"/>
  <c r="CB543" i="3"/>
  <c r="L544" i="3"/>
  <c r="O544" i="3" s="1"/>
  <c r="W544" i="3"/>
  <c r="AA544" i="3"/>
  <c r="AL544" i="3" s="1"/>
  <c r="AE544" i="3"/>
  <c r="AM544" i="3"/>
  <c r="AN544" i="3"/>
  <c r="AO544" i="3"/>
  <c r="AP544" i="3"/>
  <c r="AQ544" i="3"/>
  <c r="AS544" i="3" s="1"/>
  <c r="AT544" i="3" s="1"/>
  <c r="AW544" i="3"/>
  <c r="AY544" i="3" s="1"/>
  <c r="BD544" i="3"/>
  <c r="BO544" i="3" s="1"/>
  <c r="BF544" i="3"/>
  <c r="BG544" i="3"/>
  <c r="BM544" i="3"/>
  <c r="BQ544" i="3"/>
  <c r="BT544" i="3"/>
  <c r="BU544" i="3"/>
  <c r="BW544" i="3"/>
  <c r="CA544" i="3"/>
  <c r="CB544" i="3"/>
  <c r="L545" i="3"/>
  <c r="O545" i="3" s="1"/>
  <c r="W545" i="3"/>
  <c r="AA545" i="3"/>
  <c r="AL545" i="3" s="1"/>
  <c r="AE545" i="3"/>
  <c r="AF545" i="3" s="1"/>
  <c r="AM545" i="3"/>
  <c r="AN545" i="3"/>
  <c r="AO545" i="3"/>
  <c r="AP545" i="3"/>
  <c r="AQ545" i="3"/>
  <c r="AS545" i="3" s="1"/>
  <c r="AT545" i="3" s="1"/>
  <c r="AW545" i="3"/>
  <c r="AY545" i="3" s="1"/>
  <c r="BD545" i="3"/>
  <c r="BO545" i="3" s="1"/>
  <c r="BF545" i="3"/>
  <c r="BG545" i="3"/>
  <c r="BM545" i="3"/>
  <c r="BQ545" i="3"/>
  <c r="BT545" i="3"/>
  <c r="BU545" i="3"/>
  <c r="BW545" i="3"/>
  <c r="CA545" i="3"/>
  <c r="CB545" i="3"/>
  <c r="L546" i="3"/>
  <c r="O546" i="3" s="1"/>
  <c r="W546" i="3"/>
  <c r="AA546" i="3"/>
  <c r="AL546" i="3" s="1"/>
  <c r="AE546" i="3"/>
  <c r="AF546" i="3" s="1"/>
  <c r="AM546" i="3"/>
  <c r="AN546" i="3"/>
  <c r="AO546" i="3"/>
  <c r="AP546" i="3"/>
  <c r="AQ546" i="3"/>
  <c r="AW546" i="3"/>
  <c r="AY546" i="3" s="1"/>
  <c r="BD546" i="3"/>
  <c r="BO546" i="3" s="1"/>
  <c r="BF546" i="3"/>
  <c r="BG546" i="3"/>
  <c r="BM546" i="3"/>
  <c r="BQ546" i="3"/>
  <c r="BT546" i="3"/>
  <c r="BU546" i="3"/>
  <c r="BW546" i="3"/>
  <c r="CA546" i="3"/>
  <c r="CB546" i="3"/>
  <c r="L547" i="3"/>
  <c r="O547" i="3" s="1"/>
  <c r="W547" i="3"/>
  <c r="AA547" i="3"/>
  <c r="AL547" i="3" s="1"/>
  <c r="AE547" i="3"/>
  <c r="AF547" i="3" s="1"/>
  <c r="AM547" i="3"/>
  <c r="AN547" i="3"/>
  <c r="AO547" i="3"/>
  <c r="AP547" i="3"/>
  <c r="AQ547" i="3"/>
  <c r="AS547" i="3" s="1"/>
  <c r="AT547" i="3" s="1"/>
  <c r="AW547" i="3"/>
  <c r="AY547" i="3" s="1"/>
  <c r="BD547" i="3"/>
  <c r="BO547" i="3" s="1"/>
  <c r="BF547" i="3"/>
  <c r="BG547" i="3"/>
  <c r="BM547" i="3"/>
  <c r="BQ547" i="3"/>
  <c r="BT547" i="3"/>
  <c r="BU547" i="3"/>
  <c r="BW547" i="3"/>
  <c r="CA547" i="3"/>
  <c r="CB547" i="3"/>
  <c r="L548" i="3"/>
  <c r="O548" i="3" s="1"/>
  <c r="W548" i="3"/>
  <c r="AA548" i="3"/>
  <c r="AL548" i="3" s="1"/>
  <c r="AE548" i="3"/>
  <c r="AF548" i="3" s="1"/>
  <c r="AM548" i="3"/>
  <c r="AN548" i="3"/>
  <c r="AO548" i="3"/>
  <c r="AP548" i="3"/>
  <c r="AQ548" i="3"/>
  <c r="AS548" i="3" s="1"/>
  <c r="AT548" i="3" s="1"/>
  <c r="AW548" i="3"/>
  <c r="AY548" i="3" s="1"/>
  <c r="BD548" i="3"/>
  <c r="BO548" i="3" s="1"/>
  <c r="BF548" i="3"/>
  <c r="BG548" i="3"/>
  <c r="BM548" i="3"/>
  <c r="BQ548" i="3"/>
  <c r="BT548" i="3"/>
  <c r="BU548" i="3"/>
  <c r="BW548" i="3"/>
  <c r="CA548" i="3"/>
  <c r="CB548" i="3"/>
  <c r="L549" i="3"/>
  <c r="O549" i="3" s="1"/>
  <c r="W549" i="3"/>
  <c r="AA549" i="3"/>
  <c r="AL549" i="3" s="1"/>
  <c r="AE549" i="3"/>
  <c r="AF549" i="3" s="1"/>
  <c r="AM549" i="3"/>
  <c r="AN549" i="3"/>
  <c r="AO549" i="3"/>
  <c r="AP549" i="3"/>
  <c r="AQ549" i="3"/>
  <c r="AS549" i="3" s="1"/>
  <c r="AT549" i="3" s="1"/>
  <c r="AW549" i="3"/>
  <c r="AY549" i="3" s="1"/>
  <c r="BD549" i="3"/>
  <c r="BO549" i="3" s="1"/>
  <c r="BF549" i="3"/>
  <c r="BG549" i="3"/>
  <c r="BM549" i="3"/>
  <c r="BQ549" i="3"/>
  <c r="BT549" i="3"/>
  <c r="BU549" i="3"/>
  <c r="BW549" i="3"/>
  <c r="CA549" i="3"/>
  <c r="CB549" i="3"/>
  <c r="L550" i="3"/>
  <c r="O550" i="3" s="1"/>
  <c r="W550" i="3"/>
  <c r="AA550" i="3"/>
  <c r="AL550" i="3" s="1"/>
  <c r="AE550" i="3"/>
  <c r="AF550" i="3" s="1"/>
  <c r="AM550" i="3"/>
  <c r="AN550" i="3"/>
  <c r="AO550" i="3"/>
  <c r="AP550" i="3"/>
  <c r="AQ550" i="3"/>
  <c r="AS550" i="3" s="1"/>
  <c r="AT550" i="3" s="1"/>
  <c r="AW550" i="3"/>
  <c r="AY550" i="3" s="1"/>
  <c r="BD550" i="3"/>
  <c r="BO550" i="3" s="1"/>
  <c r="BF550" i="3"/>
  <c r="BG550" i="3"/>
  <c r="BM550" i="3"/>
  <c r="BQ550" i="3"/>
  <c r="BT550" i="3"/>
  <c r="BU550" i="3"/>
  <c r="BW550" i="3"/>
  <c r="CA550" i="3"/>
  <c r="CB550" i="3"/>
  <c r="L551" i="3"/>
  <c r="O551" i="3" s="1"/>
  <c r="W551" i="3"/>
  <c r="AA551" i="3"/>
  <c r="AL551" i="3" s="1"/>
  <c r="AE551" i="3"/>
  <c r="AM551" i="3"/>
  <c r="AN551" i="3"/>
  <c r="AO551" i="3"/>
  <c r="AP551" i="3"/>
  <c r="AQ551" i="3"/>
  <c r="AS551" i="3" s="1"/>
  <c r="AT551" i="3" s="1"/>
  <c r="AW551" i="3"/>
  <c r="AY551" i="3" s="1"/>
  <c r="BD551" i="3"/>
  <c r="BO551" i="3" s="1"/>
  <c r="BF551" i="3"/>
  <c r="BG551" i="3"/>
  <c r="BM551" i="3"/>
  <c r="BQ551" i="3"/>
  <c r="BT551" i="3"/>
  <c r="BU551" i="3"/>
  <c r="BW551" i="3"/>
  <c r="CA551" i="3"/>
  <c r="CB551" i="3"/>
  <c r="L552" i="3"/>
  <c r="O552" i="3" s="1"/>
  <c r="W552" i="3"/>
  <c r="AA552" i="3"/>
  <c r="AL552" i="3" s="1"/>
  <c r="AE552" i="3"/>
  <c r="AF552" i="3" s="1"/>
  <c r="AM552" i="3"/>
  <c r="AN552" i="3"/>
  <c r="AO552" i="3"/>
  <c r="AP552" i="3"/>
  <c r="AQ552" i="3"/>
  <c r="AS552" i="3" s="1"/>
  <c r="AT552" i="3" s="1"/>
  <c r="AW552" i="3"/>
  <c r="AY552" i="3" s="1"/>
  <c r="BD552" i="3"/>
  <c r="BO552" i="3" s="1"/>
  <c r="BF552" i="3"/>
  <c r="BG552" i="3"/>
  <c r="BM552" i="3"/>
  <c r="BQ552" i="3"/>
  <c r="BT552" i="3"/>
  <c r="BU552" i="3"/>
  <c r="BW552" i="3"/>
  <c r="CA552" i="3"/>
  <c r="CB552" i="3"/>
  <c r="L553" i="3"/>
  <c r="O553" i="3" s="1"/>
  <c r="W553" i="3"/>
  <c r="AA553" i="3"/>
  <c r="AL553" i="3" s="1"/>
  <c r="AE553" i="3"/>
  <c r="AF553" i="3" s="1"/>
  <c r="AM553" i="3"/>
  <c r="AN553" i="3"/>
  <c r="AO553" i="3"/>
  <c r="AP553" i="3"/>
  <c r="AQ553" i="3"/>
  <c r="AS553" i="3" s="1"/>
  <c r="AT553" i="3" s="1"/>
  <c r="AW553" i="3"/>
  <c r="AY553" i="3" s="1"/>
  <c r="BD553" i="3"/>
  <c r="BO553" i="3" s="1"/>
  <c r="BF553" i="3"/>
  <c r="BG553" i="3"/>
  <c r="BM553" i="3"/>
  <c r="BQ553" i="3"/>
  <c r="BT553" i="3"/>
  <c r="BU553" i="3"/>
  <c r="BW553" i="3"/>
  <c r="CA553" i="3"/>
  <c r="CB553" i="3"/>
  <c r="L554" i="3"/>
  <c r="O554" i="3" s="1"/>
  <c r="W554" i="3"/>
  <c r="AA554" i="3"/>
  <c r="AL554" i="3" s="1"/>
  <c r="AE554" i="3"/>
  <c r="AF554" i="3" s="1"/>
  <c r="AM554" i="3"/>
  <c r="AN554" i="3"/>
  <c r="AO554" i="3"/>
  <c r="AP554" i="3"/>
  <c r="AQ554" i="3"/>
  <c r="AS554" i="3" s="1"/>
  <c r="AT554" i="3" s="1"/>
  <c r="AW554" i="3"/>
  <c r="AY554" i="3" s="1"/>
  <c r="BD554" i="3"/>
  <c r="BO554" i="3" s="1"/>
  <c r="BF554" i="3"/>
  <c r="BG554" i="3"/>
  <c r="BM554" i="3"/>
  <c r="BQ554" i="3"/>
  <c r="BT554" i="3"/>
  <c r="BU554" i="3"/>
  <c r="BW554" i="3"/>
  <c r="CA554" i="3"/>
  <c r="CB554" i="3"/>
  <c r="L555" i="3"/>
  <c r="O555" i="3" s="1"/>
  <c r="W555" i="3"/>
  <c r="AA555" i="3"/>
  <c r="AL555" i="3" s="1"/>
  <c r="AE555" i="3"/>
  <c r="AF555" i="3" s="1"/>
  <c r="AM555" i="3"/>
  <c r="AN555" i="3"/>
  <c r="AO555" i="3"/>
  <c r="AP555" i="3"/>
  <c r="AQ555" i="3"/>
  <c r="AS555" i="3" s="1"/>
  <c r="AT555" i="3" s="1"/>
  <c r="AW555" i="3"/>
  <c r="AY555" i="3" s="1"/>
  <c r="BD555" i="3"/>
  <c r="BO555" i="3" s="1"/>
  <c r="BF555" i="3"/>
  <c r="BG555" i="3"/>
  <c r="BM555" i="3"/>
  <c r="BQ555" i="3"/>
  <c r="BT555" i="3"/>
  <c r="BU555" i="3"/>
  <c r="BW555" i="3"/>
  <c r="CA555" i="3"/>
  <c r="CB555" i="3"/>
  <c r="L556" i="3"/>
  <c r="O556" i="3" s="1"/>
  <c r="W556" i="3"/>
  <c r="AA556" i="3"/>
  <c r="AL556" i="3" s="1"/>
  <c r="AE556" i="3"/>
  <c r="AM556" i="3"/>
  <c r="AN556" i="3"/>
  <c r="AO556" i="3"/>
  <c r="AP556" i="3"/>
  <c r="AQ556" i="3"/>
  <c r="AS556" i="3" s="1"/>
  <c r="AT556" i="3" s="1"/>
  <c r="AW556" i="3"/>
  <c r="AY556" i="3" s="1"/>
  <c r="BD556" i="3"/>
  <c r="BO556" i="3" s="1"/>
  <c r="BF556" i="3"/>
  <c r="BG556" i="3"/>
  <c r="BM556" i="3"/>
  <c r="BQ556" i="3"/>
  <c r="BT556" i="3"/>
  <c r="BU556" i="3"/>
  <c r="BW556" i="3"/>
  <c r="CA556" i="3"/>
  <c r="CB556" i="3"/>
  <c r="L522" i="3"/>
  <c r="O522" i="3" s="1"/>
  <c r="W522" i="3"/>
  <c r="AA522" i="3"/>
  <c r="AL522" i="3" s="1"/>
  <c r="AE522" i="3"/>
  <c r="AM522" i="3"/>
  <c r="AN522" i="3"/>
  <c r="AO522" i="3"/>
  <c r="AP522" i="3"/>
  <c r="AQ522" i="3"/>
  <c r="AS522" i="3" s="1"/>
  <c r="AT522" i="3" s="1"/>
  <c r="AW522" i="3"/>
  <c r="AY522" i="3" s="1"/>
  <c r="BD522" i="3"/>
  <c r="BO522" i="3" s="1"/>
  <c r="BF522" i="3"/>
  <c r="BG522" i="3"/>
  <c r="BM522" i="3"/>
  <c r="BQ522" i="3"/>
  <c r="BT522" i="3"/>
  <c r="BU522" i="3"/>
  <c r="BW522" i="3"/>
  <c r="CA522" i="3"/>
  <c r="CB522" i="3"/>
  <c r="L523" i="3"/>
  <c r="O523" i="3" s="1"/>
  <c r="W523" i="3"/>
  <c r="AA523" i="3"/>
  <c r="AL523" i="3" s="1"/>
  <c r="AE523" i="3"/>
  <c r="AM523" i="3"/>
  <c r="AN523" i="3"/>
  <c r="AO523" i="3"/>
  <c r="AP523" i="3"/>
  <c r="AQ523" i="3"/>
  <c r="AS523" i="3" s="1"/>
  <c r="AT523" i="3" s="1"/>
  <c r="AW523" i="3"/>
  <c r="AY523" i="3" s="1"/>
  <c r="BD523" i="3"/>
  <c r="BO523" i="3" s="1"/>
  <c r="BF523" i="3"/>
  <c r="BG523" i="3"/>
  <c r="BM523" i="3"/>
  <c r="BQ523" i="3"/>
  <c r="BT523" i="3"/>
  <c r="BU523" i="3"/>
  <c r="BW523" i="3"/>
  <c r="CA523" i="3"/>
  <c r="CB523" i="3"/>
  <c r="L524" i="3"/>
  <c r="O524" i="3" s="1"/>
  <c r="W524" i="3"/>
  <c r="AA524" i="3"/>
  <c r="AL524" i="3" s="1"/>
  <c r="AE524" i="3"/>
  <c r="AH524" i="3" s="1"/>
  <c r="AM524" i="3"/>
  <c r="AN524" i="3"/>
  <c r="AO524" i="3"/>
  <c r="AP524" i="3"/>
  <c r="AQ524" i="3"/>
  <c r="AW524" i="3"/>
  <c r="AY524" i="3" s="1"/>
  <c r="BD524" i="3"/>
  <c r="BO524" i="3" s="1"/>
  <c r="BF524" i="3"/>
  <c r="BG524" i="3"/>
  <c r="BM524" i="3"/>
  <c r="BQ524" i="3"/>
  <c r="BT524" i="3"/>
  <c r="BU524" i="3"/>
  <c r="BW524" i="3"/>
  <c r="CA524" i="3"/>
  <c r="CB524" i="3"/>
  <c r="L525" i="3"/>
  <c r="O525" i="3" s="1"/>
  <c r="W525" i="3"/>
  <c r="AA525" i="3"/>
  <c r="AL525" i="3" s="1"/>
  <c r="AE525" i="3"/>
  <c r="AF525" i="3" s="1"/>
  <c r="AM525" i="3"/>
  <c r="AN525" i="3"/>
  <c r="AO525" i="3"/>
  <c r="AP525" i="3"/>
  <c r="AQ525" i="3"/>
  <c r="AS525" i="3" s="1"/>
  <c r="AT525" i="3" s="1"/>
  <c r="AW525" i="3"/>
  <c r="AY525" i="3" s="1"/>
  <c r="BD525" i="3"/>
  <c r="BO525" i="3" s="1"/>
  <c r="BF525" i="3"/>
  <c r="BG525" i="3"/>
  <c r="BM525" i="3"/>
  <c r="BQ525" i="3"/>
  <c r="BT525" i="3"/>
  <c r="BU525" i="3"/>
  <c r="BW525" i="3"/>
  <c r="CA525" i="3"/>
  <c r="CB525" i="3"/>
  <c r="L526" i="3"/>
  <c r="O526" i="3" s="1"/>
  <c r="W526" i="3"/>
  <c r="AA526" i="3"/>
  <c r="AL526" i="3" s="1"/>
  <c r="AE526" i="3"/>
  <c r="AF526" i="3" s="1"/>
  <c r="AM526" i="3"/>
  <c r="AN526" i="3"/>
  <c r="AO526" i="3"/>
  <c r="AP526" i="3"/>
  <c r="AQ526" i="3"/>
  <c r="AS526" i="3" s="1"/>
  <c r="AT526" i="3" s="1"/>
  <c r="AW526" i="3"/>
  <c r="AY526" i="3" s="1"/>
  <c r="BD526" i="3"/>
  <c r="BO526" i="3" s="1"/>
  <c r="BF526" i="3"/>
  <c r="BG526" i="3"/>
  <c r="BM526" i="3"/>
  <c r="BQ526" i="3"/>
  <c r="BT526" i="3"/>
  <c r="BU526" i="3"/>
  <c r="BW526" i="3"/>
  <c r="CA526" i="3"/>
  <c r="CB526" i="3"/>
  <c r="L527" i="3"/>
  <c r="O527" i="3" s="1"/>
  <c r="W527" i="3"/>
  <c r="AA527" i="3"/>
  <c r="AL527" i="3" s="1"/>
  <c r="AE527" i="3"/>
  <c r="AF527" i="3" s="1"/>
  <c r="AM527" i="3"/>
  <c r="AN527" i="3"/>
  <c r="AO527" i="3"/>
  <c r="AP527" i="3"/>
  <c r="AQ527" i="3"/>
  <c r="AS527" i="3" s="1"/>
  <c r="AT527" i="3" s="1"/>
  <c r="AW527" i="3"/>
  <c r="AY527" i="3" s="1"/>
  <c r="BD527" i="3"/>
  <c r="BO527" i="3" s="1"/>
  <c r="BF527" i="3"/>
  <c r="BG527" i="3"/>
  <c r="BM527" i="3"/>
  <c r="BQ527" i="3"/>
  <c r="BT527" i="3"/>
  <c r="BU527" i="3"/>
  <c r="BW527" i="3"/>
  <c r="CA527" i="3"/>
  <c r="CB527" i="3"/>
  <c r="L528" i="3"/>
  <c r="O528" i="3" s="1"/>
  <c r="W528" i="3"/>
  <c r="AA528" i="3"/>
  <c r="AL528" i="3" s="1"/>
  <c r="AE528" i="3"/>
  <c r="AF528" i="3" s="1"/>
  <c r="AM528" i="3"/>
  <c r="AN528" i="3"/>
  <c r="AO528" i="3"/>
  <c r="AP528" i="3"/>
  <c r="AQ528" i="3"/>
  <c r="AW528" i="3"/>
  <c r="AY528" i="3" s="1"/>
  <c r="BD528" i="3"/>
  <c r="BO528" i="3" s="1"/>
  <c r="BF528" i="3"/>
  <c r="BG528" i="3"/>
  <c r="BM528" i="3"/>
  <c r="BQ528" i="3"/>
  <c r="BT528" i="3"/>
  <c r="BU528" i="3"/>
  <c r="BW528" i="3"/>
  <c r="CA528" i="3"/>
  <c r="CB528" i="3"/>
  <c r="L529" i="3"/>
  <c r="O529" i="3" s="1"/>
  <c r="W529" i="3"/>
  <c r="AA529" i="3"/>
  <c r="AL529" i="3" s="1"/>
  <c r="AE529" i="3"/>
  <c r="AF529" i="3" s="1"/>
  <c r="AM529" i="3"/>
  <c r="AN529" i="3"/>
  <c r="AO529" i="3"/>
  <c r="AP529" i="3"/>
  <c r="AQ529" i="3"/>
  <c r="AS529" i="3" s="1"/>
  <c r="AT529" i="3" s="1"/>
  <c r="AW529" i="3"/>
  <c r="AY529" i="3" s="1"/>
  <c r="BD529" i="3"/>
  <c r="BO529" i="3" s="1"/>
  <c r="BF529" i="3"/>
  <c r="BG529" i="3"/>
  <c r="BM529" i="3"/>
  <c r="BQ529" i="3"/>
  <c r="BT529" i="3"/>
  <c r="BU529" i="3"/>
  <c r="BW529" i="3"/>
  <c r="CA529" i="3"/>
  <c r="CB529" i="3"/>
  <c r="L530" i="3"/>
  <c r="O530" i="3" s="1"/>
  <c r="W530" i="3"/>
  <c r="AA530" i="3"/>
  <c r="AL530" i="3" s="1"/>
  <c r="AE530" i="3"/>
  <c r="AF530" i="3" s="1"/>
  <c r="AM530" i="3"/>
  <c r="AN530" i="3"/>
  <c r="AO530" i="3"/>
  <c r="AP530" i="3"/>
  <c r="AQ530" i="3"/>
  <c r="AS530" i="3" s="1"/>
  <c r="AT530" i="3" s="1"/>
  <c r="AW530" i="3"/>
  <c r="AY530" i="3" s="1"/>
  <c r="BD530" i="3"/>
  <c r="BO530" i="3" s="1"/>
  <c r="BF530" i="3"/>
  <c r="BG530" i="3"/>
  <c r="BM530" i="3"/>
  <c r="BQ530" i="3"/>
  <c r="BT530" i="3"/>
  <c r="BU530" i="3"/>
  <c r="BW530" i="3"/>
  <c r="CA530" i="3"/>
  <c r="CB530" i="3"/>
  <c r="L531" i="3"/>
  <c r="O531" i="3" s="1"/>
  <c r="W531" i="3"/>
  <c r="AA531" i="3"/>
  <c r="AL531" i="3" s="1"/>
  <c r="AE531" i="3"/>
  <c r="AF531" i="3" s="1"/>
  <c r="AM531" i="3"/>
  <c r="AN531" i="3"/>
  <c r="AO531" i="3"/>
  <c r="AP531" i="3"/>
  <c r="AQ531" i="3"/>
  <c r="AW531" i="3"/>
  <c r="AY531" i="3" s="1"/>
  <c r="BD531" i="3"/>
  <c r="BO531" i="3" s="1"/>
  <c r="BF531" i="3"/>
  <c r="BG531" i="3"/>
  <c r="BM531" i="3"/>
  <c r="BQ531" i="3"/>
  <c r="BT531" i="3"/>
  <c r="BU531" i="3"/>
  <c r="BW531" i="3"/>
  <c r="CA531" i="3"/>
  <c r="CB531" i="3"/>
  <c r="L532" i="3"/>
  <c r="O532" i="3" s="1"/>
  <c r="W532" i="3"/>
  <c r="AA532" i="3"/>
  <c r="AL532" i="3" s="1"/>
  <c r="AE532" i="3"/>
  <c r="AM532" i="3"/>
  <c r="AN532" i="3"/>
  <c r="AO532" i="3"/>
  <c r="AP532" i="3"/>
  <c r="AQ532" i="3"/>
  <c r="AS532" i="3" s="1"/>
  <c r="AT532" i="3" s="1"/>
  <c r="AW532" i="3"/>
  <c r="AY532" i="3" s="1"/>
  <c r="BD532" i="3"/>
  <c r="BO532" i="3" s="1"/>
  <c r="BF532" i="3"/>
  <c r="BG532" i="3"/>
  <c r="BM532" i="3"/>
  <c r="BQ532" i="3"/>
  <c r="BT532" i="3"/>
  <c r="BU532" i="3"/>
  <c r="BW532" i="3"/>
  <c r="CA532" i="3"/>
  <c r="CB532" i="3"/>
  <c r="L533" i="3"/>
  <c r="O533" i="3" s="1"/>
  <c r="W533" i="3"/>
  <c r="AA533" i="3"/>
  <c r="AL533" i="3" s="1"/>
  <c r="AE533" i="3"/>
  <c r="AH533" i="3" s="1"/>
  <c r="AM533" i="3"/>
  <c r="AN533" i="3"/>
  <c r="AO533" i="3"/>
  <c r="AP533" i="3"/>
  <c r="AQ533" i="3"/>
  <c r="AS533" i="3" s="1"/>
  <c r="AT533" i="3" s="1"/>
  <c r="AW533" i="3"/>
  <c r="AY533" i="3" s="1"/>
  <c r="BD533" i="3"/>
  <c r="BO533" i="3" s="1"/>
  <c r="BF533" i="3"/>
  <c r="BG533" i="3"/>
  <c r="BM533" i="3"/>
  <c r="BQ533" i="3"/>
  <c r="BT533" i="3"/>
  <c r="BU533" i="3"/>
  <c r="BW533" i="3"/>
  <c r="CA533" i="3"/>
  <c r="CB533" i="3"/>
  <c r="L534" i="3"/>
  <c r="O534" i="3" s="1"/>
  <c r="W534" i="3"/>
  <c r="AA534" i="3"/>
  <c r="AL534" i="3" s="1"/>
  <c r="AE534" i="3"/>
  <c r="AF534" i="3" s="1"/>
  <c r="AM534" i="3"/>
  <c r="AN534" i="3"/>
  <c r="AO534" i="3"/>
  <c r="AP534" i="3"/>
  <c r="AQ534" i="3"/>
  <c r="AS534" i="3" s="1"/>
  <c r="AT534" i="3" s="1"/>
  <c r="AW534" i="3"/>
  <c r="AY534" i="3" s="1"/>
  <c r="BD534" i="3"/>
  <c r="BO534" i="3" s="1"/>
  <c r="BF534" i="3"/>
  <c r="BG534" i="3"/>
  <c r="BM534" i="3"/>
  <c r="BQ534" i="3"/>
  <c r="BT534" i="3"/>
  <c r="BU534" i="3"/>
  <c r="BW534" i="3"/>
  <c r="CA534" i="3"/>
  <c r="CB534" i="3"/>
  <c r="L535" i="3"/>
  <c r="O535" i="3" s="1"/>
  <c r="W535" i="3"/>
  <c r="AA535" i="3"/>
  <c r="AL535" i="3" s="1"/>
  <c r="AE535" i="3"/>
  <c r="AF535" i="3" s="1"/>
  <c r="AM535" i="3"/>
  <c r="AN535" i="3"/>
  <c r="AO535" i="3"/>
  <c r="AP535" i="3"/>
  <c r="AQ535" i="3"/>
  <c r="AS535" i="3" s="1"/>
  <c r="AT535" i="3" s="1"/>
  <c r="AW535" i="3"/>
  <c r="AY535" i="3" s="1"/>
  <c r="BD535" i="3"/>
  <c r="BO535" i="3" s="1"/>
  <c r="BF535" i="3"/>
  <c r="BG535" i="3"/>
  <c r="BM535" i="3"/>
  <c r="BQ535" i="3"/>
  <c r="BT535" i="3"/>
  <c r="BU535" i="3"/>
  <c r="BW535" i="3"/>
  <c r="CA535" i="3"/>
  <c r="CB535" i="3"/>
  <c r="L536" i="3"/>
  <c r="O536" i="3" s="1"/>
  <c r="W536" i="3"/>
  <c r="AA536" i="3"/>
  <c r="AL536" i="3" s="1"/>
  <c r="AE536" i="3"/>
  <c r="AH536" i="3" s="1"/>
  <c r="AM536" i="3"/>
  <c r="AN536" i="3"/>
  <c r="AO536" i="3"/>
  <c r="AP536" i="3"/>
  <c r="AQ536" i="3"/>
  <c r="AS536" i="3" s="1"/>
  <c r="AT536" i="3" s="1"/>
  <c r="AW536" i="3"/>
  <c r="AY536" i="3" s="1"/>
  <c r="BD536" i="3"/>
  <c r="BO536" i="3" s="1"/>
  <c r="BF536" i="3"/>
  <c r="BG536" i="3"/>
  <c r="BM536" i="3"/>
  <c r="BQ536" i="3"/>
  <c r="BT536" i="3"/>
  <c r="BU536" i="3"/>
  <c r="BW536" i="3"/>
  <c r="CA536" i="3"/>
  <c r="CB536" i="3"/>
  <c r="L537" i="3"/>
  <c r="O537" i="3" s="1"/>
  <c r="W537" i="3"/>
  <c r="AA537" i="3"/>
  <c r="AL537" i="3" s="1"/>
  <c r="AE537" i="3"/>
  <c r="AF537" i="3" s="1"/>
  <c r="AM537" i="3"/>
  <c r="AN537" i="3"/>
  <c r="AO537" i="3"/>
  <c r="AP537" i="3"/>
  <c r="AQ537" i="3"/>
  <c r="AS537" i="3" s="1"/>
  <c r="AT537" i="3" s="1"/>
  <c r="AW537" i="3"/>
  <c r="AY537" i="3" s="1"/>
  <c r="BD537" i="3"/>
  <c r="BO537" i="3" s="1"/>
  <c r="BF537" i="3"/>
  <c r="BG537" i="3"/>
  <c r="BM537" i="3"/>
  <c r="BQ537" i="3"/>
  <c r="BT537" i="3"/>
  <c r="BU537" i="3"/>
  <c r="BW537" i="3"/>
  <c r="CA537" i="3"/>
  <c r="CB537" i="3"/>
  <c r="L538" i="3"/>
  <c r="O538" i="3" s="1"/>
  <c r="W538" i="3"/>
  <c r="AA538" i="3"/>
  <c r="AL538" i="3" s="1"/>
  <c r="AE538" i="3"/>
  <c r="AF538" i="3" s="1"/>
  <c r="AM538" i="3"/>
  <c r="AN538" i="3"/>
  <c r="AO538" i="3"/>
  <c r="AP538" i="3"/>
  <c r="AQ538" i="3"/>
  <c r="AS538" i="3" s="1"/>
  <c r="AT538" i="3" s="1"/>
  <c r="AW538" i="3"/>
  <c r="AY538" i="3" s="1"/>
  <c r="BD538" i="3"/>
  <c r="BO538" i="3" s="1"/>
  <c r="BF538" i="3"/>
  <c r="BG538" i="3"/>
  <c r="BM538" i="3"/>
  <c r="BQ538" i="3"/>
  <c r="BT538" i="3"/>
  <c r="BU538" i="3"/>
  <c r="BW538" i="3"/>
  <c r="CA538" i="3"/>
  <c r="CB538" i="3"/>
  <c r="L504" i="3"/>
  <c r="O504" i="3" s="1"/>
  <c r="W504" i="3"/>
  <c r="AA504" i="3"/>
  <c r="AL504" i="3" s="1"/>
  <c r="AE504" i="3"/>
  <c r="AF504" i="3" s="1"/>
  <c r="AM504" i="3"/>
  <c r="AN504" i="3"/>
  <c r="AO504" i="3"/>
  <c r="AP504" i="3"/>
  <c r="AQ504" i="3"/>
  <c r="AS504" i="3" s="1"/>
  <c r="AT504" i="3" s="1"/>
  <c r="AW504" i="3"/>
  <c r="AY504" i="3" s="1"/>
  <c r="BD504" i="3"/>
  <c r="BO504" i="3" s="1"/>
  <c r="BF504" i="3"/>
  <c r="BG504" i="3"/>
  <c r="BM504" i="3"/>
  <c r="BQ504" i="3"/>
  <c r="BT504" i="3"/>
  <c r="BU504" i="3"/>
  <c r="BW504" i="3"/>
  <c r="CA504" i="3"/>
  <c r="CB504" i="3"/>
  <c r="L505" i="3"/>
  <c r="O505" i="3" s="1"/>
  <c r="W505" i="3"/>
  <c r="AA505" i="3"/>
  <c r="AL505" i="3" s="1"/>
  <c r="AE505" i="3"/>
  <c r="AF505" i="3" s="1"/>
  <c r="AM505" i="3"/>
  <c r="AN505" i="3"/>
  <c r="AO505" i="3"/>
  <c r="AP505" i="3"/>
  <c r="AQ505" i="3"/>
  <c r="AS505" i="3" s="1"/>
  <c r="AT505" i="3" s="1"/>
  <c r="AW505" i="3"/>
  <c r="AY505" i="3" s="1"/>
  <c r="BD505" i="3"/>
  <c r="BO505" i="3" s="1"/>
  <c r="BF505" i="3"/>
  <c r="BG505" i="3"/>
  <c r="BM505" i="3"/>
  <c r="BQ505" i="3"/>
  <c r="BT505" i="3"/>
  <c r="BU505" i="3"/>
  <c r="BW505" i="3"/>
  <c r="CA505" i="3"/>
  <c r="CB505" i="3"/>
  <c r="L506" i="3"/>
  <c r="O506" i="3" s="1"/>
  <c r="W506" i="3"/>
  <c r="AA506" i="3"/>
  <c r="AL506" i="3" s="1"/>
  <c r="AE506" i="3"/>
  <c r="AH506" i="3" s="1"/>
  <c r="AM506" i="3"/>
  <c r="AN506" i="3"/>
  <c r="AO506" i="3"/>
  <c r="AP506" i="3"/>
  <c r="AQ506" i="3"/>
  <c r="AS506" i="3" s="1"/>
  <c r="AT506" i="3" s="1"/>
  <c r="AW506" i="3"/>
  <c r="AY506" i="3" s="1"/>
  <c r="BD506" i="3"/>
  <c r="BO506" i="3" s="1"/>
  <c r="BF506" i="3"/>
  <c r="BG506" i="3"/>
  <c r="BM506" i="3"/>
  <c r="BQ506" i="3"/>
  <c r="BT506" i="3"/>
  <c r="BU506" i="3"/>
  <c r="BW506" i="3"/>
  <c r="CA506" i="3"/>
  <c r="CB506" i="3"/>
  <c r="L507" i="3"/>
  <c r="O507" i="3" s="1"/>
  <c r="W507" i="3"/>
  <c r="AA507" i="3"/>
  <c r="AL507" i="3" s="1"/>
  <c r="AE507" i="3"/>
  <c r="AF507" i="3" s="1"/>
  <c r="AM507" i="3"/>
  <c r="AN507" i="3"/>
  <c r="AO507" i="3"/>
  <c r="AP507" i="3"/>
  <c r="AQ507" i="3"/>
  <c r="AS507" i="3" s="1"/>
  <c r="AT507" i="3" s="1"/>
  <c r="AU507" i="3" s="1"/>
  <c r="AW507" i="3"/>
  <c r="AY507" i="3" s="1"/>
  <c r="BD507" i="3"/>
  <c r="BO507" i="3" s="1"/>
  <c r="BF507" i="3"/>
  <c r="BG507" i="3"/>
  <c r="BM507" i="3"/>
  <c r="BQ507" i="3"/>
  <c r="BT507" i="3"/>
  <c r="BU507" i="3"/>
  <c r="BW507" i="3"/>
  <c r="CA507" i="3"/>
  <c r="CB507" i="3"/>
  <c r="L508" i="3"/>
  <c r="O508" i="3" s="1"/>
  <c r="W508" i="3"/>
  <c r="AA508" i="3"/>
  <c r="AL508" i="3" s="1"/>
  <c r="AE508" i="3"/>
  <c r="AF508" i="3" s="1"/>
  <c r="AM508" i="3"/>
  <c r="AN508" i="3"/>
  <c r="AO508" i="3"/>
  <c r="AP508" i="3"/>
  <c r="AQ508" i="3"/>
  <c r="AS508" i="3" s="1"/>
  <c r="AT508" i="3" s="1"/>
  <c r="AW508" i="3"/>
  <c r="AY508" i="3" s="1"/>
  <c r="BD508" i="3"/>
  <c r="BO508" i="3" s="1"/>
  <c r="BF508" i="3"/>
  <c r="BG508" i="3"/>
  <c r="BM508" i="3"/>
  <c r="BQ508" i="3"/>
  <c r="BT508" i="3"/>
  <c r="BU508" i="3"/>
  <c r="BW508" i="3"/>
  <c r="CA508" i="3"/>
  <c r="CB508" i="3"/>
  <c r="L509" i="3"/>
  <c r="O509" i="3" s="1"/>
  <c r="W509" i="3"/>
  <c r="AA509" i="3"/>
  <c r="AL509" i="3" s="1"/>
  <c r="AE509" i="3"/>
  <c r="AF509" i="3" s="1"/>
  <c r="AM509" i="3"/>
  <c r="AN509" i="3"/>
  <c r="AO509" i="3"/>
  <c r="AP509" i="3"/>
  <c r="AQ509" i="3"/>
  <c r="AS509" i="3" s="1"/>
  <c r="AT509" i="3" s="1"/>
  <c r="AW509" i="3"/>
  <c r="AY509" i="3" s="1"/>
  <c r="BD509" i="3"/>
  <c r="BO509" i="3" s="1"/>
  <c r="BF509" i="3"/>
  <c r="BG509" i="3"/>
  <c r="BM509" i="3"/>
  <c r="BQ509" i="3"/>
  <c r="BT509" i="3"/>
  <c r="BU509" i="3"/>
  <c r="BW509" i="3"/>
  <c r="CA509" i="3"/>
  <c r="CB509" i="3"/>
  <c r="L510" i="3"/>
  <c r="O510" i="3" s="1"/>
  <c r="W510" i="3"/>
  <c r="AA510" i="3"/>
  <c r="AL510" i="3" s="1"/>
  <c r="AE510" i="3"/>
  <c r="AF510" i="3" s="1"/>
  <c r="AM510" i="3"/>
  <c r="AN510" i="3"/>
  <c r="AO510" i="3"/>
  <c r="AP510" i="3"/>
  <c r="AQ510" i="3"/>
  <c r="AW510" i="3"/>
  <c r="AY510" i="3" s="1"/>
  <c r="BD510" i="3"/>
  <c r="BO510" i="3" s="1"/>
  <c r="BF510" i="3"/>
  <c r="BG510" i="3"/>
  <c r="BM510" i="3"/>
  <c r="BQ510" i="3"/>
  <c r="BT510" i="3"/>
  <c r="BU510" i="3"/>
  <c r="BW510" i="3"/>
  <c r="CA510" i="3"/>
  <c r="CB510" i="3"/>
  <c r="L511" i="3"/>
  <c r="O511" i="3" s="1"/>
  <c r="W511" i="3"/>
  <c r="AA511" i="3"/>
  <c r="AL511" i="3" s="1"/>
  <c r="AE511" i="3"/>
  <c r="AF511" i="3" s="1"/>
  <c r="AM511" i="3"/>
  <c r="AN511" i="3"/>
  <c r="AO511" i="3"/>
  <c r="AP511" i="3"/>
  <c r="AQ511" i="3"/>
  <c r="AS511" i="3" s="1"/>
  <c r="AT511" i="3" s="1"/>
  <c r="AW511" i="3"/>
  <c r="AY511" i="3" s="1"/>
  <c r="BD511" i="3"/>
  <c r="BO511" i="3" s="1"/>
  <c r="BF511" i="3"/>
  <c r="BG511" i="3"/>
  <c r="BM511" i="3"/>
  <c r="BQ511" i="3"/>
  <c r="BT511" i="3"/>
  <c r="BU511" i="3"/>
  <c r="BW511" i="3"/>
  <c r="CA511" i="3"/>
  <c r="CB511" i="3"/>
  <c r="L512" i="3"/>
  <c r="O512" i="3" s="1"/>
  <c r="W512" i="3"/>
  <c r="AA512" i="3"/>
  <c r="AL512" i="3" s="1"/>
  <c r="AE512" i="3"/>
  <c r="AF512" i="3" s="1"/>
  <c r="AM512" i="3"/>
  <c r="AN512" i="3"/>
  <c r="AO512" i="3"/>
  <c r="AP512" i="3"/>
  <c r="AQ512" i="3"/>
  <c r="AS512" i="3" s="1"/>
  <c r="AT512" i="3" s="1"/>
  <c r="AW512" i="3"/>
  <c r="AY512" i="3" s="1"/>
  <c r="BD512" i="3"/>
  <c r="BO512" i="3" s="1"/>
  <c r="BF512" i="3"/>
  <c r="BG512" i="3"/>
  <c r="BM512" i="3"/>
  <c r="BQ512" i="3"/>
  <c r="BT512" i="3"/>
  <c r="BU512" i="3"/>
  <c r="BW512" i="3"/>
  <c r="CA512" i="3"/>
  <c r="CB512" i="3"/>
  <c r="L513" i="3"/>
  <c r="O513" i="3" s="1"/>
  <c r="W513" i="3"/>
  <c r="AA513" i="3"/>
  <c r="AL513" i="3" s="1"/>
  <c r="AE513" i="3"/>
  <c r="AF513" i="3" s="1"/>
  <c r="AM513" i="3"/>
  <c r="AN513" i="3"/>
  <c r="AO513" i="3"/>
  <c r="AP513" i="3"/>
  <c r="AQ513" i="3"/>
  <c r="AS513" i="3" s="1"/>
  <c r="AT513" i="3" s="1"/>
  <c r="AW513" i="3"/>
  <c r="AY513" i="3" s="1"/>
  <c r="BD513" i="3"/>
  <c r="BO513" i="3" s="1"/>
  <c r="BF513" i="3"/>
  <c r="BG513" i="3"/>
  <c r="BM513" i="3"/>
  <c r="BQ513" i="3"/>
  <c r="BT513" i="3"/>
  <c r="BU513" i="3"/>
  <c r="BW513" i="3"/>
  <c r="CA513" i="3"/>
  <c r="CB513" i="3"/>
  <c r="L514" i="3"/>
  <c r="O514" i="3" s="1"/>
  <c r="W514" i="3"/>
  <c r="AA514" i="3"/>
  <c r="AL514" i="3" s="1"/>
  <c r="AE514" i="3"/>
  <c r="AM514" i="3"/>
  <c r="AN514" i="3"/>
  <c r="AO514" i="3"/>
  <c r="AP514" i="3"/>
  <c r="AQ514" i="3"/>
  <c r="AS514" i="3" s="1"/>
  <c r="AT514" i="3" s="1"/>
  <c r="AW514" i="3"/>
  <c r="AY514" i="3" s="1"/>
  <c r="BD514" i="3"/>
  <c r="BO514" i="3" s="1"/>
  <c r="BF514" i="3"/>
  <c r="BG514" i="3"/>
  <c r="BM514" i="3"/>
  <c r="BQ514" i="3"/>
  <c r="BT514" i="3"/>
  <c r="BU514" i="3"/>
  <c r="BW514" i="3"/>
  <c r="CA514" i="3"/>
  <c r="CB514" i="3"/>
  <c r="L515" i="3"/>
  <c r="O515" i="3" s="1"/>
  <c r="W515" i="3"/>
  <c r="AA515" i="3"/>
  <c r="AL515" i="3" s="1"/>
  <c r="AE515" i="3"/>
  <c r="AM515" i="3"/>
  <c r="AN515" i="3"/>
  <c r="AO515" i="3"/>
  <c r="AP515" i="3"/>
  <c r="AQ515" i="3"/>
  <c r="AS515" i="3" s="1"/>
  <c r="AT515" i="3" s="1"/>
  <c r="AW515" i="3"/>
  <c r="AY515" i="3" s="1"/>
  <c r="BD515" i="3"/>
  <c r="BO515" i="3" s="1"/>
  <c r="BF515" i="3"/>
  <c r="BG515" i="3"/>
  <c r="BM515" i="3"/>
  <c r="BQ515" i="3"/>
  <c r="BT515" i="3"/>
  <c r="BU515" i="3"/>
  <c r="BW515" i="3"/>
  <c r="CA515" i="3"/>
  <c r="CB515" i="3"/>
  <c r="L516" i="3"/>
  <c r="O516" i="3" s="1"/>
  <c r="W516" i="3"/>
  <c r="AA516" i="3"/>
  <c r="AL516" i="3" s="1"/>
  <c r="AE516" i="3"/>
  <c r="AM516" i="3"/>
  <c r="AN516" i="3"/>
  <c r="AO516" i="3"/>
  <c r="AP516" i="3"/>
  <c r="AQ516" i="3"/>
  <c r="AS516" i="3" s="1"/>
  <c r="AT516" i="3" s="1"/>
  <c r="AW516" i="3"/>
  <c r="AY516" i="3" s="1"/>
  <c r="BD516" i="3"/>
  <c r="BO516" i="3" s="1"/>
  <c r="BF516" i="3"/>
  <c r="BG516" i="3"/>
  <c r="BM516" i="3"/>
  <c r="BQ516" i="3"/>
  <c r="BT516" i="3"/>
  <c r="BU516" i="3"/>
  <c r="BW516" i="3"/>
  <c r="CA516" i="3"/>
  <c r="CB516" i="3"/>
  <c r="L517" i="3"/>
  <c r="O517" i="3" s="1"/>
  <c r="W517" i="3"/>
  <c r="AA517" i="3"/>
  <c r="AL517" i="3" s="1"/>
  <c r="AE517" i="3"/>
  <c r="AM517" i="3"/>
  <c r="AN517" i="3"/>
  <c r="AO517" i="3"/>
  <c r="AP517" i="3"/>
  <c r="AQ517" i="3"/>
  <c r="AS517" i="3" s="1"/>
  <c r="AT517" i="3" s="1"/>
  <c r="AW517" i="3"/>
  <c r="AY517" i="3" s="1"/>
  <c r="BD517" i="3"/>
  <c r="BO517" i="3" s="1"/>
  <c r="BF517" i="3"/>
  <c r="BG517" i="3"/>
  <c r="BM517" i="3"/>
  <c r="BQ517" i="3"/>
  <c r="BT517" i="3"/>
  <c r="BU517" i="3"/>
  <c r="BW517" i="3"/>
  <c r="CA517" i="3"/>
  <c r="CB517" i="3"/>
  <c r="L518" i="3"/>
  <c r="O518" i="3" s="1"/>
  <c r="W518" i="3"/>
  <c r="AA518" i="3"/>
  <c r="AL518" i="3" s="1"/>
  <c r="AE518" i="3"/>
  <c r="AH518" i="3" s="1"/>
  <c r="AM518" i="3"/>
  <c r="AN518" i="3"/>
  <c r="AO518" i="3"/>
  <c r="AP518" i="3"/>
  <c r="AQ518" i="3"/>
  <c r="AS518" i="3" s="1"/>
  <c r="AT518" i="3" s="1"/>
  <c r="AW518" i="3"/>
  <c r="AY518" i="3" s="1"/>
  <c r="BD518" i="3"/>
  <c r="BO518" i="3" s="1"/>
  <c r="BF518" i="3"/>
  <c r="BG518" i="3"/>
  <c r="BM518" i="3"/>
  <c r="BQ518" i="3"/>
  <c r="BT518" i="3"/>
  <c r="BU518" i="3"/>
  <c r="BW518" i="3"/>
  <c r="CA518" i="3"/>
  <c r="CB518" i="3"/>
  <c r="L519" i="3"/>
  <c r="O519" i="3" s="1"/>
  <c r="W519" i="3"/>
  <c r="AA519" i="3"/>
  <c r="AL519" i="3" s="1"/>
  <c r="AE519" i="3"/>
  <c r="AH519" i="3" s="1"/>
  <c r="AM519" i="3"/>
  <c r="AN519" i="3"/>
  <c r="AO519" i="3"/>
  <c r="AP519" i="3"/>
  <c r="AQ519" i="3"/>
  <c r="AS519" i="3" s="1"/>
  <c r="AT519" i="3" s="1"/>
  <c r="AW519" i="3"/>
  <c r="AY519" i="3" s="1"/>
  <c r="BD519" i="3"/>
  <c r="BO519" i="3" s="1"/>
  <c r="BF519" i="3"/>
  <c r="BG519" i="3"/>
  <c r="BM519" i="3"/>
  <c r="BQ519" i="3"/>
  <c r="BT519" i="3"/>
  <c r="BU519" i="3"/>
  <c r="BW519" i="3"/>
  <c r="CA519" i="3"/>
  <c r="CB519" i="3"/>
  <c r="L520" i="3"/>
  <c r="O520" i="3" s="1"/>
  <c r="W520" i="3"/>
  <c r="AA520" i="3"/>
  <c r="AL520" i="3" s="1"/>
  <c r="AE520" i="3"/>
  <c r="AM520" i="3"/>
  <c r="AN520" i="3"/>
  <c r="AO520" i="3"/>
  <c r="AP520" i="3"/>
  <c r="AQ520" i="3"/>
  <c r="AS520" i="3" s="1"/>
  <c r="AT520" i="3" s="1"/>
  <c r="AW520" i="3"/>
  <c r="AY520" i="3" s="1"/>
  <c r="BD520" i="3"/>
  <c r="BO520" i="3" s="1"/>
  <c r="BF520" i="3"/>
  <c r="BG520" i="3"/>
  <c r="BM520" i="3"/>
  <c r="BQ520" i="3"/>
  <c r="BT520" i="3"/>
  <c r="BU520" i="3"/>
  <c r="BW520" i="3"/>
  <c r="CA520" i="3"/>
  <c r="CB520" i="3"/>
  <c r="L486" i="3"/>
  <c r="O486" i="3" s="1"/>
  <c r="W486" i="3"/>
  <c r="AA486" i="3"/>
  <c r="AL486" i="3" s="1"/>
  <c r="AE486" i="3"/>
  <c r="AH486" i="3" s="1"/>
  <c r="AM486" i="3"/>
  <c r="AN486" i="3"/>
  <c r="AO486" i="3"/>
  <c r="AP486" i="3"/>
  <c r="AQ486" i="3"/>
  <c r="AS486" i="3" s="1"/>
  <c r="AT486" i="3" s="1"/>
  <c r="AW486" i="3"/>
  <c r="AY486" i="3" s="1"/>
  <c r="BD486" i="3"/>
  <c r="BO486" i="3" s="1"/>
  <c r="BF486" i="3"/>
  <c r="BG486" i="3"/>
  <c r="BM486" i="3"/>
  <c r="BQ486" i="3"/>
  <c r="BT486" i="3"/>
  <c r="BU486" i="3"/>
  <c r="BW486" i="3"/>
  <c r="CA486" i="3"/>
  <c r="CB486" i="3"/>
  <c r="L487" i="3"/>
  <c r="O487" i="3" s="1"/>
  <c r="W487" i="3"/>
  <c r="AA487" i="3"/>
  <c r="AL487" i="3" s="1"/>
  <c r="AE487" i="3"/>
  <c r="AF487" i="3" s="1"/>
  <c r="AM487" i="3"/>
  <c r="AN487" i="3"/>
  <c r="AO487" i="3"/>
  <c r="AP487" i="3"/>
  <c r="AQ487" i="3"/>
  <c r="AS487" i="3" s="1"/>
  <c r="AT487" i="3" s="1"/>
  <c r="AW487" i="3"/>
  <c r="AY487" i="3" s="1"/>
  <c r="BD487" i="3"/>
  <c r="BO487" i="3" s="1"/>
  <c r="BF487" i="3"/>
  <c r="BG487" i="3"/>
  <c r="BM487" i="3"/>
  <c r="BQ487" i="3"/>
  <c r="BT487" i="3"/>
  <c r="BU487" i="3"/>
  <c r="BW487" i="3"/>
  <c r="CA487" i="3"/>
  <c r="CB487" i="3"/>
  <c r="L488" i="3"/>
  <c r="O488" i="3" s="1"/>
  <c r="W488" i="3"/>
  <c r="AA488" i="3"/>
  <c r="AL488" i="3" s="1"/>
  <c r="AE488" i="3"/>
  <c r="AF488" i="3" s="1"/>
  <c r="AM488" i="3"/>
  <c r="AN488" i="3"/>
  <c r="AO488" i="3"/>
  <c r="AP488" i="3"/>
  <c r="AQ488" i="3"/>
  <c r="AS488" i="3" s="1"/>
  <c r="AT488" i="3" s="1"/>
  <c r="AW488" i="3"/>
  <c r="AY488" i="3" s="1"/>
  <c r="BD488" i="3"/>
  <c r="BO488" i="3" s="1"/>
  <c r="BF488" i="3"/>
  <c r="BG488" i="3"/>
  <c r="BM488" i="3"/>
  <c r="BQ488" i="3"/>
  <c r="BT488" i="3"/>
  <c r="BU488" i="3"/>
  <c r="BW488" i="3"/>
  <c r="CA488" i="3"/>
  <c r="CB488" i="3"/>
  <c r="L489" i="3"/>
  <c r="O489" i="3" s="1"/>
  <c r="W489" i="3"/>
  <c r="AA489" i="3"/>
  <c r="AL489" i="3" s="1"/>
  <c r="AE489" i="3"/>
  <c r="AF489" i="3" s="1"/>
  <c r="AM489" i="3"/>
  <c r="AN489" i="3"/>
  <c r="AO489" i="3"/>
  <c r="AP489" i="3"/>
  <c r="AQ489" i="3"/>
  <c r="AS489" i="3" s="1"/>
  <c r="AT489" i="3" s="1"/>
  <c r="AW489" i="3"/>
  <c r="AY489" i="3" s="1"/>
  <c r="BD489" i="3"/>
  <c r="BO489" i="3" s="1"/>
  <c r="BF489" i="3"/>
  <c r="BG489" i="3"/>
  <c r="BM489" i="3"/>
  <c r="BQ489" i="3"/>
  <c r="BT489" i="3"/>
  <c r="BU489" i="3"/>
  <c r="BW489" i="3"/>
  <c r="CA489" i="3"/>
  <c r="CB489" i="3"/>
  <c r="L490" i="3"/>
  <c r="O490" i="3" s="1"/>
  <c r="W490" i="3"/>
  <c r="AA490" i="3"/>
  <c r="AL490" i="3" s="1"/>
  <c r="AE490" i="3"/>
  <c r="AH490" i="3" s="1"/>
  <c r="AM490" i="3"/>
  <c r="AN490" i="3"/>
  <c r="AO490" i="3"/>
  <c r="AP490" i="3"/>
  <c r="AQ490" i="3"/>
  <c r="AS490" i="3" s="1"/>
  <c r="AT490" i="3" s="1"/>
  <c r="AW490" i="3"/>
  <c r="AY490" i="3" s="1"/>
  <c r="BD490" i="3"/>
  <c r="BO490" i="3" s="1"/>
  <c r="BF490" i="3"/>
  <c r="BG490" i="3"/>
  <c r="BM490" i="3"/>
  <c r="BQ490" i="3"/>
  <c r="BT490" i="3"/>
  <c r="BU490" i="3"/>
  <c r="BW490" i="3"/>
  <c r="CA490" i="3"/>
  <c r="CB490" i="3"/>
  <c r="L491" i="3"/>
  <c r="O491" i="3" s="1"/>
  <c r="W491" i="3"/>
  <c r="AA491" i="3"/>
  <c r="AL491" i="3" s="1"/>
  <c r="AE491" i="3"/>
  <c r="AF491" i="3" s="1"/>
  <c r="AM491" i="3"/>
  <c r="AN491" i="3"/>
  <c r="AO491" i="3"/>
  <c r="AP491" i="3"/>
  <c r="AQ491" i="3"/>
  <c r="AS491" i="3" s="1"/>
  <c r="AT491" i="3" s="1"/>
  <c r="AW491" i="3"/>
  <c r="AY491" i="3" s="1"/>
  <c r="BD491" i="3"/>
  <c r="BO491" i="3" s="1"/>
  <c r="BF491" i="3"/>
  <c r="BG491" i="3"/>
  <c r="BM491" i="3"/>
  <c r="BQ491" i="3"/>
  <c r="BT491" i="3"/>
  <c r="BU491" i="3"/>
  <c r="BW491" i="3"/>
  <c r="CA491" i="3"/>
  <c r="CB491" i="3"/>
  <c r="L492" i="3"/>
  <c r="O492" i="3" s="1"/>
  <c r="W492" i="3"/>
  <c r="AA492" i="3"/>
  <c r="AL492" i="3" s="1"/>
  <c r="AE492" i="3"/>
  <c r="AF492" i="3" s="1"/>
  <c r="AM492" i="3"/>
  <c r="AN492" i="3"/>
  <c r="AO492" i="3"/>
  <c r="AP492" i="3"/>
  <c r="AQ492" i="3"/>
  <c r="AW492" i="3"/>
  <c r="AY492" i="3" s="1"/>
  <c r="BD492" i="3"/>
  <c r="BO492" i="3" s="1"/>
  <c r="BF492" i="3"/>
  <c r="BG492" i="3"/>
  <c r="BM492" i="3"/>
  <c r="BQ492" i="3"/>
  <c r="BT492" i="3"/>
  <c r="BU492" i="3"/>
  <c r="BW492" i="3"/>
  <c r="CA492" i="3"/>
  <c r="CB492" i="3"/>
  <c r="L493" i="3"/>
  <c r="O493" i="3" s="1"/>
  <c r="W493" i="3"/>
  <c r="AA493" i="3"/>
  <c r="AL493" i="3" s="1"/>
  <c r="AE493" i="3"/>
  <c r="AF493" i="3" s="1"/>
  <c r="AM493" i="3"/>
  <c r="AN493" i="3"/>
  <c r="AO493" i="3"/>
  <c r="AP493" i="3"/>
  <c r="AQ493" i="3"/>
  <c r="AS493" i="3" s="1"/>
  <c r="AT493" i="3" s="1"/>
  <c r="AW493" i="3"/>
  <c r="AY493" i="3" s="1"/>
  <c r="BD493" i="3"/>
  <c r="BO493" i="3" s="1"/>
  <c r="BF493" i="3"/>
  <c r="BG493" i="3"/>
  <c r="BM493" i="3"/>
  <c r="BQ493" i="3"/>
  <c r="BT493" i="3"/>
  <c r="BU493" i="3"/>
  <c r="BW493" i="3"/>
  <c r="CA493" i="3"/>
  <c r="CB493" i="3"/>
  <c r="L494" i="3"/>
  <c r="O494" i="3" s="1"/>
  <c r="W494" i="3"/>
  <c r="AA494" i="3"/>
  <c r="AL494" i="3" s="1"/>
  <c r="AE494" i="3"/>
  <c r="AH494" i="3" s="1"/>
  <c r="AM494" i="3"/>
  <c r="AN494" i="3"/>
  <c r="AO494" i="3"/>
  <c r="AP494" i="3"/>
  <c r="AQ494" i="3"/>
  <c r="AS494" i="3" s="1"/>
  <c r="AT494" i="3" s="1"/>
  <c r="AW494" i="3"/>
  <c r="AY494" i="3" s="1"/>
  <c r="BD494" i="3"/>
  <c r="BO494" i="3" s="1"/>
  <c r="BF494" i="3"/>
  <c r="BG494" i="3"/>
  <c r="BM494" i="3"/>
  <c r="BQ494" i="3"/>
  <c r="BT494" i="3"/>
  <c r="BU494" i="3"/>
  <c r="BW494" i="3"/>
  <c r="CA494" i="3"/>
  <c r="CB494" i="3"/>
  <c r="L495" i="3"/>
  <c r="O495" i="3" s="1"/>
  <c r="W495" i="3"/>
  <c r="AA495" i="3"/>
  <c r="AL495" i="3" s="1"/>
  <c r="AE495" i="3"/>
  <c r="AH495" i="3" s="1"/>
  <c r="AM495" i="3"/>
  <c r="AN495" i="3"/>
  <c r="AO495" i="3"/>
  <c r="AP495" i="3"/>
  <c r="AQ495" i="3"/>
  <c r="AS495" i="3" s="1"/>
  <c r="AT495" i="3" s="1"/>
  <c r="AW495" i="3"/>
  <c r="AY495" i="3" s="1"/>
  <c r="BD495" i="3"/>
  <c r="BO495" i="3" s="1"/>
  <c r="BF495" i="3"/>
  <c r="BG495" i="3"/>
  <c r="BM495" i="3"/>
  <c r="BQ495" i="3"/>
  <c r="BT495" i="3"/>
  <c r="BU495" i="3"/>
  <c r="BW495" i="3"/>
  <c r="CA495" i="3"/>
  <c r="CB495" i="3"/>
  <c r="L496" i="3"/>
  <c r="O496" i="3" s="1"/>
  <c r="W496" i="3"/>
  <c r="AA496" i="3"/>
  <c r="AL496" i="3" s="1"/>
  <c r="AE496" i="3"/>
  <c r="AF496" i="3" s="1"/>
  <c r="AM496" i="3"/>
  <c r="AN496" i="3"/>
  <c r="AO496" i="3"/>
  <c r="AP496" i="3"/>
  <c r="AQ496" i="3"/>
  <c r="AS496" i="3" s="1"/>
  <c r="AT496" i="3" s="1"/>
  <c r="AW496" i="3"/>
  <c r="AY496" i="3" s="1"/>
  <c r="BD496" i="3"/>
  <c r="BO496" i="3" s="1"/>
  <c r="BF496" i="3"/>
  <c r="BG496" i="3"/>
  <c r="BM496" i="3"/>
  <c r="BQ496" i="3"/>
  <c r="BT496" i="3"/>
  <c r="BU496" i="3"/>
  <c r="BW496" i="3"/>
  <c r="CA496" i="3"/>
  <c r="CB496" i="3"/>
  <c r="L497" i="3"/>
  <c r="O497" i="3" s="1"/>
  <c r="W497" i="3"/>
  <c r="AA497" i="3"/>
  <c r="AL497" i="3" s="1"/>
  <c r="AE497" i="3"/>
  <c r="AH497" i="3" s="1"/>
  <c r="AM497" i="3"/>
  <c r="AN497" i="3"/>
  <c r="AO497" i="3"/>
  <c r="AP497" i="3"/>
  <c r="AQ497" i="3"/>
  <c r="AS497" i="3" s="1"/>
  <c r="AT497" i="3" s="1"/>
  <c r="AW497" i="3"/>
  <c r="AY497" i="3" s="1"/>
  <c r="BD497" i="3"/>
  <c r="BO497" i="3" s="1"/>
  <c r="BF497" i="3"/>
  <c r="BG497" i="3"/>
  <c r="BM497" i="3"/>
  <c r="BQ497" i="3"/>
  <c r="BT497" i="3"/>
  <c r="BU497" i="3"/>
  <c r="BW497" i="3"/>
  <c r="CA497" i="3"/>
  <c r="CB497" i="3"/>
  <c r="L498" i="3"/>
  <c r="O498" i="3" s="1"/>
  <c r="W498" i="3"/>
  <c r="AA498" i="3"/>
  <c r="AL498" i="3" s="1"/>
  <c r="AE498" i="3"/>
  <c r="AM498" i="3"/>
  <c r="AN498" i="3"/>
  <c r="AO498" i="3"/>
  <c r="AP498" i="3"/>
  <c r="AQ498" i="3"/>
  <c r="AS498" i="3" s="1"/>
  <c r="AT498" i="3" s="1"/>
  <c r="AW498" i="3"/>
  <c r="AY498" i="3" s="1"/>
  <c r="BD498" i="3"/>
  <c r="BO498" i="3" s="1"/>
  <c r="BF498" i="3"/>
  <c r="BG498" i="3"/>
  <c r="BM498" i="3"/>
  <c r="BQ498" i="3"/>
  <c r="BT498" i="3"/>
  <c r="BU498" i="3"/>
  <c r="BW498" i="3"/>
  <c r="CA498" i="3"/>
  <c r="CB498" i="3"/>
  <c r="L499" i="3"/>
  <c r="O499" i="3" s="1"/>
  <c r="W499" i="3"/>
  <c r="AA499" i="3"/>
  <c r="AL499" i="3" s="1"/>
  <c r="AE499" i="3"/>
  <c r="AM499" i="3"/>
  <c r="AN499" i="3"/>
  <c r="AO499" i="3"/>
  <c r="AP499" i="3"/>
  <c r="AQ499" i="3"/>
  <c r="AS499" i="3" s="1"/>
  <c r="AT499" i="3" s="1"/>
  <c r="AW499" i="3"/>
  <c r="AY499" i="3" s="1"/>
  <c r="BD499" i="3"/>
  <c r="BO499" i="3" s="1"/>
  <c r="BF499" i="3"/>
  <c r="BG499" i="3"/>
  <c r="BM499" i="3"/>
  <c r="BQ499" i="3"/>
  <c r="BT499" i="3"/>
  <c r="BU499" i="3"/>
  <c r="BW499" i="3"/>
  <c r="CA499" i="3"/>
  <c r="CB499" i="3"/>
  <c r="L500" i="3"/>
  <c r="O500" i="3" s="1"/>
  <c r="W500" i="3"/>
  <c r="AA500" i="3"/>
  <c r="AL500" i="3" s="1"/>
  <c r="AE500" i="3"/>
  <c r="AF500" i="3" s="1"/>
  <c r="AM500" i="3"/>
  <c r="AN500" i="3"/>
  <c r="AO500" i="3"/>
  <c r="AP500" i="3"/>
  <c r="AQ500" i="3"/>
  <c r="AS500" i="3" s="1"/>
  <c r="AT500" i="3" s="1"/>
  <c r="AW500" i="3"/>
  <c r="AY500" i="3" s="1"/>
  <c r="BD500" i="3"/>
  <c r="BO500" i="3" s="1"/>
  <c r="BF500" i="3"/>
  <c r="BG500" i="3"/>
  <c r="BM500" i="3"/>
  <c r="BQ500" i="3"/>
  <c r="BT500" i="3"/>
  <c r="BU500" i="3"/>
  <c r="BW500" i="3"/>
  <c r="CA500" i="3"/>
  <c r="CB500" i="3"/>
  <c r="L501" i="3"/>
  <c r="O501" i="3" s="1"/>
  <c r="W501" i="3"/>
  <c r="AA501" i="3"/>
  <c r="AL501" i="3" s="1"/>
  <c r="AE501" i="3"/>
  <c r="AF501" i="3" s="1"/>
  <c r="AM501" i="3"/>
  <c r="AN501" i="3"/>
  <c r="AO501" i="3"/>
  <c r="AP501" i="3"/>
  <c r="AQ501" i="3"/>
  <c r="AS501" i="3" s="1"/>
  <c r="AT501" i="3" s="1"/>
  <c r="AW501" i="3"/>
  <c r="AY501" i="3" s="1"/>
  <c r="BD501" i="3"/>
  <c r="BO501" i="3" s="1"/>
  <c r="BF501" i="3"/>
  <c r="BG501" i="3"/>
  <c r="BM501" i="3"/>
  <c r="BQ501" i="3"/>
  <c r="BT501" i="3"/>
  <c r="BU501" i="3"/>
  <c r="BW501" i="3"/>
  <c r="CA501" i="3"/>
  <c r="CB501" i="3"/>
  <c r="L502" i="3"/>
  <c r="O502" i="3" s="1"/>
  <c r="W502" i="3"/>
  <c r="AA502" i="3"/>
  <c r="AL502" i="3" s="1"/>
  <c r="AE502" i="3"/>
  <c r="AH502" i="3" s="1"/>
  <c r="AM502" i="3"/>
  <c r="AN502" i="3"/>
  <c r="AO502" i="3"/>
  <c r="AP502" i="3"/>
  <c r="AQ502" i="3"/>
  <c r="AS502" i="3" s="1"/>
  <c r="AT502" i="3" s="1"/>
  <c r="AW502" i="3"/>
  <c r="AY502" i="3" s="1"/>
  <c r="BD502" i="3"/>
  <c r="BO502" i="3" s="1"/>
  <c r="BF502" i="3"/>
  <c r="BG502" i="3"/>
  <c r="BM502" i="3"/>
  <c r="BQ502" i="3"/>
  <c r="BT502" i="3"/>
  <c r="BU502" i="3"/>
  <c r="BW502" i="3"/>
  <c r="CA502" i="3"/>
  <c r="CB502" i="3"/>
  <c r="L468" i="3"/>
  <c r="O468" i="3" s="1"/>
  <c r="W468" i="3"/>
  <c r="AA468" i="3"/>
  <c r="AL468" i="3" s="1"/>
  <c r="AE468" i="3"/>
  <c r="AF468" i="3" s="1"/>
  <c r="AM468" i="3"/>
  <c r="AN468" i="3"/>
  <c r="AO468" i="3"/>
  <c r="AP468" i="3"/>
  <c r="AQ468" i="3"/>
  <c r="AS468" i="3" s="1"/>
  <c r="AT468" i="3" s="1"/>
  <c r="AW468" i="3"/>
  <c r="AY468" i="3" s="1"/>
  <c r="BD468" i="3"/>
  <c r="BO468" i="3" s="1"/>
  <c r="BF468" i="3"/>
  <c r="BG468" i="3"/>
  <c r="BM468" i="3"/>
  <c r="BQ468" i="3"/>
  <c r="BT468" i="3"/>
  <c r="BU468" i="3"/>
  <c r="BW468" i="3"/>
  <c r="CA468" i="3"/>
  <c r="CB468" i="3"/>
  <c r="L469" i="3"/>
  <c r="O469" i="3" s="1"/>
  <c r="W469" i="3"/>
  <c r="AA469" i="3"/>
  <c r="AL469" i="3" s="1"/>
  <c r="AE469" i="3"/>
  <c r="AF469" i="3" s="1"/>
  <c r="AM469" i="3"/>
  <c r="AN469" i="3"/>
  <c r="AO469" i="3"/>
  <c r="AP469" i="3"/>
  <c r="AQ469" i="3"/>
  <c r="AS469" i="3" s="1"/>
  <c r="AT469" i="3" s="1"/>
  <c r="AW469" i="3"/>
  <c r="AY469" i="3" s="1"/>
  <c r="BD469" i="3"/>
  <c r="BO469" i="3" s="1"/>
  <c r="BF469" i="3"/>
  <c r="BG469" i="3"/>
  <c r="BM469" i="3"/>
  <c r="BQ469" i="3"/>
  <c r="BT469" i="3"/>
  <c r="BU469" i="3"/>
  <c r="BW469" i="3"/>
  <c r="CA469" i="3"/>
  <c r="CB469" i="3"/>
  <c r="L470" i="3"/>
  <c r="O470" i="3" s="1"/>
  <c r="W470" i="3"/>
  <c r="AA470" i="3"/>
  <c r="AL470" i="3" s="1"/>
  <c r="AE470" i="3"/>
  <c r="AM470" i="3"/>
  <c r="AN470" i="3"/>
  <c r="AO470" i="3"/>
  <c r="AP470" i="3"/>
  <c r="AQ470" i="3"/>
  <c r="AS470" i="3" s="1"/>
  <c r="AT470" i="3" s="1"/>
  <c r="AW470" i="3"/>
  <c r="AY470" i="3" s="1"/>
  <c r="BD470" i="3"/>
  <c r="BO470" i="3" s="1"/>
  <c r="BF470" i="3"/>
  <c r="BG470" i="3"/>
  <c r="BM470" i="3"/>
  <c r="BQ470" i="3"/>
  <c r="BT470" i="3"/>
  <c r="BU470" i="3"/>
  <c r="BW470" i="3"/>
  <c r="CA470" i="3"/>
  <c r="CB470" i="3"/>
  <c r="L471" i="3"/>
  <c r="O471" i="3" s="1"/>
  <c r="W471" i="3"/>
  <c r="AA471" i="3"/>
  <c r="AL471" i="3" s="1"/>
  <c r="AE471" i="3"/>
  <c r="AF471" i="3" s="1"/>
  <c r="AM471" i="3"/>
  <c r="AN471" i="3"/>
  <c r="AO471" i="3"/>
  <c r="AP471" i="3"/>
  <c r="AQ471" i="3"/>
  <c r="AS471" i="3" s="1"/>
  <c r="AT471" i="3" s="1"/>
  <c r="AW471" i="3"/>
  <c r="AY471" i="3" s="1"/>
  <c r="BD471" i="3"/>
  <c r="BO471" i="3" s="1"/>
  <c r="BF471" i="3"/>
  <c r="BG471" i="3"/>
  <c r="BM471" i="3"/>
  <c r="BQ471" i="3"/>
  <c r="BT471" i="3"/>
  <c r="BU471" i="3"/>
  <c r="BW471" i="3"/>
  <c r="CA471" i="3"/>
  <c r="CB471" i="3"/>
  <c r="L472" i="3"/>
  <c r="O472" i="3" s="1"/>
  <c r="W472" i="3"/>
  <c r="AA472" i="3"/>
  <c r="AL472" i="3" s="1"/>
  <c r="AE472" i="3"/>
  <c r="AH472" i="3" s="1"/>
  <c r="AM472" i="3"/>
  <c r="AN472" i="3"/>
  <c r="AO472" i="3"/>
  <c r="AP472" i="3"/>
  <c r="AQ472" i="3"/>
  <c r="AS472" i="3" s="1"/>
  <c r="AT472" i="3" s="1"/>
  <c r="AW472" i="3"/>
  <c r="AY472" i="3" s="1"/>
  <c r="BD472" i="3"/>
  <c r="BO472" i="3" s="1"/>
  <c r="BF472" i="3"/>
  <c r="BG472" i="3"/>
  <c r="BM472" i="3"/>
  <c r="BQ472" i="3"/>
  <c r="BT472" i="3"/>
  <c r="BU472" i="3"/>
  <c r="BW472" i="3"/>
  <c r="CA472" i="3"/>
  <c r="CB472" i="3"/>
  <c r="L473" i="3"/>
  <c r="O473" i="3" s="1"/>
  <c r="W473" i="3"/>
  <c r="AA473" i="3"/>
  <c r="AL473" i="3" s="1"/>
  <c r="AE473" i="3"/>
  <c r="AF473" i="3" s="1"/>
  <c r="AM473" i="3"/>
  <c r="AN473" i="3"/>
  <c r="AO473" i="3"/>
  <c r="AP473" i="3"/>
  <c r="AQ473" i="3"/>
  <c r="AS473" i="3" s="1"/>
  <c r="AT473" i="3" s="1"/>
  <c r="AW473" i="3"/>
  <c r="AY473" i="3" s="1"/>
  <c r="BD473" i="3"/>
  <c r="BO473" i="3" s="1"/>
  <c r="BF473" i="3"/>
  <c r="BG473" i="3"/>
  <c r="BM473" i="3"/>
  <c r="BQ473" i="3"/>
  <c r="BT473" i="3"/>
  <c r="BU473" i="3"/>
  <c r="BW473" i="3"/>
  <c r="CA473" i="3"/>
  <c r="CB473" i="3"/>
  <c r="L474" i="3"/>
  <c r="O474" i="3" s="1"/>
  <c r="W474" i="3"/>
  <c r="AA474" i="3"/>
  <c r="AL474" i="3" s="1"/>
  <c r="AE474" i="3"/>
  <c r="AF474" i="3" s="1"/>
  <c r="AM474" i="3"/>
  <c r="AN474" i="3"/>
  <c r="AO474" i="3"/>
  <c r="AP474" i="3"/>
  <c r="AQ474" i="3"/>
  <c r="AW474" i="3"/>
  <c r="AY474" i="3" s="1"/>
  <c r="BD474" i="3"/>
  <c r="BO474" i="3" s="1"/>
  <c r="BF474" i="3"/>
  <c r="BG474" i="3"/>
  <c r="BM474" i="3"/>
  <c r="BQ474" i="3"/>
  <c r="BT474" i="3"/>
  <c r="BU474" i="3"/>
  <c r="BW474" i="3"/>
  <c r="CA474" i="3"/>
  <c r="CB474" i="3"/>
  <c r="L475" i="3"/>
  <c r="O475" i="3" s="1"/>
  <c r="W475" i="3"/>
  <c r="AA475" i="3"/>
  <c r="AL475" i="3" s="1"/>
  <c r="AE475" i="3"/>
  <c r="AH475" i="3" s="1"/>
  <c r="AM475" i="3"/>
  <c r="AN475" i="3"/>
  <c r="AO475" i="3"/>
  <c r="AP475" i="3"/>
  <c r="AQ475" i="3"/>
  <c r="AS475" i="3" s="1"/>
  <c r="AT475" i="3" s="1"/>
  <c r="AW475" i="3"/>
  <c r="AY475" i="3" s="1"/>
  <c r="BD475" i="3"/>
  <c r="BO475" i="3" s="1"/>
  <c r="BF475" i="3"/>
  <c r="BG475" i="3"/>
  <c r="BM475" i="3"/>
  <c r="BQ475" i="3"/>
  <c r="BT475" i="3"/>
  <c r="BU475" i="3"/>
  <c r="BW475" i="3"/>
  <c r="CA475" i="3"/>
  <c r="CB475" i="3"/>
  <c r="L476" i="3"/>
  <c r="O476" i="3" s="1"/>
  <c r="W476" i="3"/>
  <c r="AA476" i="3"/>
  <c r="AL476" i="3" s="1"/>
  <c r="AE476" i="3"/>
  <c r="AF476" i="3" s="1"/>
  <c r="AM476" i="3"/>
  <c r="AN476" i="3"/>
  <c r="AO476" i="3"/>
  <c r="AP476" i="3"/>
  <c r="AQ476" i="3"/>
  <c r="AS476" i="3" s="1"/>
  <c r="AT476" i="3" s="1"/>
  <c r="AW476" i="3"/>
  <c r="AY476" i="3" s="1"/>
  <c r="BD476" i="3"/>
  <c r="BO476" i="3" s="1"/>
  <c r="BF476" i="3"/>
  <c r="BG476" i="3"/>
  <c r="BM476" i="3"/>
  <c r="BQ476" i="3"/>
  <c r="BT476" i="3"/>
  <c r="BU476" i="3"/>
  <c r="BW476" i="3"/>
  <c r="CA476" i="3"/>
  <c r="CB476" i="3"/>
  <c r="L477" i="3"/>
  <c r="O477" i="3" s="1"/>
  <c r="W477" i="3"/>
  <c r="AA477" i="3"/>
  <c r="AL477" i="3" s="1"/>
  <c r="AE477" i="3"/>
  <c r="AF477" i="3" s="1"/>
  <c r="AM477" i="3"/>
  <c r="AN477" i="3"/>
  <c r="AO477" i="3"/>
  <c r="AP477" i="3"/>
  <c r="AQ477" i="3"/>
  <c r="AS477" i="3" s="1"/>
  <c r="AT477" i="3" s="1"/>
  <c r="AW477" i="3"/>
  <c r="AY477" i="3" s="1"/>
  <c r="BD477" i="3"/>
  <c r="BO477" i="3" s="1"/>
  <c r="BF477" i="3"/>
  <c r="BG477" i="3"/>
  <c r="BM477" i="3"/>
  <c r="BQ477" i="3"/>
  <c r="BT477" i="3"/>
  <c r="BU477" i="3"/>
  <c r="BW477" i="3"/>
  <c r="CA477" i="3"/>
  <c r="CB477" i="3"/>
  <c r="L478" i="3"/>
  <c r="O478" i="3" s="1"/>
  <c r="W478" i="3"/>
  <c r="AA478" i="3"/>
  <c r="AL478" i="3" s="1"/>
  <c r="AE478" i="3"/>
  <c r="AH478" i="3" s="1"/>
  <c r="AM478" i="3"/>
  <c r="AN478" i="3"/>
  <c r="AO478" i="3"/>
  <c r="AP478" i="3"/>
  <c r="AQ478" i="3"/>
  <c r="AS478" i="3" s="1"/>
  <c r="AT478" i="3" s="1"/>
  <c r="AW478" i="3"/>
  <c r="AY478" i="3" s="1"/>
  <c r="BD478" i="3"/>
  <c r="BO478" i="3" s="1"/>
  <c r="BF478" i="3"/>
  <c r="BG478" i="3"/>
  <c r="BM478" i="3"/>
  <c r="BQ478" i="3"/>
  <c r="BT478" i="3"/>
  <c r="BU478" i="3"/>
  <c r="BW478" i="3"/>
  <c r="CA478" i="3"/>
  <c r="CB478" i="3"/>
  <c r="L479" i="3"/>
  <c r="O479" i="3" s="1"/>
  <c r="W479" i="3"/>
  <c r="AA479" i="3"/>
  <c r="AL479" i="3" s="1"/>
  <c r="AE479" i="3"/>
  <c r="AH479" i="3" s="1"/>
  <c r="AM479" i="3"/>
  <c r="AN479" i="3"/>
  <c r="AO479" i="3"/>
  <c r="AP479" i="3"/>
  <c r="AQ479" i="3"/>
  <c r="AS479" i="3" s="1"/>
  <c r="AT479" i="3" s="1"/>
  <c r="AW479" i="3"/>
  <c r="AY479" i="3" s="1"/>
  <c r="BD479" i="3"/>
  <c r="BO479" i="3" s="1"/>
  <c r="BF479" i="3"/>
  <c r="BG479" i="3"/>
  <c r="BM479" i="3"/>
  <c r="BQ479" i="3"/>
  <c r="BT479" i="3"/>
  <c r="BU479" i="3"/>
  <c r="BW479" i="3"/>
  <c r="CA479" i="3"/>
  <c r="CB479" i="3"/>
  <c r="L480" i="3"/>
  <c r="O480" i="3" s="1"/>
  <c r="W480" i="3"/>
  <c r="AA480" i="3"/>
  <c r="AL480" i="3" s="1"/>
  <c r="AE480" i="3"/>
  <c r="AF480" i="3" s="1"/>
  <c r="AM480" i="3"/>
  <c r="AN480" i="3"/>
  <c r="AO480" i="3"/>
  <c r="AP480" i="3"/>
  <c r="AQ480" i="3"/>
  <c r="AS480" i="3" s="1"/>
  <c r="AT480" i="3" s="1"/>
  <c r="AW480" i="3"/>
  <c r="AY480" i="3" s="1"/>
  <c r="BD480" i="3"/>
  <c r="BO480" i="3" s="1"/>
  <c r="BF480" i="3"/>
  <c r="BG480" i="3"/>
  <c r="BM480" i="3"/>
  <c r="BQ480" i="3"/>
  <c r="BT480" i="3"/>
  <c r="BU480" i="3"/>
  <c r="BW480" i="3"/>
  <c r="CA480" i="3"/>
  <c r="CB480" i="3"/>
  <c r="L481" i="3"/>
  <c r="O481" i="3" s="1"/>
  <c r="W481" i="3"/>
  <c r="AA481" i="3"/>
  <c r="AL481" i="3" s="1"/>
  <c r="AE481" i="3"/>
  <c r="AF481" i="3" s="1"/>
  <c r="AM481" i="3"/>
  <c r="AN481" i="3"/>
  <c r="AO481" i="3"/>
  <c r="AP481" i="3"/>
  <c r="AQ481" i="3"/>
  <c r="AS481" i="3" s="1"/>
  <c r="AT481" i="3" s="1"/>
  <c r="AW481" i="3"/>
  <c r="AY481" i="3" s="1"/>
  <c r="BD481" i="3"/>
  <c r="BO481" i="3" s="1"/>
  <c r="BF481" i="3"/>
  <c r="BG481" i="3"/>
  <c r="BM481" i="3"/>
  <c r="BQ481" i="3"/>
  <c r="BT481" i="3"/>
  <c r="BU481" i="3"/>
  <c r="BW481" i="3"/>
  <c r="CA481" i="3"/>
  <c r="CB481" i="3"/>
  <c r="L482" i="3"/>
  <c r="O482" i="3" s="1"/>
  <c r="W482" i="3"/>
  <c r="AA482" i="3"/>
  <c r="AL482" i="3" s="1"/>
  <c r="AE482" i="3"/>
  <c r="AH482" i="3" s="1"/>
  <c r="AM482" i="3"/>
  <c r="AN482" i="3"/>
  <c r="AO482" i="3"/>
  <c r="AP482" i="3"/>
  <c r="AQ482" i="3"/>
  <c r="AS482" i="3" s="1"/>
  <c r="AT482" i="3" s="1"/>
  <c r="AW482" i="3"/>
  <c r="AY482" i="3" s="1"/>
  <c r="BD482" i="3"/>
  <c r="BO482" i="3" s="1"/>
  <c r="BF482" i="3"/>
  <c r="BG482" i="3"/>
  <c r="BM482" i="3"/>
  <c r="BQ482" i="3"/>
  <c r="BT482" i="3"/>
  <c r="BU482" i="3"/>
  <c r="BW482" i="3"/>
  <c r="CA482" i="3"/>
  <c r="CB482" i="3"/>
  <c r="L483" i="3"/>
  <c r="O483" i="3" s="1"/>
  <c r="W483" i="3"/>
  <c r="AA483" i="3"/>
  <c r="AL483" i="3" s="1"/>
  <c r="AE483" i="3"/>
  <c r="AF483" i="3" s="1"/>
  <c r="AM483" i="3"/>
  <c r="AN483" i="3"/>
  <c r="AO483" i="3"/>
  <c r="AP483" i="3"/>
  <c r="AQ483" i="3"/>
  <c r="AS483" i="3" s="1"/>
  <c r="AT483" i="3" s="1"/>
  <c r="AW483" i="3"/>
  <c r="AY483" i="3" s="1"/>
  <c r="BD483" i="3"/>
  <c r="BO483" i="3" s="1"/>
  <c r="BF483" i="3"/>
  <c r="BG483" i="3"/>
  <c r="BM483" i="3"/>
  <c r="BQ483" i="3"/>
  <c r="BT483" i="3"/>
  <c r="BU483" i="3"/>
  <c r="BW483" i="3"/>
  <c r="CA483" i="3"/>
  <c r="CB483" i="3"/>
  <c r="L484" i="3"/>
  <c r="O484" i="3" s="1"/>
  <c r="W484" i="3"/>
  <c r="AA484" i="3"/>
  <c r="AL484" i="3" s="1"/>
  <c r="AE484" i="3"/>
  <c r="AH484" i="3" s="1"/>
  <c r="AM484" i="3"/>
  <c r="AN484" i="3"/>
  <c r="AO484" i="3"/>
  <c r="AP484" i="3"/>
  <c r="AQ484" i="3"/>
  <c r="AS484" i="3" s="1"/>
  <c r="AT484" i="3" s="1"/>
  <c r="AW484" i="3"/>
  <c r="AY484" i="3" s="1"/>
  <c r="BD484" i="3"/>
  <c r="BO484" i="3" s="1"/>
  <c r="BF484" i="3"/>
  <c r="BG484" i="3"/>
  <c r="BM484" i="3"/>
  <c r="BQ484" i="3"/>
  <c r="BT484" i="3"/>
  <c r="BU484" i="3"/>
  <c r="BW484" i="3"/>
  <c r="CA484" i="3"/>
  <c r="CB484" i="3"/>
  <c r="L450" i="3"/>
  <c r="O450" i="3" s="1"/>
  <c r="W450" i="3"/>
  <c r="AA450" i="3"/>
  <c r="AL450" i="3" s="1"/>
  <c r="AE450" i="3"/>
  <c r="AF450" i="3" s="1"/>
  <c r="AM450" i="3"/>
  <c r="AN450" i="3"/>
  <c r="AO450" i="3"/>
  <c r="AP450" i="3"/>
  <c r="AQ450" i="3"/>
  <c r="AS450" i="3" s="1"/>
  <c r="AT450" i="3" s="1"/>
  <c r="AW450" i="3"/>
  <c r="AY450" i="3" s="1"/>
  <c r="BD450" i="3"/>
  <c r="BO450" i="3" s="1"/>
  <c r="BF450" i="3"/>
  <c r="BG450" i="3"/>
  <c r="BM450" i="3"/>
  <c r="BQ450" i="3"/>
  <c r="BT450" i="3"/>
  <c r="BU450" i="3"/>
  <c r="BW450" i="3"/>
  <c r="CA450" i="3"/>
  <c r="CB450" i="3"/>
  <c r="L451" i="3"/>
  <c r="O451" i="3" s="1"/>
  <c r="W451" i="3"/>
  <c r="AA451" i="3"/>
  <c r="AL451" i="3" s="1"/>
  <c r="AE451" i="3"/>
  <c r="AF451" i="3" s="1"/>
  <c r="AM451" i="3"/>
  <c r="AN451" i="3"/>
  <c r="AO451" i="3"/>
  <c r="AP451" i="3"/>
  <c r="AQ451" i="3"/>
  <c r="AS451" i="3" s="1"/>
  <c r="AT451" i="3" s="1"/>
  <c r="AW451" i="3"/>
  <c r="AY451" i="3" s="1"/>
  <c r="BD451" i="3"/>
  <c r="BO451" i="3" s="1"/>
  <c r="BF451" i="3"/>
  <c r="BG451" i="3"/>
  <c r="BM451" i="3"/>
  <c r="BQ451" i="3"/>
  <c r="BT451" i="3"/>
  <c r="BU451" i="3"/>
  <c r="BW451" i="3"/>
  <c r="CA451" i="3"/>
  <c r="CB451" i="3"/>
  <c r="L452" i="3"/>
  <c r="O452" i="3" s="1"/>
  <c r="W452" i="3"/>
  <c r="AA452" i="3"/>
  <c r="AL452" i="3" s="1"/>
  <c r="AE452" i="3"/>
  <c r="AH452" i="3" s="1"/>
  <c r="AM452" i="3"/>
  <c r="AN452" i="3"/>
  <c r="AO452" i="3"/>
  <c r="AP452" i="3"/>
  <c r="AQ452" i="3"/>
  <c r="AW452" i="3"/>
  <c r="AY452" i="3" s="1"/>
  <c r="BD452" i="3"/>
  <c r="BO452" i="3" s="1"/>
  <c r="BF452" i="3"/>
  <c r="BG452" i="3"/>
  <c r="BM452" i="3"/>
  <c r="BQ452" i="3"/>
  <c r="BT452" i="3"/>
  <c r="BU452" i="3"/>
  <c r="BW452" i="3"/>
  <c r="CA452" i="3"/>
  <c r="CB452" i="3"/>
  <c r="L453" i="3"/>
  <c r="O453" i="3" s="1"/>
  <c r="W453" i="3"/>
  <c r="AA453" i="3"/>
  <c r="AL453" i="3" s="1"/>
  <c r="AE453" i="3"/>
  <c r="AF453" i="3" s="1"/>
  <c r="AM453" i="3"/>
  <c r="AN453" i="3"/>
  <c r="AO453" i="3"/>
  <c r="AP453" i="3"/>
  <c r="AQ453" i="3"/>
  <c r="AS453" i="3" s="1"/>
  <c r="AT453" i="3" s="1"/>
  <c r="AW453" i="3"/>
  <c r="AY453" i="3" s="1"/>
  <c r="BD453" i="3"/>
  <c r="BO453" i="3" s="1"/>
  <c r="BF453" i="3"/>
  <c r="BG453" i="3"/>
  <c r="BM453" i="3"/>
  <c r="BQ453" i="3"/>
  <c r="BT453" i="3"/>
  <c r="BU453" i="3"/>
  <c r="BW453" i="3"/>
  <c r="CA453" i="3"/>
  <c r="CB453" i="3"/>
  <c r="L454" i="3"/>
  <c r="O454" i="3" s="1"/>
  <c r="W454" i="3"/>
  <c r="AA454" i="3"/>
  <c r="AL454" i="3" s="1"/>
  <c r="AE454" i="3"/>
  <c r="AH454" i="3" s="1"/>
  <c r="AM454" i="3"/>
  <c r="AN454" i="3"/>
  <c r="AO454" i="3"/>
  <c r="AP454" i="3"/>
  <c r="AQ454" i="3"/>
  <c r="AS454" i="3" s="1"/>
  <c r="AT454" i="3" s="1"/>
  <c r="AW454" i="3"/>
  <c r="AY454" i="3" s="1"/>
  <c r="BD454" i="3"/>
  <c r="BO454" i="3" s="1"/>
  <c r="BF454" i="3"/>
  <c r="BG454" i="3"/>
  <c r="BM454" i="3"/>
  <c r="BQ454" i="3"/>
  <c r="BT454" i="3"/>
  <c r="BU454" i="3"/>
  <c r="BW454" i="3"/>
  <c r="CA454" i="3"/>
  <c r="CB454" i="3"/>
  <c r="L455" i="3"/>
  <c r="O455" i="3" s="1"/>
  <c r="W455" i="3"/>
  <c r="AA455" i="3"/>
  <c r="AL455" i="3" s="1"/>
  <c r="AE455" i="3"/>
  <c r="AM455" i="3"/>
  <c r="AN455" i="3"/>
  <c r="AO455" i="3"/>
  <c r="AP455" i="3"/>
  <c r="AQ455" i="3"/>
  <c r="AS455" i="3" s="1"/>
  <c r="AT455" i="3" s="1"/>
  <c r="AW455" i="3"/>
  <c r="AY455" i="3" s="1"/>
  <c r="BD455" i="3"/>
  <c r="BO455" i="3" s="1"/>
  <c r="BF455" i="3"/>
  <c r="BG455" i="3"/>
  <c r="BM455" i="3"/>
  <c r="BQ455" i="3"/>
  <c r="BT455" i="3"/>
  <c r="BU455" i="3"/>
  <c r="BW455" i="3"/>
  <c r="CA455" i="3"/>
  <c r="CB455" i="3"/>
  <c r="L456" i="3"/>
  <c r="O456" i="3" s="1"/>
  <c r="W456" i="3"/>
  <c r="AA456" i="3"/>
  <c r="AL456" i="3" s="1"/>
  <c r="AE456" i="3"/>
  <c r="AF456" i="3" s="1"/>
  <c r="AM456" i="3"/>
  <c r="AN456" i="3"/>
  <c r="AO456" i="3"/>
  <c r="AP456" i="3"/>
  <c r="AQ456" i="3"/>
  <c r="AS456" i="3" s="1"/>
  <c r="AT456" i="3" s="1"/>
  <c r="AW456" i="3"/>
  <c r="AY456" i="3" s="1"/>
  <c r="BD456" i="3"/>
  <c r="BO456" i="3" s="1"/>
  <c r="BF456" i="3"/>
  <c r="BG456" i="3"/>
  <c r="BM456" i="3"/>
  <c r="BQ456" i="3"/>
  <c r="BT456" i="3"/>
  <c r="BU456" i="3"/>
  <c r="BW456" i="3"/>
  <c r="CA456" i="3"/>
  <c r="CB456" i="3"/>
  <c r="L457" i="3"/>
  <c r="O457" i="3" s="1"/>
  <c r="W457" i="3"/>
  <c r="AA457" i="3"/>
  <c r="AL457" i="3" s="1"/>
  <c r="AE457" i="3"/>
  <c r="AF457" i="3" s="1"/>
  <c r="AM457" i="3"/>
  <c r="AN457" i="3"/>
  <c r="AO457" i="3"/>
  <c r="AP457" i="3"/>
  <c r="AQ457" i="3"/>
  <c r="AS457" i="3" s="1"/>
  <c r="AT457" i="3" s="1"/>
  <c r="AW457" i="3"/>
  <c r="AY457" i="3" s="1"/>
  <c r="BD457" i="3"/>
  <c r="BO457" i="3" s="1"/>
  <c r="BF457" i="3"/>
  <c r="BG457" i="3"/>
  <c r="BM457" i="3"/>
  <c r="BQ457" i="3"/>
  <c r="BT457" i="3"/>
  <c r="BU457" i="3"/>
  <c r="BW457" i="3"/>
  <c r="CA457" i="3"/>
  <c r="CB457" i="3"/>
  <c r="L458" i="3"/>
  <c r="O458" i="3" s="1"/>
  <c r="W458" i="3"/>
  <c r="AA458" i="3"/>
  <c r="AL458" i="3" s="1"/>
  <c r="AE458" i="3"/>
  <c r="AF458" i="3" s="1"/>
  <c r="AM458" i="3"/>
  <c r="AN458" i="3"/>
  <c r="AO458" i="3"/>
  <c r="AP458" i="3"/>
  <c r="AQ458" i="3"/>
  <c r="AS458" i="3" s="1"/>
  <c r="AT458" i="3" s="1"/>
  <c r="AW458" i="3"/>
  <c r="AY458" i="3" s="1"/>
  <c r="BD458" i="3"/>
  <c r="BO458" i="3" s="1"/>
  <c r="BF458" i="3"/>
  <c r="BG458" i="3"/>
  <c r="BM458" i="3"/>
  <c r="BQ458" i="3"/>
  <c r="BT458" i="3"/>
  <c r="BU458" i="3"/>
  <c r="BW458" i="3"/>
  <c r="CA458" i="3"/>
  <c r="CB458" i="3"/>
  <c r="L459" i="3"/>
  <c r="O459" i="3" s="1"/>
  <c r="W459" i="3"/>
  <c r="AA459" i="3"/>
  <c r="AL459" i="3" s="1"/>
  <c r="AE459" i="3"/>
  <c r="AF459" i="3" s="1"/>
  <c r="AM459" i="3"/>
  <c r="AN459" i="3"/>
  <c r="AO459" i="3"/>
  <c r="AP459" i="3"/>
  <c r="AQ459" i="3"/>
  <c r="AW459" i="3"/>
  <c r="AY459" i="3" s="1"/>
  <c r="BD459" i="3"/>
  <c r="BO459" i="3" s="1"/>
  <c r="BF459" i="3"/>
  <c r="BG459" i="3"/>
  <c r="BM459" i="3"/>
  <c r="BQ459" i="3"/>
  <c r="BT459" i="3"/>
  <c r="BU459" i="3"/>
  <c r="BW459" i="3"/>
  <c r="CA459" i="3"/>
  <c r="CB459" i="3"/>
  <c r="L460" i="3"/>
  <c r="O460" i="3" s="1"/>
  <c r="W460" i="3"/>
  <c r="AA460" i="3"/>
  <c r="AL460" i="3" s="1"/>
  <c r="AE460" i="3"/>
  <c r="AH460" i="3" s="1"/>
  <c r="AM460" i="3"/>
  <c r="AN460" i="3"/>
  <c r="AO460" i="3"/>
  <c r="AP460" i="3"/>
  <c r="AQ460" i="3"/>
  <c r="AS460" i="3" s="1"/>
  <c r="AT460" i="3" s="1"/>
  <c r="AW460" i="3"/>
  <c r="AY460" i="3" s="1"/>
  <c r="BD460" i="3"/>
  <c r="BO460" i="3" s="1"/>
  <c r="BF460" i="3"/>
  <c r="BG460" i="3"/>
  <c r="BM460" i="3"/>
  <c r="BQ460" i="3"/>
  <c r="BT460" i="3"/>
  <c r="BU460" i="3"/>
  <c r="BW460" i="3"/>
  <c r="CA460" i="3"/>
  <c r="CB460" i="3"/>
  <c r="L461" i="3"/>
  <c r="O461" i="3" s="1"/>
  <c r="W461" i="3"/>
  <c r="AA461" i="3"/>
  <c r="AL461" i="3" s="1"/>
  <c r="AE461" i="3"/>
  <c r="AH461" i="3" s="1"/>
  <c r="AM461" i="3"/>
  <c r="AN461" i="3"/>
  <c r="AO461" i="3"/>
  <c r="AP461" i="3"/>
  <c r="AQ461" i="3"/>
  <c r="AS461" i="3" s="1"/>
  <c r="AT461" i="3" s="1"/>
  <c r="AW461" i="3"/>
  <c r="AY461" i="3" s="1"/>
  <c r="BD461" i="3"/>
  <c r="BO461" i="3" s="1"/>
  <c r="BF461" i="3"/>
  <c r="BG461" i="3"/>
  <c r="BM461" i="3"/>
  <c r="BQ461" i="3"/>
  <c r="BT461" i="3"/>
  <c r="BU461" i="3"/>
  <c r="BW461" i="3"/>
  <c r="CA461" i="3"/>
  <c r="CB461" i="3"/>
  <c r="L462" i="3"/>
  <c r="O462" i="3" s="1"/>
  <c r="W462" i="3"/>
  <c r="AA462" i="3"/>
  <c r="AL462" i="3" s="1"/>
  <c r="AE462" i="3"/>
  <c r="AM462" i="3"/>
  <c r="AN462" i="3"/>
  <c r="AO462" i="3"/>
  <c r="AP462" i="3"/>
  <c r="AQ462" i="3"/>
  <c r="AS462" i="3" s="1"/>
  <c r="AT462" i="3" s="1"/>
  <c r="AW462" i="3"/>
  <c r="AY462" i="3" s="1"/>
  <c r="BD462" i="3"/>
  <c r="BO462" i="3" s="1"/>
  <c r="BF462" i="3"/>
  <c r="BG462" i="3"/>
  <c r="BM462" i="3"/>
  <c r="BQ462" i="3"/>
  <c r="BT462" i="3"/>
  <c r="BU462" i="3"/>
  <c r="BW462" i="3"/>
  <c r="CA462" i="3"/>
  <c r="CB462" i="3"/>
  <c r="L463" i="3"/>
  <c r="O463" i="3" s="1"/>
  <c r="W463" i="3"/>
  <c r="AA463" i="3"/>
  <c r="AL463" i="3" s="1"/>
  <c r="AE463" i="3"/>
  <c r="AM463" i="3"/>
  <c r="AN463" i="3"/>
  <c r="AO463" i="3"/>
  <c r="AP463" i="3"/>
  <c r="AQ463" i="3"/>
  <c r="AS463" i="3" s="1"/>
  <c r="AT463" i="3" s="1"/>
  <c r="AW463" i="3"/>
  <c r="AY463" i="3" s="1"/>
  <c r="BD463" i="3"/>
  <c r="BO463" i="3" s="1"/>
  <c r="BF463" i="3"/>
  <c r="BG463" i="3"/>
  <c r="BM463" i="3"/>
  <c r="BQ463" i="3"/>
  <c r="BT463" i="3"/>
  <c r="BU463" i="3"/>
  <c r="BW463" i="3"/>
  <c r="CA463" i="3"/>
  <c r="CB463" i="3"/>
  <c r="L464" i="3"/>
  <c r="O464" i="3" s="1"/>
  <c r="W464" i="3"/>
  <c r="AA464" i="3"/>
  <c r="AL464" i="3" s="1"/>
  <c r="AE464" i="3"/>
  <c r="AM464" i="3"/>
  <c r="AN464" i="3"/>
  <c r="AO464" i="3"/>
  <c r="AP464" i="3"/>
  <c r="AQ464" i="3"/>
  <c r="AS464" i="3" s="1"/>
  <c r="AT464" i="3" s="1"/>
  <c r="AW464" i="3"/>
  <c r="AY464" i="3" s="1"/>
  <c r="BD464" i="3"/>
  <c r="BO464" i="3" s="1"/>
  <c r="BF464" i="3"/>
  <c r="BG464" i="3"/>
  <c r="BM464" i="3"/>
  <c r="BQ464" i="3"/>
  <c r="BT464" i="3"/>
  <c r="BU464" i="3"/>
  <c r="BW464" i="3"/>
  <c r="CA464" i="3"/>
  <c r="CB464" i="3"/>
  <c r="L465" i="3"/>
  <c r="O465" i="3" s="1"/>
  <c r="W465" i="3"/>
  <c r="AA465" i="3"/>
  <c r="AL465" i="3" s="1"/>
  <c r="AE465" i="3"/>
  <c r="AF465" i="3" s="1"/>
  <c r="AM465" i="3"/>
  <c r="AN465" i="3"/>
  <c r="AO465" i="3"/>
  <c r="AP465" i="3"/>
  <c r="AQ465" i="3"/>
  <c r="AS465" i="3" s="1"/>
  <c r="AT465" i="3" s="1"/>
  <c r="AW465" i="3"/>
  <c r="AY465" i="3" s="1"/>
  <c r="BD465" i="3"/>
  <c r="BO465" i="3" s="1"/>
  <c r="BF465" i="3"/>
  <c r="BG465" i="3"/>
  <c r="BM465" i="3"/>
  <c r="BQ465" i="3"/>
  <c r="BT465" i="3"/>
  <c r="BU465" i="3"/>
  <c r="BW465" i="3"/>
  <c r="CA465" i="3"/>
  <c r="CB465" i="3"/>
  <c r="L466" i="3"/>
  <c r="O466" i="3" s="1"/>
  <c r="W466" i="3"/>
  <c r="AA466" i="3"/>
  <c r="AL466" i="3" s="1"/>
  <c r="AE466" i="3"/>
  <c r="AF466" i="3" s="1"/>
  <c r="AM466" i="3"/>
  <c r="AN466" i="3"/>
  <c r="AO466" i="3"/>
  <c r="AP466" i="3"/>
  <c r="AQ466" i="3"/>
  <c r="AS466" i="3" s="1"/>
  <c r="AT466" i="3" s="1"/>
  <c r="AW466" i="3"/>
  <c r="AY466" i="3" s="1"/>
  <c r="BD466" i="3"/>
  <c r="BO466" i="3" s="1"/>
  <c r="BF466" i="3"/>
  <c r="BG466" i="3"/>
  <c r="BM466" i="3"/>
  <c r="BQ466" i="3"/>
  <c r="BT466" i="3"/>
  <c r="BU466" i="3"/>
  <c r="BW466" i="3"/>
  <c r="CA466" i="3"/>
  <c r="CB466" i="3"/>
  <c r="L432" i="3"/>
  <c r="O432" i="3" s="1"/>
  <c r="W432" i="3"/>
  <c r="AA432" i="3"/>
  <c r="AL432" i="3" s="1"/>
  <c r="AE432" i="3"/>
  <c r="AF432" i="3" s="1"/>
  <c r="AM432" i="3"/>
  <c r="AN432" i="3"/>
  <c r="AO432" i="3"/>
  <c r="AP432" i="3"/>
  <c r="AQ432" i="3"/>
  <c r="AS432" i="3" s="1"/>
  <c r="AT432" i="3" s="1"/>
  <c r="AW432" i="3"/>
  <c r="AY432" i="3" s="1"/>
  <c r="BD432" i="3"/>
  <c r="BO432" i="3" s="1"/>
  <c r="BF432" i="3"/>
  <c r="BG432" i="3"/>
  <c r="BQ432" i="3"/>
  <c r="BT432" i="3"/>
  <c r="BU432" i="3"/>
  <c r="BW432" i="3"/>
  <c r="CA432" i="3"/>
  <c r="CB432" i="3"/>
  <c r="L433" i="3"/>
  <c r="O433" i="3" s="1"/>
  <c r="W433" i="3"/>
  <c r="AA433" i="3"/>
  <c r="AL433" i="3" s="1"/>
  <c r="AE433" i="3"/>
  <c r="AH433" i="3" s="1"/>
  <c r="AM433" i="3"/>
  <c r="AN433" i="3"/>
  <c r="AO433" i="3"/>
  <c r="AP433" i="3"/>
  <c r="AQ433" i="3"/>
  <c r="AS433" i="3" s="1"/>
  <c r="AT433" i="3" s="1"/>
  <c r="AW433" i="3"/>
  <c r="AY433" i="3" s="1"/>
  <c r="BD433" i="3"/>
  <c r="BM433" i="3" s="1"/>
  <c r="BF433" i="3"/>
  <c r="BG433" i="3"/>
  <c r="BQ433" i="3"/>
  <c r="BT433" i="3"/>
  <c r="BU433" i="3"/>
  <c r="BW433" i="3"/>
  <c r="CA433" i="3"/>
  <c r="CB433" i="3"/>
  <c r="L434" i="3"/>
  <c r="O434" i="3" s="1"/>
  <c r="W434" i="3"/>
  <c r="AA434" i="3"/>
  <c r="AL434" i="3" s="1"/>
  <c r="AE434" i="3"/>
  <c r="AF434" i="3" s="1"/>
  <c r="AM434" i="3"/>
  <c r="AN434" i="3"/>
  <c r="AO434" i="3"/>
  <c r="AP434" i="3"/>
  <c r="AQ434" i="3"/>
  <c r="AS434" i="3" s="1"/>
  <c r="AT434" i="3" s="1"/>
  <c r="AW434" i="3"/>
  <c r="AY434" i="3" s="1"/>
  <c r="BD434" i="3"/>
  <c r="BM434" i="3" s="1"/>
  <c r="BF434" i="3"/>
  <c r="BG434" i="3"/>
  <c r="BQ434" i="3"/>
  <c r="BT434" i="3"/>
  <c r="BU434" i="3"/>
  <c r="BW434" i="3"/>
  <c r="CA434" i="3"/>
  <c r="CB434" i="3"/>
  <c r="L435" i="3"/>
  <c r="O435" i="3" s="1"/>
  <c r="W435" i="3"/>
  <c r="AA435" i="3"/>
  <c r="AL435" i="3" s="1"/>
  <c r="AE435" i="3"/>
  <c r="AF435" i="3" s="1"/>
  <c r="AM435" i="3"/>
  <c r="AN435" i="3"/>
  <c r="AO435" i="3"/>
  <c r="AP435" i="3"/>
  <c r="AQ435" i="3"/>
  <c r="AS435" i="3" s="1"/>
  <c r="AT435" i="3" s="1"/>
  <c r="AW435" i="3"/>
  <c r="AY435" i="3" s="1"/>
  <c r="BD435" i="3"/>
  <c r="BM435" i="3" s="1"/>
  <c r="BF435" i="3"/>
  <c r="BG435" i="3"/>
  <c r="BQ435" i="3"/>
  <c r="BT435" i="3"/>
  <c r="BU435" i="3"/>
  <c r="BW435" i="3"/>
  <c r="CA435" i="3"/>
  <c r="CB435" i="3"/>
  <c r="L436" i="3"/>
  <c r="O436" i="3" s="1"/>
  <c r="W436" i="3"/>
  <c r="AA436" i="3"/>
  <c r="AL436" i="3" s="1"/>
  <c r="AE436" i="3"/>
  <c r="AF436" i="3" s="1"/>
  <c r="AM436" i="3"/>
  <c r="AN436" i="3"/>
  <c r="AO436" i="3"/>
  <c r="AP436" i="3"/>
  <c r="AQ436" i="3"/>
  <c r="AS436" i="3" s="1"/>
  <c r="AT436" i="3" s="1"/>
  <c r="AW436" i="3"/>
  <c r="AY436" i="3" s="1"/>
  <c r="BD436" i="3"/>
  <c r="BM436" i="3" s="1"/>
  <c r="BF436" i="3"/>
  <c r="BG436" i="3"/>
  <c r="BQ436" i="3"/>
  <c r="BT436" i="3"/>
  <c r="BU436" i="3"/>
  <c r="BW436" i="3"/>
  <c r="CA436" i="3"/>
  <c r="CB436" i="3"/>
  <c r="L437" i="3"/>
  <c r="O437" i="3" s="1"/>
  <c r="W437" i="3"/>
  <c r="AA437" i="3"/>
  <c r="AL437" i="3" s="1"/>
  <c r="AE437" i="3"/>
  <c r="AF437" i="3" s="1"/>
  <c r="AM437" i="3"/>
  <c r="AN437" i="3"/>
  <c r="AO437" i="3"/>
  <c r="AP437" i="3"/>
  <c r="AQ437" i="3"/>
  <c r="AS437" i="3" s="1"/>
  <c r="AT437" i="3" s="1"/>
  <c r="AW437" i="3"/>
  <c r="AY437" i="3" s="1"/>
  <c r="BD437" i="3"/>
  <c r="BM437" i="3" s="1"/>
  <c r="BF437" i="3"/>
  <c r="BG437" i="3"/>
  <c r="BQ437" i="3"/>
  <c r="BT437" i="3"/>
  <c r="BU437" i="3"/>
  <c r="BW437" i="3"/>
  <c r="CA437" i="3"/>
  <c r="CB437" i="3"/>
  <c r="L438" i="3"/>
  <c r="O438" i="3" s="1"/>
  <c r="W438" i="3"/>
  <c r="AA438" i="3"/>
  <c r="AL438" i="3" s="1"/>
  <c r="AE438" i="3"/>
  <c r="AF438" i="3" s="1"/>
  <c r="AM438" i="3"/>
  <c r="AN438" i="3"/>
  <c r="AO438" i="3"/>
  <c r="AP438" i="3"/>
  <c r="AQ438" i="3"/>
  <c r="AS438" i="3" s="1"/>
  <c r="AT438" i="3" s="1"/>
  <c r="AW438" i="3"/>
  <c r="AY438" i="3" s="1"/>
  <c r="BD438" i="3"/>
  <c r="BF438" i="3"/>
  <c r="BG438" i="3"/>
  <c r="BQ438" i="3"/>
  <c r="BT438" i="3"/>
  <c r="BU438" i="3"/>
  <c r="BW438" i="3"/>
  <c r="CA438" i="3"/>
  <c r="CB438" i="3"/>
  <c r="L439" i="3"/>
  <c r="O439" i="3" s="1"/>
  <c r="W439" i="3"/>
  <c r="AA439" i="3"/>
  <c r="AL439" i="3" s="1"/>
  <c r="AE439" i="3"/>
  <c r="AH439" i="3" s="1"/>
  <c r="AM439" i="3"/>
  <c r="AN439" i="3"/>
  <c r="AO439" i="3"/>
  <c r="AP439" i="3"/>
  <c r="AQ439" i="3"/>
  <c r="AS439" i="3" s="1"/>
  <c r="AT439" i="3" s="1"/>
  <c r="AW439" i="3"/>
  <c r="AY439" i="3" s="1"/>
  <c r="BD439" i="3"/>
  <c r="BF439" i="3"/>
  <c r="BG439" i="3"/>
  <c r="BQ439" i="3"/>
  <c r="BT439" i="3"/>
  <c r="BU439" i="3"/>
  <c r="BW439" i="3"/>
  <c r="CA439" i="3"/>
  <c r="CB439" i="3"/>
  <c r="L440" i="3"/>
  <c r="O440" i="3" s="1"/>
  <c r="W440" i="3"/>
  <c r="AA440" i="3"/>
  <c r="AL440" i="3" s="1"/>
  <c r="AE440" i="3"/>
  <c r="AF440" i="3" s="1"/>
  <c r="AM440" i="3"/>
  <c r="AN440" i="3"/>
  <c r="AO440" i="3"/>
  <c r="AP440" i="3"/>
  <c r="AQ440" i="3"/>
  <c r="AS440" i="3" s="1"/>
  <c r="AT440" i="3" s="1"/>
  <c r="AW440" i="3"/>
  <c r="AY440" i="3" s="1"/>
  <c r="BD440" i="3"/>
  <c r="BM440" i="3" s="1"/>
  <c r="BF440" i="3"/>
  <c r="BG440" i="3"/>
  <c r="BQ440" i="3"/>
  <c r="BT440" i="3"/>
  <c r="BU440" i="3"/>
  <c r="BW440" i="3"/>
  <c r="CA440" i="3"/>
  <c r="CB440" i="3"/>
  <c r="L441" i="3"/>
  <c r="O441" i="3" s="1"/>
  <c r="W441" i="3"/>
  <c r="AA441" i="3"/>
  <c r="AL441" i="3" s="1"/>
  <c r="AE441" i="3"/>
  <c r="AH441" i="3" s="1"/>
  <c r="AM441" i="3"/>
  <c r="AN441" i="3"/>
  <c r="AO441" i="3"/>
  <c r="AP441" i="3"/>
  <c r="AQ441" i="3"/>
  <c r="AS441" i="3" s="1"/>
  <c r="AT441" i="3" s="1"/>
  <c r="AW441" i="3"/>
  <c r="AY441" i="3" s="1"/>
  <c r="BD441" i="3"/>
  <c r="BM441" i="3" s="1"/>
  <c r="BF441" i="3"/>
  <c r="BG441" i="3"/>
  <c r="BQ441" i="3"/>
  <c r="BT441" i="3"/>
  <c r="BU441" i="3"/>
  <c r="BW441" i="3"/>
  <c r="CA441" i="3"/>
  <c r="CB441" i="3"/>
  <c r="L442" i="3"/>
  <c r="O442" i="3" s="1"/>
  <c r="W442" i="3"/>
  <c r="AA442" i="3"/>
  <c r="AL442" i="3" s="1"/>
  <c r="AE442" i="3"/>
  <c r="AH442" i="3" s="1"/>
  <c r="AM442" i="3"/>
  <c r="AN442" i="3"/>
  <c r="AO442" i="3"/>
  <c r="AP442" i="3"/>
  <c r="AQ442" i="3"/>
  <c r="AS442" i="3" s="1"/>
  <c r="AT442" i="3" s="1"/>
  <c r="AW442" i="3"/>
  <c r="AY442" i="3" s="1"/>
  <c r="BD442" i="3"/>
  <c r="BM442" i="3" s="1"/>
  <c r="BF442" i="3"/>
  <c r="BG442" i="3"/>
  <c r="BQ442" i="3"/>
  <c r="BT442" i="3"/>
  <c r="BU442" i="3"/>
  <c r="BW442" i="3"/>
  <c r="CA442" i="3"/>
  <c r="CB442" i="3"/>
  <c r="L443" i="3"/>
  <c r="O443" i="3" s="1"/>
  <c r="W443" i="3"/>
  <c r="AA443" i="3"/>
  <c r="AL443" i="3" s="1"/>
  <c r="AE443" i="3"/>
  <c r="AH443" i="3" s="1"/>
  <c r="AM443" i="3"/>
  <c r="AN443" i="3"/>
  <c r="AO443" i="3"/>
  <c r="AP443" i="3"/>
  <c r="AQ443" i="3"/>
  <c r="AS443" i="3" s="1"/>
  <c r="AT443" i="3" s="1"/>
  <c r="AW443" i="3"/>
  <c r="AY443" i="3" s="1"/>
  <c r="BD443" i="3"/>
  <c r="BO443" i="3" s="1"/>
  <c r="BF443" i="3"/>
  <c r="BG443" i="3"/>
  <c r="BQ443" i="3"/>
  <c r="BT443" i="3"/>
  <c r="BU443" i="3"/>
  <c r="BW443" i="3"/>
  <c r="CA443" i="3"/>
  <c r="CB443" i="3"/>
  <c r="L444" i="3"/>
  <c r="O444" i="3" s="1"/>
  <c r="W444" i="3"/>
  <c r="AA444" i="3"/>
  <c r="AL444" i="3" s="1"/>
  <c r="AE444" i="3"/>
  <c r="AF444" i="3" s="1"/>
  <c r="AM444" i="3"/>
  <c r="AN444" i="3"/>
  <c r="AO444" i="3"/>
  <c r="AP444" i="3"/>
  <c r="AQ444" i="3"/>
  <c r="AS444" i="3" s="1"/>
  <c r="AT444" i="3" s="1"/>
  <c r="AW444" i="3"/>
  <c r="AY444" i="3" s="1"/>
  <c r="BD444" i="3"/>
  <c r="BF444" i="3"/>
  <c r="BG444" i="3"/>
  <c r="BQ444" i="3"/>
  <c r="BT444" i="3"/>
  <c r="BU444" i="3"/>
  <c r="BW444" i="3"/>
  <c r="CA444" i="3"/>
  <c r="CB444" i="3"/>
  <c r="L445" i="3"/>
  <c r="O445" i="3" s="1"/>
  <c r="W445" i="3"/>
  <c r="AA445" i="3"/>
  <c r="AL445" i="3" s="1"/>
  <c r="AE445" i="3"/>
  <c r="AM445" i="3"/>
  <c r="AN445" i="3"/>
  <c r="AO445" i="3"/>
  <c r="AP445" i="3"/>
  <c r="AQ445" i="3"/>
  <c r="AS445" i="3" s="1"/>
  <c r="AT445" i="3" s="1"/>
  <c r="AW445" i="3"/>
  <c r="AY445" i="3" s="1"/>
  <c r="BD445" i="3"/>
  <c r="BF445" i="3"/>
  <c r="BG445" i="3"/>
  <c r="BQ445" i="3"/>
  <c r="BT445" i="3"/>
  <c r="BU445" i="3"/>
  <c r="BW445" i="3"/>
  <c r="CA445" i="3"/>
  <c r="CB445" i="3"/>
  <c r="L446" i="3"/>
  <c r="O446" i="3" s="1"/>
  <c r="W446" i="3"/>
  <c r="AA446" i="3"/>
  <c r="AL446" i="3" s="1"/>
  <c r="AE446" i="3"/>
  <c r="AF446" i="3" s="1"/>
  <c r="AM446" i="3"/>
  <c r="AN446" i="3"/>
  <c r="AO446" i="3"/>
  <c r="AP446" i="3"/>
  <c r="AQ446" i="3"/>
  <c r="AS446" i="3" s="1"/>
  <c r="AT446" i="3" s="1"/>
  <c r="AW446" i="3"/>
  <c r="AY446" i="3"/>
  <c r="BD446" i="3"/>
  <c r="BM446" i="3" s="1"/>
  <c r="BF446" i="3"/>
  <c r="BG446" i="3"/>
  <c r="BQ446" i="3"/>
  <c r="BT446" i="3"/>
  <c r="BU446" i="3"/>
  <c r="BW446" i="3"/>
  <c r="CA446" i="3"/>
  <c r="CB446" i="3"/>
  <c r="L447" i="3"/>
  <c r="O447" i="3" s="1"/>
  <c r="W447" i="3"/>
  <c r="AA447" i="3"/>
  <c r="AL447" i="3" s="1"/>
  <c r="AE447" i="3"/>
  <c r="AF447" i="3" s="1"/>
  <c r="AM447" i="3"/>
  <c r="AN447" i="3"/>
  <c r="AO447" i="3"/>
  <c r="AP447" i="3"/>
  <c r="AQ447" i="3"/>
  <c r="AS447" i="3" s="1"/>
  <c r="AT447" i="3" s="1"/>
  <c r="AW447" i="3"/>
  <c r="AY447" i="3" s="1"/>
  <c r="BD447" i="3"/>
  <c r="BM447" i="3" s="1"/>
  <c r="BF447" i="3"/>
  <c r="BG447" i="3"/>
  <c r="BQ447" i="3"/>
  <c r="BT447" i="3"/>
  <c r="BU447" i="3"/>
  <c r="BW447" i="3"/>
  <c r="CA447" i="3"/>
  <c r="CB447" i="3"/>
  <c r="L448" i="3"/>
  <c r="O448" i="3" s="1"/>
  <c r="W448" i="3"/>
  <c r="AA448" i="3"/>
  <c r="AL448" i="3" s="1"/>
  <c r="AE448" i="3"/>
  <c r="AH448" i="3" s="1"/>
  <c r="AM448" i="3"/>
  <c r="AN448" i="3"/>
  <c r="AO448" i="3"/>
  <c r="AP448" i="3"/>
  <c r="AQ448" i="3"/>
  <c r="AS448" i="3" s="1"/>
  <c r="AT448" i="3" s="1"/>
  <c r="AW448" i="3"/>
  <c r="AY448" i="3" s="1"/>
  <c r="BD448" i="3"/>
  <c r="BF448" i="3"/>
  <c r="BG448" i="3"/>
  <c r="BQ448" i="3"/>
  <c r="BT448" i="3"/>
  <c r="BU448" i="3"/>
  <c r="BW448" i="3"/>
  <c r="CA448" i="3"/>
  <c r="CB448" i="3"/>
  <c r="L414" i="3"/>
  <c r="O414" i="3" s="1"/>
  <c r="W414" i="3"/>
  <c r="AA414" i="3"/>
  <c r="AL414" i="3" s="1"/>
  <c r="AE414" i="3"/>
  <c r="AF414" i="3" s="1"/>
  <c r="AM414" i="3"/>
  <c r="AN414" i="3"/>
  <c r="AQ414" i="3"/>
  <c r="AS414" i="3" s="1"/>
  <c r="AT414" i="3" s="1"/>
  <c r="AW414" i="3"/>
  <c r="AY414" i="3" s="1"/>
  <c r="BD414" i="3"/>
  <c r="BO414" i="3" s="1"/>
  <c r="BF414" i="3"/>
  <c r="BG414" i="3"/>
  <c r="BM414" i="3"/>
  <c r="BQ414" i="3"/>
  <c r="BT414" i="3"/>
  <c r="BU414" i="3"/>
  <c r="BW414" i="3"/>
  <c r="CA414" i="3"/>
  <c r="CB414" i="3"/>
  <c r="L415" i="3"/>
  <c r="O415" i="3" s="1"/>
  <c r="W415" i="3"/>
  <c r="AA415" i="3"/>
  <c r="AL415" i="3" s="1"/>
  <c r="AE415" i="3"/>
  <c r="AF415" i="3" s="1"/>
  <c r="AM415" i="3"/>
  <c r="AN415" i="3"/>
  <c r="AQ415" i="3"/>
  <c r="AS415" i="3" s="1"/>
  <c r="AT415" i="3" s="1"/>
  <c r="AW415" i="3"/>
  <c r="AY415" i="3" s="1"/>
  <c r="BD415" i="3"/>
  <c r="BO415" i="3" s="1"/>
  <c r="BF415" i="3"/>
  <c r="BG415" i="3"/>
  <c r="BM415" i="3"/>
  <c r="BQ415" i="3"/>
  <c r="BT415" i="3"/>
  <c r="BU415" i="3"/>
  <c r="BW415" i="3"/>
  <c r="CA415" i="3"/>
  <c r="CB415" i="3"/>
  <c r="L416" i="3"/>
  <c r="O416" i="3" s="1"/>
  <c r="W416" i="3"/>
  <c r="AA416" i="3"/>
  <c r="AL416" i="3" s="1"/>
  <c r="AE416" i="3"/>
  <c r="AF416" i="3" s="1"/>
  <c r="AM416" i="3"/>
  <c r="AN416" i="3"/>
  <c r="AQ416" i="3"/>
  <c r="AS416" i="3" s="1"/>
  <c r="AT416" i="3" s="1"/>
  <c r="AW416" i="3"/>
  <c r="AY416" i="3" s="1"/>
  <c r="BD416" i="3"/>
  <c r="BO416" i="3" s="1"/>
  <c r="BF416" i="3"/>
  <c r="BG416" i="3"/>
  <c r="BM416" i="3"/>
  <c r="BQ416" i="3"/>
  <c r="BT416" i="3"/>
  <c r="BU416" i="3"/>
  <c r="BW416" i="3"/>
  <c r="CA416" i="3"/>
  <c r="CB416" i="3"/>
  <c r="L417" i="3"/>
  <c r="O417" i="3" s="1"/>
  <c r="W417" i="3"/>
  <c r="AA417" i="3"/>
  <c r="AL417" i="3" s="1"/>
  <c r="AE417" i="3"/>
  <c r="AH417" i="3" s="1"/>
  <c r="AM417" i="3"/>
  <c r="AN417" i="3"/>
  <c r="AQ417" i="3"/>
  <c r="AS417" i="3" s="1"/>
  <c r="AT417" i="3" s="1"/>
  <c r="AW417" i="3"/>
  <c r="AY417" i="3" s="1"/>
  <c r="BD417" i="3"/>
  <c r="BO417" i="3" s="1"/>
  <c r="BF417" i="3"/>
  <c r="BG417" i="3"/>
  <c r="BM417" i="3"/>
  <c r="BQ417" i="3"/>
  <c r="BT417" i="3"/>
  <c r="BU417" i="3"/>
  <c r="BW417" i="3"/>
  <c r="CA417" i="3"/>
  <c r="CB417" i="3"/>
  <c r="L418" i="3"/>
  <c r="O418" i="3" s="1"/>
  <c r="W418" i="3"/>
  <c r="AA418" i="3"/>
  <c r="AL418" i="3" s="1"/>
  <c r="AE418" i="3"/>
  <c r="AF418" i="3" s="1"/>
  <c r="AM418" i="3"/>
  <c r="AN418" i="3"/>
  <c r="AQ418" i="3"/>
  <c r="AS418" i="3" s="1"/>
  <c r="AT418" i="3" s="1"/>
  <c r="AW418" i="3"/>
  <c r="AY418" i="3" s="1"/>
  <c r="BD418" i="3"/>
  <c r="BO418" i="3" s="1"/>
  <c r="BF418" i="3"/>
  <c r="BG418" i="3"/>
  <c r="BM418" i="3"/>
  <c r="BQ418" i="3"/>
  <c r="BT418" i="3"/>
  <c r="BU418" i="3"/>
  <c r="BW418" i="3"/>
  <c r="CA418" i="3"/>
  <c r="CB418" i="3"/>
  <c r="L419" i="3"/>
  <c r="O419" i="3" s="1"/>
  <c r="W419" i="3"/>
  <c r="AA419" i="3"/>
  <c r="AL419" i="3" s="1"/>
  <c r="AE419" i="3"/>
  <c r="AF419" i="3" s="1"/>
  <c r="AM419" i="3"/>
  <c r="AN419" i="3"/>
  <c r="AQ419" i="3"/>
  <c r="AS419" i="3" s="1"/>
  <c r="AT419" i="3" s="1"/>
  <c r="AW419" i="3"/>
  <c r="AY419" i="3" s="1"/>
  <c r="BD419" i="3"/>
  <c r="BO419" i="3" s="1"/>
  <c r="BF419" i="3"/>
  <c r="BG419" i="3"/>
  <c r="BM419" i="3"/>
  <c r="BQ419" i="3"/>
  <c r="BT419" i="3"/>
  <c r="BU419" i="3"/>
  <c r="BW419" i="3"/>
  <c r="CA419" i="3"/>
  <c r="CB419" i="3"/>
  <c r="L420" i="3"/>
  <c r="O420" i="3" s="1"/>
  <c r="W420" i="3"/>
  <c r="AA420" i="3"/>
  <c r="AL420" i="3" s="1"/>
  <c r="AE420" i="3"/>
  <c r="AF420" i="3" s="1"/>
  <c r="AM420" i="3"/>
  <c r="AN420" i="3"/>
  <c r="AQ420" i="3"/>
  <c r="AS420" i="3" s="1"/>
  <c r="AT420" i="3" s="1"/>
  <c r="AW420" i="3"/>
  <c r="AY420" i="3" s="1"/>
  <c r="BD420" i="3"/>
  <c r="BO420" i="3" s="1"/>
  <c r="BF420" i="3"/>
  <c r="BG420" i="3"/>
  <c r="BM420" i="3"/>
  <c r="BQ420" i="3"/>
  <c r="BT420" i="3"/>
  <c r="BU420" i="3"/>
  <c r="BW420" i="3"/>
  <c r="CA420" i="3"/>
  <c r="CB420" i="3"/>
  <c r="L421" i="3"/>
  <c r="O421" i="3" s="1"/>
  <c r="W421" i="3"/>
  <c r="AA421" i="3"/>
  <c r="AL421" i="3" s="1"/>
  <c r="AE421" i="3"/>
  <c r="AF421" i="3" s="1"/>
  <c r="AM421" i="3"/>
  <c r="AN421" i="3"/>
  <c r="AQ421" i="3"/>
  <c r="AS421" i="3" s="1"/>
  <c r="AT421" i="3" s="1"/>
  <c r="AW421" i="3"/>
  <c r="AY421" i="3" s="1"/>
  <c r="BD421" i="3"/>
  <c r="BO421" i="3" s="1"/>
  <c r="BF421" i="3"/>
  <c r="BG421" i="3"/>
  <c r="BM421" i="3"/>
  <c r="BQ421" i="3"/>
  <c r="BT421" i="3"/>
  <c r="BU421" i="3"/>
  <c r="BW421" i="3"/>
  <c r="CA421" i="3"/>
  <c r="CB421" i="3"/>
  <c r="L422" i="3"/>
  <c r="O422" i="3" s="1"/>
  <c r="W422" i="3"/>
  <c r="AA422" i="3"/>
  <c r="AL422" i="3" s="1"/>
  <c r="AE422" i="3"/>
  <c r="AF422" i="3" s="1"/>
  <c r="AM422" i="3"/>
  <c r="AN422" i="3"/>
  <c r="AQ422" i="3"/>
  <c r="AS422" i="3" s="1"/>
  <c r="AT422" i="3" s="1"/>
  <c r="AW422" i="3"/>
  <c r="AY422" i="3" s="1"/>
  <c r="BD422" i="3"/>
  <c r="BO422" i="3" s="1"/>
  <c r="BF422" i="3"/>
  <c r="BG422" i="3"/>
  <c r="BM422" i="3"/>
  <c r="BQ422" i="3"/>
  <c r="BT422" i="3"/>
  <c r="BU422" i="3"/>
  <c r="BW422" i="3"/>
  <c r="CA422" i="3"/>
  <c r="CB422" i="3"/>
  <c r="L423" i="3"/>
  <c r="O423" i="3" s="1"/>
  <c r="W423" i="3"/>
  <c r="AA423" i="3"/>
  <c r="AL423" i="3" s="1"/>
  <c r="AE423" i="3"/>
  <c r="AM423" i="3"/>
  <c r="AN423" i="3"/>
  <c r="AQ423" i="3"/>
  <c r="AS423" i="3" s="1"/>
  <c r="AT423" i="3" s="1"/>
  <c r="AW423" i="3"/>
  <c r="AY423" i="3" s="1"/>
  <c r="BD423" i="3"/>
  <c r="BO423" i="3" s="1"/>
  <c r="BF423" i="3"/>
  <c r="BG423" i="3"/>
  <c r="BM423" i="3"/>
  <c r="BQ423" i="3"/>
  <c r="BT423" i="3"/>
  <c r="BU423" i="3"/>
  <c r="BW423" i="3"/>
  <c r="CA423" i="3"/>
  <c r="CB423" i="3"/>
  <c r="L424" i="3"/>
  <c r="O424" i="3" s="1"/>
  <c r="W424" i="3"/>
  <c r="AA424" i="3"/>
  <c r="AL424" i="3" s="1"/>
  <c r="AE424" i="3"/>
  <c r="AF424" i="3" s="1"/>
  <c r="AM424" i="3"/>
  <c r="AN424" i="3"/>
  <c r="AQ424" i="3"/>
  <c r="AS424" i="3" s="1"/>
  <c r="AT424" i="3" s="1"/>
  <c r="AW424" i="3"/>
  <c r="AY424" i="3" s="1"/>
  <c r="BD424" i="3"/>
  <c r="BO424" i="3" s="1"/>
  <c r="BF424" i="3"/>
  <c r="BG424" i="3"/>
  <c r="BM424" i="3"/>
  <c r="BQ424" i="3"/>
  <c r="BT424" i="3"/>
  <c r="BU424" i="3"/>
  <c r="BW424" i="3"/>
  <c r="CA424" i="3"/>
  <c r="CB424" i="3"/>
  <c r="L425" i="3"/>
  <c r="O425" i="3" s="1"/>
  <c r="W425" i="3"/>
  <c r="AA425" i="3"/>
  <c r="AL425" i="3" s="1"/>
  <c r="AE425" i="3"/>
  <c r="AH425" i="3" s="1"/>
  <c r="AM425" i="3"/>
  <c r="AN425" i="3"/>
  <c r="AQ425" i="3"/>
  <c r="AS425" i="3" s="1"/>
  <c r="AT425" i="3" s="1"/>
  <c r="AW425" i="3"/>
  <c r="AY425" i="3" s="1"/>
  <c r="BD425" i="3"/>
  <c r="BO425" i="3" s="1"/>
  <c r="BF425" i="3"/>
  <c r="BG425" i="3"/>
  <c r="BM425" i="3"/>
  <c r="BQ425" i="3"/>
  <c r="BT425" i="3"/>
  <c r="BU425" i="3"/>
  <c r="BW425" i="3"/>
  <c r="CA425" i="3"/>
  <c r="CB425" i="3"/>
  <c r="L426" i="3"/>
  <c r="O426" i="3" s="1"/>
  <c r="W426" i="3"/>
  <c r="AA426" i="3"/>
  <c r="AL426" i="3" s="1"/>
  <c r="AE426" i="3"/>
  <c r="AF426" i="3" s="1"/>
  <c r="AM426" i="3"/>
  <c r="AN426" i="3"/>
  <c r="AQ426" i="3"/>
  <c r="AS426" i="3" s="1"/>
  <c r="AT426" i="3" s="1"/>
  <c r="AW426" i="3"/>
  <c r="AY426" i="3" s="1"/>
  <c r="BD426" i="3"/>
  <c r="BO426" i="3" s="1"/>
  <c r="BF426" i="3"/>
  <c r="BG426" i="3"/>
  <c r="BM426" i="3"/>
  <c r="BQ426" i="3"/>
  <c r="BT426" i="3"/>
  <c r="BU426" i="3"/>
  <c r="BW426" i="3"/>
  <c r="CA426" i="3"/>
  <c r="CB426" i="3"/>
  <c r="L427" i="3"/>
  <c r="O427" i="3" s="1"/>
  <c r="W427" i="3"/>
  <c r="AA427" i="3"/>
  <c r="AL427" i="3" s="1"/>
  <c r="AE427" i="3"/>
  <c r="AF427" i="3" s="1"/>
  <c r="AM427" i="3"/>
  <c r="AN427" i="3"/>
  <c r="AQ427" i="3"/>
  <c r="AS427" i="3" s="1"/>
  <c r="AT427" i="3" s="1"/>
  <c r="AW427" i="3"/>
  <c r="AY427" i="3" s="1"/>
  <c r="BD427" i="3"/>
  <c r="BO427" i="3" s="1"/>
  <c r="BF427" i="3"/>
  <c r="BG427" i="3"/>
  <c r="BM427" i="3"/>
  <c r="BQ427" i="3"/>
  <c r="BT427" i="3"/>
  <c r="BU427" i="3"/>
  <c r="BW427" i="3"/>
  <c r="CA427" i="3"/>
  <c r="CB427" i="3"/>
  <c r="L428" i="3"/>
  <c r="O428" i="3" s="1"/>
  <c r="W428" i="3"/>
  <c r="AA428" i="3"/>
  <c r="AL428" i="3" s="1"/>
  <c r="AE428" i="3"/>
  <c r="AF428" i="3" s="1"/>
  <c r="AM428" i="3"/>
  <c r="AN428" i="3"/>
  <c r="AQ428" i="3"/>
  <c r="AS428" i="3" s="1"/>
  <c r="AT428" i="3" s="1"/>
  <c r="AW428" i="3"/>
  <c r="AY428" i="3" s="1"/>
  <c r="BD428" i="3"/>
  <c r="BO428" i="3" s="1"/>
  <c r="BF428" i="3"/>
  <c r="BG428" i="3"/>
  <c r="BM428" i="3"/>
  <c r="BQ428" i="3"/>
  <c r="BT428" i="3"/>
  <c r="BU428" i="3"/>
  <c r="BW428" i="3"/>
  <c r="CA428" i="3"/>
  <c r="CB428" i="3"/>
  <c r="L429" i="3"/>
  <c r="O429" i="3" s="1"/>
  <c r="W429" i="3"/>
  <c r="AA429" i="3"/>
  <c r="AL429" i="3" s="1"/>
  <c r="AE429" i="3"/>
  <c r="AH429" i="3" s="1"/>
  <c r="AM429" i="3"/>
  <c r="AN429" i="3"/>
  <c r="AQ429" i="3"/>
  <c r="AS429" i="3" s="1"/>
  <c r="AT429" i="3" s="1"/>
  <c r="AW429" i="3"/>
  <c r="AY429" i="3" s="1"/>
  <c r="BD429" i="3"/>
  <c r="BO429" i="3" s="1"/>
  <c r="BF429" i="3"/>
  <c r="BG429" i="3"/>
  <c r="BM429" i="3"/>
  <c r="BQ429" i="3"/>
  <c r="BT429" i="3"/>
  <c r="BU429" i="3"/>
  <c r="BW429" i="3"/>
  <c r="CA429" i="3"/>
  <c r="CB429" i="3"/>
  <c r="L430" i="3"/>
  <c r="O430" i="3" s="1"/>
  <c r="W430" i="3"/>
  <c r="AA430" i="3"/>
  <c r="AL430" i="3" s="1"/>
  <c r="AE430" i="3"/>
  <c r="AM430" i="3"/>
  <c r="AN430" i="3"/>
  <c r="AQ430" i="3"/>
  <c r="AS430" i="3" s="1"/>
  <c r="AT430" i="3" s="1"/>
  <c r="AW430" i="3"/>
  <c r="AY430" i="3" s="1"/>
  <c r="BD430" i="3"/>
  <c r="BO430" i="3" s="1"/>
  <c r="BF430" i="3"/>
  <c r="BG430" i="3"/>
  <c r="BM430" i="3"/>
  <c r="BQ430" i="3"/>
  <c r="BT430" i="3"/>
  <c r="BU430" i="3"/>
  <c r="BW430" i="3"/>
  <c r="CA430" i="3"/>
  <c r="CB430" i="3"/>
  <c r="L396" i="3"/>
  <c r="O396" i="3" s="1"/>
  <c r="W396" i="3"/>
  <c r="AA396" i="3"/>
  <c r="AL396" i="3" s="1"/>
  <c r="AE396" i="3"/>
  <c r="AM396" i="3"/>
  <c r="AN396" i="3"/>
  <c r="AO396" i="3"/>
  <c r="AP396" i="3"/>
  <c r="AQ396" i="3"/>
  <c r="AS396" i="3" s="1"/>
  <c r="AT396" i="3" s="1"/>
  <c r="AW396" i="3"/>
  <c r="AY396" i="3" s="1"/>
  <c r="BD396" i="3"/>
  <c r="BO396" i="3" s="1"/>
  <c r="BF396" i="3"/>
  <c r="BG396" i="3"/>
  <c r="BM396" i="3"/>
  <c r="BQ396" i="3"/>
  <c r="BT396" i="3"/>
  <c r="BU396" i="3"/>
  <c r="BW396" i="3"/>
  <c r="CA396" i="3"/>
  <c r="CB396" i="3"/>
  <c r="L397" i="3"/>
  <c r="O397" i="3" s="1"/>
  <c r="W397" i="3"/>
  <c r="AA397" i="3"/>
  <c r="AL397" i="3" s="1"/>
  <c r="AE397" i="3"/>
  <c r="AF397" i="3" s="1"/>
  <c r="AM397" i="3"/>
  <c r="AN397" i="3"/>
  <c r="AO397" i="3"/>
  <c r="AP397" i="3"/>
  <c r="AQ397" i="3"/>
  <c r="AS397" i="3" s="1"/>
  <c r="AT397" i="3" s="1"/>
  <c r="AW397" i="3"/>
  <c r="AY397" i="3" s="1"/>
  <c r="BD397" i="3"/>
  <c r="BO397" i="3" s="1"/>
  <c r="BF397" i="3"/>
  <c r="BG397" i="3"/>
  <c r="BM397" i="3"/>
  <c r="BQ397" i="3"/>
  <c r="BT397" i="3"/>
  <c r="BU397" i="3"/>
  <c r="BW397" i="3"/>
  <c r="CA397" i="3"/>
  <c r="CB397" i="3"/>
  <c r="L398" i="3"/>
  <c r="O398" i="3" s="1"/>
  <c r="W398" i="3"/>
  <c r="AA398" i="3"/>
  <c r="AL398" i="3" s="1"/>
  <c r="AE398" i="3"/>
  <c r="AM398" i="3"/>
  <c r="AN398" i="3"/>
  <c r="AO398" i="3"/>
  <c r="AP398" i="3"/>
  <c r="AQ398" i="3"/>
  <c r="AW398" i="3"/>
  <c r="AY398" i="3" s="1"/>
  <c r="BD398" i="3"/>
  <c r="BO398" i="3" s="1"/>
  <c r="BF398" i="3"/>
  <c r="BG398" i="3"/>
  <c r="BM398" i="3"/>
  <c r="BQ398" i="3"/>
  <c r="BT398" i="3"/>
  <c r="BU398" i="3"/>
  <c r="BW398" i="3"/>
  <c r="CA398" i="3"/>
  <c r="CB398" i="3"/>
  <c r="L399" i="3"/>
  <c r="O399" i="3" s="1"/>
  <c r="W399" i="3"/>
  <c r="AA399" i="3"/>
  <c r="AL399" i="3" s="1"/>
  <c r="AE399" i="3"/>
  <c r="AF399" i="3" s="1"/>
  <c r="AM399" i="3"/>
  <c r="AN399" i="3"/>
  <c r="AO399" i="3"/>
  <c r="AP399" i="3"/>
  <c r="AQ399" i="3"/>
  <c r="AS399" i="3" s="1"/>
  <c r="AT399" i="3" s="1"/>
  <c r="AW399" i="3"/>
  <c r="AY399" i="3" s="1"/>
  <c r="BD399" i="3"/>
  <c r="BO399" i="3" s="1"/>
  <c r="BF399" i="3"/>
  <c r="BG399" i="3"/>
  <c r="BM399" i="3"/>
  <c r="BQ399" i="3"/>
  <c r="BT399" i="3"/>
  <c r="BU399" i="3"/>
  <c r="BW399" i="3"/>
  <c r="CA399" i="3"/>
  <c r="CB399" i="3"/>
  <c r="L400" i="3"/>
  <c r="O400" i="3" s="1"/>
  <c r="W400" i="3"/>
  <c r="AA400" i="3"/>
  <c r="AL400" i="3" s="1"/>
  <c r="AE400" i="3"/>
  <c r="AM400" i="3"/>
  <c r="AN400" i="3"/>
  <c r="AO400" i="3"/>
  <c r="AP400" i="3"/>
  <c r="AQ400" i="3"/>
  <c r="AS400" i="3" s="1"/>
  <c r="AT400" i="3" s="1"/>
  <c r="AW400" i="3"/>
  <c r="AY400" i="3" s="1"/>
  <c r="BD400" i="3"/>
  <c r="BO400" i="3" s="1"/>
  <c r="BF400" i="3"/>
  <c r="BG400" i="3"/>
  <c r="BM400" i="3"/>
  <c r="BQ400" i="3"/>
  <c r="BT400" i="3"/>
  <c r="BU400" i="3"/>
  <c r="BW400" i="3"/>
  <c r="CA400" i="3"/>
  <c r="CB400" i="3"/>
  <c r="L401" i="3"/>
  <c r="O401" i="3" s="1"/>
  <c r="W401" i="3"/>
  <c r="AA401" i="3"/>
  <c r="AL401" i="3" s="1"/>
  <c r="AE401" i="3"/>
  <c r="AF401" i="3" s="1"/>
  <c r="AM401" i="3"/>
  <c r="AN401" i="3"/>
  <c r="AO401" i="3"/>
  <c r="AP401" i="3"/>
  <c r="AQ401" i="3"/>
  <c r="AS401" i="3" s="1"/>
  <c r="AT401" i="3" s="1"/>
  <c r="AW401" i="3"/>
  <c r="AY401" i="3" s="1"/>
  <c r="BD401" i="3"/>
  <c r="BO401" i="3" s="1"/>
  <c r="BF401" i="3"/>
  <c r="BG401" i="3"/>
  <c r="BM401" i="3"/>
  <c r="BQ401" i="3"/>
  <c r="BT401" i="3"/>
  <c r="BU401" i="3"/>
  <c r="BW401" i="3"/>
  <c r="CA401" i="3"/>
  <c r="CB401" i="3"/>
  <c r="L402" i="3"/>
  <c r="O402" i="3" s="1"/>
  <c r="W402" i="3"/>
  <c r="AA402" i="3"/>
  <c r="AL402" i="3" s="1"/>
  <c r="AE402" i="3"/>
  <c r="AF402" i="3" s="1"/>
  <c r="AM402" i="3"/>
  <c r="AN402" i="3"/>
  <c r="AO402" i="3"/>
  <c r="AP402" i="3"/>
  <c r="AQ402" i="3"/>
  <c r="AW402" i="3"/>
  <c r="AY402" i="3" s="1"/>
  <c r="BD402" i="3"/>
  <c r="BO402" i="3" s="1"/>
  <c r="BF402" i="3"/>
  <c r="BG402" i="3"/>
  <c r="BM402" i="3"/>
  <c r="BQ402" i="3"/>
  <c r="BT402" i="3"/>
  <c r="BU402" i="3"/>
  <c r="BW402" i="3"/>
  <c r="CA402" i="3"/>
  <c r="CB402" i="3"/>
  <c r="L403" i="3"/>
  <c r="O403" i="3" s="1"/>
  <c r="W403" i="3"/>
  <c r="AA403" i="3"/>
  <c r="AL403" i="3" s="1"/>
  <c r="AE403" i="3"/>
  <c r="AM403" i="3"/>
  <c r="AN403" i="3"/>
  <c r="AO403" i="3"/>
  <c r="AP403" i="3"/>
  <c r="AQ403" i="3"/>
  <c r="AS403" i="3" s="1"/>
  <c r="AT403" i="3" s="1"/>
  <c r="AW403" i="3"/>
  <c r="AY403" i="3" s="1"/>
  <c r="BD403" i="3"/>
  <c r="BO403" i="3" s="1"/>
  <c r="BF403" i="3"/>
  <c r="BG403" i="3"/>
  <c r="BM403" i="3"/>
  <c r="BQ403" i="3"/>
  <c r="BT403" i="3"/>
  <c r="BU403" i="3"/>
  <c r="BW403" i="3"/>
  <c r="CA403" i="3"/>
  <c r="CB403" i="3"/>
  <c r="L404" i="3"/>
  <c r="O404" i="3" s="1"/>
  <c r="W404" i="3"/>
  <c r="AA404" i="3"/>
  <c r="AL404" i="3" s="1"/>
  <c r="AE404" i="3"/>
  <c r="AM404" i="3"/>
  <c r="AN404" i="3"/>
  <c r="AO404" i="3"/>
  <c r="AP404" i="3"/>
  <c r="AQ404" i="3"/>
  <c r="AS404" i="3" s="1"/>
  <c r="AT404" i="3" s="1"/>
  <c r="AW404" i="3"/>
  <c r="AY404" i="3" s="1"/>
  <c r="BD404" i="3"/>
  <c r="BO404" i="3" s="1"/>
  <c r="BF404" i="3"/>
  <c r="BG404" i="3"/>
  <c r="BM404" i="3"/>
  <c r="BQ404" i="3"/>
  <c r="BT404" i="3"/>
  <c r="BU404" i="3"/>
  <c r="BW404" i="3"/>
  <c r="CA404" i="3"/>
  <c r="CB404" i="3"/>
  <c r="L405" i="3"/>
  <c r="O405" i="3" s="1"/>
  <c r="W405" i="3"/>
  <c r="AA405" i="3"/>
  <c r="AL405" i="3" s="1"/>
  <c r="AE405" i="3"/>
  <c r="AF405" i="3" s="1"/>
  <c r="AM405" i="3"/>
  <c r="AN405" i="3"/>
  <c r="AO405" i="3"/>
  <c r="AP405" i="3"/>
  <c r="AQ405" i="3"/>
  <c r="AS405" i="3" s="1"/>
  <c r="AT405" i="3" s="1"/>
  <c r="AW405" i="3"/>
  <c r="AY405" i="3" s="1"/>
  <c r="BD405" i="3"/>
  <c r="BO405" i="3" s="1"/>
  <c r="BF405" i="3"/>
  <c r="BG405" i="3"/>
  <c r="BM405" i="3"/>
  <c r="BQ405" i="3"/>
  <c r="BT405" i="3"/>
  <c r="BU405" i="3"/>
  <c r="BW405" i="3"/>
  <c r="CA405" i="3"/>
  <c r="CB405" i="3"/>
  <c r="L406" i="3"/>
  <c r="O406" i="3" s="1"/>
  <c r="W406" i="3"/>
  <c r="AA406" i="3"/>
  <c r="AL406" i="3" s="1"/>
  <c r="AE406" i="3"/>
  <c r="AM406" i="3"/>
  <c r="AN406" i="3"/>
  <c r="AO406" i="3"/>
  <c r="AP406" i="3"/>
  <c r="AQ406" i="3"/>
  <c r="AS406" i="3" s="1"/>
  <c r="AT406" i="3" s="1"/>
  <c r="AW406" i="3"/>
  <c r="AY406" i="3" s="1"/>
  <c r="BD406" i="3"/>
  <c r="BO406" i="3" s="1"/>
  <c r="BF406" i="3"/>
  <c r="BG406" i="3"/>
  <c r="BM406" i="3"/>
  <c r="BQ406" i="3"/>
  <c r="BT406" i="3"/>
  <c r="BU406" i="3"/>
  <c r="BW406" i="3"/>
  <c r="CA406" i="3"/>
  <c r="CB406" i="3"/>
  <c r="L407" i="3"/>
  <c r="O407" i="3" s="1"/>
  <c r="W407" i="3"/>
  <c r="AA407" i="3"/>
  <c r="AL407" i="3" s="1"/>
  <c r="AE407" i="3"/>
  <c r="AM407" i="3"/>
  <c r="AN407" i="3"/>
  <c r="AO407" i="3"/>
  <c r="AP407" i="3"/>
  <c r="AQ407" i="3"/>
  <c r="AS407" i="3" s="1"/>
  <c r="AT407" i="3" s="1"/>
  <c r="AW407" i="3"/>
  <c r="AY407" i="3" s="1"/>
  <c r="BD407" i="3"/>
  <c r="BO407" i="3" s="1"/>
  <c r="BF407" i="3"/>
  <c r="BG407" i="3"/>
  <c r="BM407" i="3"/>
  <c r="BQ407" i="3"/>
  <c r="BT407" i="3"/>
  <c r="BU407" i="3"/>
  <c r="BW407" i="3"/>
  <c r="CA407" i="3"/>
  <c r="CB407" i="3"/>
  <c r="L408" i="3"/>
  <c r="O408" i="3" s="1"/>
  <c r="W408" i="3"/>
  <c r="AA408" i="3"/>
  <c r="AL408" i="3" s="1"/>
  <c r="AE408" i="3"/>
  <c r="AF408" i="3" s="1"/>
  <c r="AM408" i="3"/>
  <c r="AN408" i="3"/>
  <c r="AO408" i="3"/>
  <c r="AP408" i="3"/>
  <c r="AQ408" i="3"/>
  <c r="AS408" i="3" s="1"/>
  <c r="AT408" i="3" s="1"/>
  <c r="AW408" i="3"/>
  <c r="AY408" i="3" s="1"/>
  <c r="BD408" i="3"/>
  <c r="BO408" i="3" s="1"/>
  <c r="BF408" i="3"/>
  <c r="BG408" i="3"/>
  <c r="BM408" i="3"/>
  <c r="BQ408" i="3"/>
  <c r="BT408" i="3"/>
  <c r="BU408" i="3"/>
  <c r="BW408" i="3"/>
  <c r="CA408" i="3"/>
  <c r="CB408" i="3"/>
  <c r="L409" i="3"/>
  <c r="O409" i="3" s="1"/>
  <c r="W409" i="3"/>
  <c r="AA409" i="3"/>
  <c r="AL409" i="3" s="1"/>
  <c r="AE409" i="3"/>
  <c r="AM409" i="3"/>
  <c r="AN409" i="3"/>
  <c r="AO409" i="3"/>
  <c r="AP409" i="3"/>
  <c r="AQ409" i="3"/>
  <c r="AS409" i="3" s="1"/>
  <c r="AT409" i="3" s="1"/>
  <c r="AW409" i="3"/>
  <c r="AY409" i="3" s="1"/>
  <c r="BD409" i="3"/>
  <c r="BO409" i="3" s="1"/>
  <c r="BF409" i="3"/>
  <c r="BG409" i="3"/>
  <c r="BM409" i="3"/>
  <c r="BQ409" i="3"/>
  <c r="BT409" i="3"/>
  <c r="BU409" i="3"/>
  <c r="BW409" i="3"/>
  <c r="CA409" i="3"/>
  <c r="CB409" i="3"/>
  <c r="L410" i="3"/>
  <c r="O410" i="3" s="1"/>
  <c r="W410" i="3"/>
  <c r="AA410" i="3"/>
  <c r="AL410" i="3" s="1"/>
  <c r="AE410" i="3"/>
  <c r="AH410" i="3" s="1"/>
  <c r="AM410" i="3"/>
  <c r="AN410" i="3"/>
  <c r="AO410" i="3"/>
  <c r="AP410" i="3"/>
  <c r="AQ410" i="3"/>
  <c r="AS410" i="3" s="1"/>
  <c r="AT410" i="3" s="1"/>
  <c r="AW410" i="3"/>
  <c r="AY410" i="3" s="1"/>
  <c r="BD410" i="3"/>
  <c r="BO410" i="3" s="1"/>
  <c r="BF410" i="3"/>
  <c r="BG410" i="3"/>
  <c r="BM410" i="3"/>
  <c r="BQ410" i="3"/>
  <c r="BT410" i="3"/>
  <c r="BU410" i="3"/>
  <c r="BW410" i="3"/>
  <c r="CA410" i="3"/>
  <c r="CB410" i="3"/>
  <c r="L411" i="3"/>
  <c r="O411" i="3" s="1"/>
  <c r="W411" i="3"/>
  <c r="AA411" i="3"/>
  <c r="AL411" i="3" s="1"/>
  <c r="AE411" i="3"/>
  <c r="AF411" i="3" s="1"/>
  <c r="AM411" i="3"/>
  <c r="AN411" i="3"/>
  <c r="AO411" i="3"/>
  <c r="AP411" i="3"/>
  <c r="AQ411" i="3"/>
  <c r="AS411" i="3" s="1"/>
  <c r="AT411" i="3" s="1"/>
  <c r="AW411" i="3"/>
  <c r="AY411" i="3" s="1"/>
  <c r="BD411" i="3"/>
  <c r="BO411" i="3" s="1"/>
  <c r="BF411" i="3"/>
  <c r="BG411" i="3"/>
  <c r="BM411" i="3"/>
  <c r="BQ411" i="3"/>
  <c r="BT411" i="3"/>
  <c r="BU411" i="3"/>
  <c r="BW411" i="3"/>
  <c r="CA411" i="3"/>
  <c r="CB411" i="3"/>
  <c r="L412" i="3"/>
  <c r="O412" i="3" s="1"/>
  <c r="W412" i="3"/>
  <c r="AA412" i="3"/>
  <c r="AL412" i="3" s="1"/>
  <c r="AE412" i="3"/>
  <c r="AM412" i="3"/>
  <c r="AN412" i="3"/>
  <c r="AO412" i="3"/>
  <c r="AP412" i="3"/>
  <c r="AQ412" i="3"/>
  <c r="AS412" i="3" s="1"/>
  <c r="AT412" i="3" s="1"/>
  <c r="AW412" i="3"/>
  <c r="AY412" i="3" s="1"/>
  <c r="BD412" i="3"/>
  <c r="BO412" i="3" s="1"/>
  <c r="BF412" i="3"/>
  <c r="BG412" i="3"/>
  <c r="BM412" i="3"/>
  <c r="BQ412" i="3"/>
  <c r="BT412" i="3"/>
  <c r="BU412" i="3"/>
  <c r="BW412" i="3"/>
  <c r="CA412" i="3"/>
  <c r="CB412" i="3"/>
  <c r="L378" i="3"/>
  <c r="O378" i="3" s="1"/>
  <c r="W378" i="3"/>
  <c r="AA378" i="3"/>
  <c r="AL378" i="3" s="1"/>
  <c r="AE378" i="3"/>
  <c r="AM378" i="3"/>
  <c r="AN378" i="3"/>
  <c r="AO378" i="3"/>
  <c r="AP378" i="3"/>
  <c r="AQ378" i="3"/>
  <c r="AS378" i="3" s="1"/>
  <c r="AT378" i="3" s="1"/>
  <c r="AW378" i="3"/>
  <c r="AY378" i="3" s="1"/>
  <c r="BD378" i="3"/>
  <c r="BO378" i="3" s="1"/>
  <c r="BF378" i="3"/>
  <c r="BG378" i="3"/>
  <c r="BM378" i="3"/>
  <c r="BQ378" i="3"/>
  <c r="BT378" i="3"/>
  <c r="BU378" i="3"/>
  <c r="BW378" i="3"/>
  <c r="CA378" i="3"/>
  <c r="CB378" i="3"/>
  <c r="L379" i="3"/>
  <c r="O379" i="3" s="1"/>
  <c r="W379" i="3"/>
  <c r="AA379" i="3"/>
  <c r="AL379" i="3" s="1"/>
  <c r="AE379" i="3"/>
  <c r="AM379" i="3"/>
  <c r="AN379" i="3"/>
  <c r="AO379" i="3"/>
  <c r="AP379" i="3"/>
  <c r="AQ379" i="3"/>
  <c r="AS379" i="3" s="1"/>
  <c r="AT379" i="3" s="1"/>
  <c r="AW379" i="3"/>
  <c r="AY379" i="3" s="1"/>
  <c r="BD379" i="3"/>
  <c r="BO379" i="3" s="1"/>
  <c r="BF379" i="3"/>
  <c r="BG379" i="3"/>
  <c r="BM379" i="3"/>
  <c r="BQ379" i="3"/>
  <c r="BT379" i="3"/>
  <c r="BU379" i="3"/>
  <c r="BW379" i="3"/>
  <c r="CA379" i="3"/>
  <c r="CB379" i="3"/>
  <c r="L380" i="3"/>
  <c r="O380" i="3" s="1"/>
  <c r="W380" i="3"/>
  <c r="AA380" i="3"/>
  <c r="AL380" i="3" s="1"/>
  <c r="AE380" i="3"/>
  <c r="AM380" i="3"/>
  <c r="AN380" i="3"/>
  <c r="AO380" i="3"/>
  <c r="AP380" i="3"/>
  <c r="AQ380" i="3"/>
  <c r="AS380" i="3" s="1"/>
  <c r="AT380" i="3" s="1"/>
  <c r="AW380" i="3"/>
  <c r="AY380" i="3" s="1"/>
  <c r="BD380" i="3"/>
  <c r="BO380" i="3" s="1"/>
  <c r="BF380" i="3"/>
  <c r="BG380" i="3"/>
  <c r="BM380" i="3"/>
  <c r="BQ380" i="3"/>
  <c r="BT380" i="3"/>
  <c r="BU380" i="3"/>
  <c r="BW380" i="3"/>
  <c r="CA380" i="3"/>
  <c r="CB380" i="3"/>
  <c r="L381" i="3"/>
  <c r="O381" i="3" s="1"/>
  <c r="W381" i="3"/>
  <c r="AA381" i="3"/>
  <c r="AL381" i="3" s="1"/>
  <c r="AE381" i="3"/>
  <c r="AF381" i="3" s="1"/>
  <c r="AM381" i="3"/>
  <c r="AN381" i="3"/>
  <c r="AO381" i="3"/>
  <c r="AP381" i="3"/>
  <c r="AQ381" i="3"/>
  <c r="AS381" i="3" s="1"/>
  <c r="AT381" i="3" s="1"/>
  <c r="AW381" i="3"/>
  <c r="AY381" i="3" s="1"/>
  <c r="BD381" i="3"/>
  <c r="BO381" i="3" s="1"/>
  <c r="BF381" i="3"/>
  <c r="BG381" i="3"/>
  <c r="BM381" i="3"/>
  <c r="BQ381" i="3"/>
  <c r="BT381" i="3"/>
  <c r="BU381" i="3"/>
  <c r="BW381" i="3"/>
  <c r="CA381" i="3"/>
  <c r="CB381" i="3"/>
  <c r="L382" i="3"/>
  <c r="O382" i="3" s="1"/>
  <c r="W382" i="3"/>
  <c r="AA382" i="3"/>
  <c r="AL382" i="3" s="1"/>
  <c r="AE382" i="3"/>
  <c r="AF382" i="3" s="1"/>
  <c r="AM382" i="3"/>
  <c r="AN382" i="3"/>
  <c r="AO382" i="3"/>
  <c r="AP382" i="3"/>
  <c r="AQ382" i="3"/>
  <c r="AS382" i="3" s="1"/>
  <c r="AT382" i="3" s="1"/>
  <c r="AW382" i="3"/>
  <c r="AY382" i="3" s="1"/>
  <c r="BD382" i="3"/>
  <c r="BO382" i="3" s="1"/>
  <c r="BF382" i="3"/>
  <c r="BG382" i="3"/>
  <c r="BM382" i="3"/>
  <c r="BQ382" i="3"/>
  <c r="BT382" i="3"/>
  <c r="BU382" i="3"/>
  <c r="BW382" i="3"/>
  <c r="CA382" i="3"/>
  <c r="CB382" i="3"/>
  <c r="L383" i="3"/>
  <c r="O383" i="3" s="1"/>
  <c r="W383" i="3"/>
  <c r="AA383" i="3"/>
  <c r="AL383" i="3" s="1"/>
  <c r="AE383" i="3"/>
  <c r="AF383" i="3" s="1"/>
  <c r="AM383" i="3"/>
  <c r="AN383" i="3"/>
  <c r="AO383" i="3"/>
  <c r="AP383" i="3"/>
  <c r="AQ383" i="3"/>
  <c r="AS383" i="3" s="1"/>
  <c r="AT383" i="3" s="1"/>
  <c r="AW383" i="3"/>
  <c r="AY383" i="3" s="1"/>
  <c r="BD383" i="3"/>
  <c r="BO383" i="3" s="1"/>
  <c r="BF383" i="3"/>
  <c r="BG383" i="3"/>
  <c r="BM383" i="3"/>
  <c r="BQ383" i="3"/>
  <c r="BT383" i="3"/>
  <c r="BU383" i="3"/>
  <c r="BW383" i="3"/>
  <c r="CA383" i="3"/>
  <c r="CB383" i="3"/>
  <c r="L384" i="3"/>
  <c r="O384" i="3" s="1"/>
  <c r="W384" i="3"/>
  <c r="AA384" i="3"/>
  <c r="AL384" i="3" s="1"/>
  <c r="AE384" i="3"/>
  <c r="AF384" i="3" s="1"/>
  <c r="AM384" i="3"/>
  <c r="AN384" i="3"/>
  <c r="AO384" i="3"/>
  <c r="AP384" i="3"/>
  <c r="AQ384" i="3"/>
  <c r="AS384" i="3" s="1"/>
  <c r="AT384" i="3" s="1"/>
  <c r="AW384" i="3"/>
  <c r="AY384" i="3" s="1"/>
  <c r="BD384" i="3"/>
  <c r="BO384" i="3" s="1"/>
  <c r="BF384" i="3"/>
  <c r="BG384" i="3"/>
  <c r="BM384" i="3"/>
  <c r="BQ384" i="3"/>
  <c r="BT384" i="3"/>
  <c r="BU384" i="3"/>
  <c r="BW384" i="3"/>
  <c r="CA384" i="3"/>
  <c r="CB384" i="3"/>
  <c r="L385" i="3"/>
  <c r="O385" i="3" s="1"/>
  <c r="W385" i="3"/>
  <c r="AA385" i="3"/>
  <c r="AL385" i="3" s="1"/>
  <c r="AE385" i="3"/>
  <c r="AM385" i="3"/>
  <c r="AN385" i="3"/>
  <c r="AO385" i="3"/>
  <c r="AP385" i="3"/>
  <c r="AQ385" i="3"/>
  <c r="AS385" i="3" s="1"/>
  <c r="AT385" i="3" s="1"/>
  <c r="AW385" i="3"/>
  <c r="AY385" i="3" s="1"/>
  <c r="BD385" i="3"/>
  <c r="BO385" i="3" s="1"/>
  <c r="BF385" i="3"/>
  <c r="BG385" i="3"/>
  <c r="BM385" i="3"/>
  <c r="BQ385" i="3"/>
  <c r="BT385" i="3"/>
  <c r="BU385" i="3"/>
  <c r="BW385" i="3"/>
  <c r="CA385" i="3"/>
  <c r="CB385" i="3"/>
  <c r="L386" i="3"/>
  <c r="O386" i="3" s="1"/>
  <c r="W386" i="3"/>
  <c r="AA386" i="3"/>
  <c r="AL386" i="3" s="1"/>
  <c r="AE386" i="3"/>
  <c r="AM386" i="3"/>
  <c r="AN386" i="3"/>
  <c r="AO386" i="3"/>
  <c r="AP386" i="3"/>
  <c r="AQ386" i="3"/>
  <c r="AS386" i="3" s="1"/>
  <c r="AT386" i="3" s="1"/>
  <c r="AW386" i="3"/>
  <c r="AY386" i="3" s="1"/>
  <c r="BD386" i="3"/>
  <c r="BO386" i="3" s="1"/>
  <c r="BF386" i="3"/>
  <c r="BG386" i="3"/>
  <c r="BM386" i="3"/>
  <c r="BQ386" i="3"/>
  <c r="BT386" i="3"/>
  <c r="BU386" i="3"/>
  <c r="BW386" i="3"/>
  <c r="CA386" i="3"/>
  <c r="CB386" i="3"/>
  <c r="L387" i="3"/>
  <c r="O387" i="3" s="1"/>
  <c r="W387" i="3"/>
  <c r="AA387" i="3"/>
  <c r="AL387" i="3" s="1"/>
  <c r="AE387" i="3"/>
  <c r="AF387" i="3" s="1"/>
  <c r="AM387" i="3"/>
  <c r="AN387" i="3"/>
  <c r="AO387" i="3"/>
  <c r="AP387" i="3"/>
  <c r="AQ387" i="3"/>
  <c r="AS387" i="3" s="1"/>
  <c r="AT387" i="3" s="1"/>
  <c r="AW387" i="3"/>
  <c r="AY387" i="3" s="1"/>
  <c r="BD387" i="3"/>
  <c r="BO387" i="3" s="1"/>
  <c r="BF387" i="3"/>
  <c r="BG387" i="3"/>
  <c r="BM387" i="3"/>
  <c r="BQ387" i="3"/>
  <c r="BT387" i="3"/>
  <c r="BU387" i="3"/>
  <c r="BW387" i="3"/>
  <c r="CA387" i="3"/>
  <c r="CB387" i="3"/>
  <c r="L388" i="3"/>
  <c r="O388" i="3" s="1"/>
  <c r="W388" i="3"/>
  <c r="AA388" i="3"/>
  <c r="AL388" i="3" s="1"/>
  <c r="AE388" i="3"/>
  <c r="AH388" i="3" s="1"/>
  <c r="AM388" i="3"/>
  <c r="AN388" i="3"/>
  <c r="AO388" i="3"/>
  <c r="AP388" i="3"/>
  <c r="AQ388" i="3"/>
  <c r="AS388" i="3" s="1"/>
  <c r="AT388" i="3" s="1"/>
  <c r="AW388" i="3"/>
  <c r="AY388" i="3" s="1"/>
  <c r="BD388" i="3"/>
  <c r="BO388" i="3" s="1"/>
  <c r="BF388" i="3"/>
  <c r="BG388" i="3"/>
  <c r="BM388" i="3"/>
  <c r="BQ388" i="3"/>
  <c r="BT388" i="3"/>
  <c r="BU388" i="3"/>
  <c r="BW388" i="3"/>
  <c r="CA388" i="3"/>
  <c r="CB388" i="3"/>
  <c r="L389" i="3"/>
  <c r="O389" i="3" s="1"/>
  <c r="W389" i="3"/>
  <c r="AA389" i="3"/>
  <c r="AL389" i="3" s="1"/>
  <c r="AE389" i="3"/>
  <c r="AH389" i="3" s="1"/>
  <c r="AM389" i="3"/>
  <c r="AN389" i="3"/>
  <c r="AO389" i="3"/>
  <c r="AP389" i="3"/>
  <c r="AQ389" i="3"/>
  <c r="AS389" i="3" s="1"/>
  <c r="AT389" i="3" s="1"/>
  <c r="AW389" i="3"/>
  <c r="AY389" i="3" s="1"/>
  <c r="BD389" i="3"/>
  <c r="BO389" i="3" s="1"/>
  <c r="BF389" i="3"/>
  <c r="BG389" i="3"/>
  <c r="BM389" i="3"/>
  <c r="BQ389" i="3"/>
  <c r="BT389" i="3"/>
  <c r="BU389" i="3"/>
  <c r="BW389" i="3"/>
  <c r="CA389" i="3"/>
  <c r="CB389" i="3"/>
  <c r="L390" i="3"/>
  <c r="O390" i="3" s="1"/>
  <c r="W390" i="3"/>
  <c r="AA390" i="3"/>
  <c r="AL390" i="3" s="1"/>
  <c r="AE390" i="3"/>
  <c r="AH390" i="3" s="1"/>
  <c r="AM390" i="3"/>
  <c r="AN390" i="3"/>
  <c r="AO390" i="3"/>
  <c r="AP390" i="3"/>
  <c r="AQ390" i="3"/>
  <c r="AS390" i="3" s="1"/>
  <c r="AT390" i="3" s="1"/>
  <c r="AW390" i="3"/>
  <c r="AY390" i="3" s="1"/>
  <c r="BD390" i="3"/>
  <c r="BO390" i="3" s="1"/>
  <c r="BF390" i="3"/>
  <c r="BG390" i="3"/>
  <c r="BM390" i="3"/>
  <c r="BQ390" i="3"/>
  <c r="BT390" i="3"/>
  <c r="BU390" i="3"/>
  <c r="BW390" i="3"/>
  <c r="CA390" i="3"/>
  <c r="CB390" i="3"/>
  <c r="L391" i="3"/>
  <c r="O391" i="3" s="1"/>
  <c r="W391" i="3"/>
  <c r="AA391" i="3"/>
  <c r="AL391" i="3" s="1"/>
  <c r="AE391" i="3"/>
  <c r="AM391" i="3"/>
  <c r="AN391" i="3"/>
  <c r="AO391" i="3"/>
  <c r="AP391" i="3"/>
  <c r="AQ391" i="3"/>
  <c r="AS391" i="3" s="1"/>
  <c r="AT391" i="3" s="1"/>
  <c r="AW391" i="3"/>
  <c r="AY391" i="3" s="1"/>
  <c r="BD391" i="3"/>
  <c r="BO391" i="3" s="1"/>
  <c r="BF391" i="3"/>
  <c r="BG391" i="3"/>
  <c r="BM391" i="3"/>
  <c r="BQ391" i="3"/>
  <c r="BT391" i="3"/>
  <c r="BU391" i="3"/>
  <c r="BW391" i="3"/>
  <c r="CA391" i="3"/>
  <c r="CB391" i="3"/>
  <c r="L392" i="3"/>
  <c r="O392" i="3" s="1"/>
  <c r="W392" i="3"/>
  <c r="AA392" i="3"/>
  <c r="AL392" i="3" s="1"/>
  <c r="AE392" i="3"/>
  <c r="AH392" i="3" s="1"/>
  <c r="AM392" i="3"/>
  <c r="AN392" i="3"/>
  <c r="AO392" i="3"/>
  <c r="AP392" i="3"/>
  <c r="AQ392" i="3"/>
  <c r="AS392" i="3" s="1"/>
  <c r="AT392" i="3" s="1"/>
  <c r="AW392" i="3"/>
  <c r="AY392" i="3" s="1"/>
  <c r="BD392" i="3"/>
  <c r="BO392" i="3" s="1"/>
  <c r="BF392" i="3"/>
  <c r="BG392" i="3"/>
  <c r="BM392" i="3"/>
  <c r="BQ392" i="3"/>
  <c r="BT392" i="3"/>
  <c r="BU392" i="3"/>
  <c r="BW392" i="3"/>
  <c r="CA392" i="3"/>
  <c r="CB392" i="3"/>
  <c r="L393" i="3"/>
  <c r="O393" i="3" s="1"/>
  <c r="W393" i="3"/>
  <c r="AA393" i="3"/>
  <c r="AL393" i="3" s="1"/>
  <c r="AE393" i="3"/>
  <c r="AF393" i="3" s="1"/>
  <c r="AM393" i="3"/>
  <c r="AN393" i="3"/>
  <c r="AO393" i="3"/>
  <c r="AP393" i="3"/>
  <c r="AQ393" i="3"/>
  <c r="AS393" i="3" s="1"/>
  <c r="AT393" i="3" s="1"/>
  <c r="AW393" i="3"/>
  <c r="AY393" i="3" s="1"/>
  <c r="BD393" i="3"/>
  <c r="BO393" i="3" s="1"/>
  <c r="BF393" i="3"/>
  <c r="BG393" i="3"/>
  <c r="BM393" i="3"/>
  <c r="BQ393" i="3"/>
  <c r="BT393" i="3"/>
  <c r="BU393" i="3"/>
  <c r="BW393" i="3"/>
  <c r="CA393" i="3"/>
  <c r="CB393" i="3"/>
  <c r="L394" i="3"/>
  <c r="O394" i="3" s="1"/>
  <c r="W394" i="3"/>
  <c r="AA394" i="3"/>
  <c r="AL394" i="3" s="1"/>
  <c r="AE394" i="3"/>
  <c r="AM394" i="3"/>
  <c r="AN394" i="3"/>
  <c r="AO394" i="3"/>
  <c r="AP394" i="3"/>
  <c r="AQ394" i="3"/>
  <c r="AS394" i="3" s="1"/>
  <c r="AT394" i="3" s="1"/>
  <c r="AW394" i="3"/>
  <c r="AY394" i="3" s="1"/>
  <c r="BD394" i="3"/>
  <c r="BO394" i="3" s="1"/>
  <c r="BF394" i="3"/>
  <c r="BG394" i="3"/>
  <c r="BM394" i="3"/>
  <c r="BQ394" i="3"/>
  <c r="BT394" i="3"/>
  <c r="BU394" i="3"/>
  <c r="BW394" i="3"/>
  <c r="CA394" i="3"/>
  <c r="CB394" i="3"/>
  <c r="L360" i="3"/>
  <c r="O360" i="3" s="1"/>
  <c r="W360" i="3"/>
  <c r="AA360" i="3"/>
  <c r="AL360" i="3" s="1"/>
  <c r="AE360" i="3"/>
  <c r="AM360" i="3"/>
  <c r="AN360" i="3"/>
  <c r="AO360" i="3"/>
  <c r="AP360" i="3"/>
  <c r="AQ360" i="3"/>
  <c r="AS360" i="3" s="1"/>
  <c r="AT360" i="3" s="1"/>
  <c r="AW360" i="3"/>
  <c r="AY360" i="3" s="1"/>
  <c r="BD360" i="3"/>
  <c r="BO360" i="3" s="1"/>
  <c r="BF360" i="3"/>
  <c r="BG360" i="3"/>
  <c r="BM360" i="3"/>
  <c r="BQ360" i="3"/>
  <c r="BT360" i="3"/>
  <c r="BU360" i="3"/>
  <c r="BW360" i="3"/>
  <c r="CA360" i="3"/>
  <c r="CB360" i="3"/>
  <c r="L361" i="3"/>
  <c r="O361" i="3" s="1"/>
  <c r="W361" i="3"/>
  <c r="AA361" i="3"/>
  <c r="AL361" i="3" s="1"/>
  <c r="AE361" i="3"/>
  <c r="AF361" i="3" s="1"/>
  <c r="AM361" i="3"/>
  <c r="AN361" i="3"/>
  <c r="AO361" i="3"/>
  <c r="AP361" i="3"/>
  <c r="AQ361" i="3"/>
  <c r="AS361" i="3" s="1"/>
  <c r="AT361" i="3" s="1"/>
  <c r="AW361" i="3"/>
  <c r="AY361" i="3" s="1"/>
  <c r="BD361" i="3"/>
  <c r="BO361" i="3" s="1"/>
  <c r="BF361" i="3"/>
  <c r="BG361" i="3"/>
  <c r="BM361" i="3"/>
  <c r="BQ361" i="3"/>
  <c r="BT361" i="3"/>
  <c r="BU361" i="3"/>
  <c r="BW361" i="3"/>
  <c r="CA361" i="3"/>
  <c r="CB361" i="3"/>
  <c r="L362" i="3"/>
  <c r="O362" i="3" s="1"/>
  <c r="W362" i="3"/>
  <c r="AA362" i="3"/>
  <c r="AL362" i="3" s="1"/>
  <c r="AE362" i="3"/>
  <c r="AH362" i="3" s="1"/>
  <c r="AM362" i="3"/>
  <c r="AN362" i="3"/>
  <c r="AO362" i="3"/>
  <c r="AP362" i="3"/>
  <c r="AQ362" i="3"/>
  <c r="AS362" i="3" s="1"/>
  <c r="AT362" i="3" s="1"/>
  <c r="AW362" i="3"/>
  <c r="AY362" i="3" s="1"/>
  <c r="BD362" i="3"/>
  <c r="BO362" i="3" s="1"/>
  <c r="BF362" i="3"/>
  <c r="BG362" i="3"/>
  <c r="BM362" i="3"/>
  <c r="BQ362" i="3"/>
  <c r="BT362" i="3"/>
  <c r="BU362" i="3"/>
  <c r="BW362" i="3"/>
  <c r="CA362" i="3"/>
  <c r="CB362" i="3"/>
  <c r="L363" i="3"/>
  <c r="O363" i="3" s="1"/>
  <c r="W363" i="3"/>
  <c r="AA363" i="3"/>
  <c r="AL363" i="3" s="1"/>
  <c r="AE363" i="3"/>
  <c r="AM363" i="3"/>
  <c r="AN363" i="3"/>
  <c r="AO363" i="3"/>
  <c r="AP363" i="3"/>
  <c r="AQ363" i="3"/>
  <c r="AS363" i="3" s="1"/>
  <c r="AT363" i="3" s="1"/>
  <c r="AW363" i="3"/>
  <c r="AY363" i="3" s="1"/>
  <c r="BD363" i="3"/>
  <c r="BO363" i="3" s="1"/>
  <c r="BF363" i="3"/>
  <c r="BG363" i="3"/>
  <c r="BM363" i="3"/>
  <c r="BQ363" i="3"/>
  <c r="BT363" i="3"/>
  <c r="BU363" i="3"/>
  <c r="BW363" i="3"/>
  <c r="CA363" i="3"/>
  <c r="CB363" i="3"/>
  <c r="L364" i="3"/>
  <c r="O364" i="3" s="1"/>
  <c r="W364" i="3"/>
  <c r="AA364" i="3"/>
  <c r="AL364" i="3" s="1"/>
  <c r="AE364" i="3"/>
  <c r="AF364" i="3" s="1"/>
  <c r="AM364" i="3"/>
  <c r="AN364" i="3"/>
  <c r="AO364" i="3"/>
  <c r="AP364" i="3"/>
  <c r="AQ364" i="3"/>
  <c r="AS364" i="3" s="1"/>
  <c r="AT364" i="3" s="1"/>
  <c r="AW364" i="3"/>
  <c r="AY364" i="3" s="1"/>
  <c r="BD364" i="3"/>
  <c r="BO364" i="3" s="1"/>
  <c r="BF364" i="3"/>
  <c r="BG364" i="3"/>
  <c r="BM364" i="3"/>
  <c r="BQ364" i="3"/>
  <c r="BT364" i="3"/>
  <c r="BU364" i="3"/>
  <c r="BW364" i="3"/>
  <c r="CA364" i="3"/>
  <c r="CB364" i="3"/>
  <c r="L365" i="3"/>
  <c r="O365" i="3" s="1"/>
  <c r="W365" i="3"/>
  <c r="AA365" i="3"/>
  <c r="AL365" i="3" s="1"/>
  <c r="AE365" i="3"/>
  <c r="AF365" i="3" s="1"/>
  <c r="AM365" i="3"/>
  <c r="AN365" i="3"/>
  <c r="AO365" i="3"/>
  <c r="AP365" i="3"/>
  <c r="AQ365" i="3"/>
  <c r="AS365" i="3" s="1"/>
  <c r="AT365" i="3" s="1"/>
  <c r="AW365" i="3"/>
  <c r="AY365" i="3" s="1"/>
  <c r="BD365" i="3"/>
  <c r="BO365" i="3" s="1"/>
  <c r="BF365" i="3"/>
  <c r="BG365" i="3"/>
  <c r="BM365" i="3"/>
  <c r="BQ365" i="3"/>
  <c r="BT365" i="3"/>
  <c r="BU365" i="3"/>
  <c r="BW365" i="3"/>
  <c r="CA365" i="3"/>
  <c r="CB365" i="3"/>
  <c r="L366" i="3"/>
  <c r="O366" i="3" s="1"/>
  <c r="W366" i="3"/>
  <c r="AA366" i="3"/>
  <c r="AL366" i="3" s="1"/>
  <c r="AE366" i="3"/>
  <c r="AF366" i="3" s="1"/>
  <c r="AM366" i="3"/>
  <c r="AN366" i="3"/>
  <c r="AO366" i="3"/>
  <c r="AP366" i="3"/>
  <c r="AQ366" i="3"/>
  <c r="AW366" i="3"/>
  <c r="AY366" i="3" s="1"/>
  <c r="BD366" i="3"/>
  <c r="BO366" i="3" s="1"/>
  <c r="BF366" i="3"/>
  <c r="BG366" i="3"/>
  <c r="BM366" i="3"/>
  <c r="BQ366" i="3"/>
  <c r="BT366" i="3"/>
  <c r="BU366" i="3"/>
  <c r="BW366" i="3"/>
  <c r="CA366" i="3"/>
  <c r="CB366" i="3"/>
  <c r="L367" i="3"/>
  <c r="O367" i="3" s="1"/>
  <c r="W367" i="3"/>
  <c r="AA367" i="3"/>
  <c r="AL367" i="3" s="1"/>
  <c r="AE367" i="3"/>
  <c r="AF367" i="3" s="1"/>
  <c r="AM367" i="3"/>
  <c r="AN367" i="3"/>
  <c r="AO367" i="3"/>
  <c r="AP367" i="3"/>
  <c r="AQ367" i="3"/>
  <c r="AS367" i="3" s="1"/>
  <c r="AT367" i="3" s="1"/>
  <c r="AW367" i="3"/>
  <c r="AY367" i="3" s="1"/>
  <c r="BD367" i="3"/>
  <c r="BO367" i="3" s="1"/>
  <c r="BF367" i="3"/>
  <c r="BG367" i="3"/>
  <c r="BM367" i="3"/>
  <c r="BQ367" i="3"/>
  <c r="BT367" i="3"/>
  <c r="BU367" i="3"/>
  <c r="BW367" i="3"/>
  <c r="CA367" i="3"/>
  <c r="CB367" i="3"/>
  <c r="L368" i="3"/>
  <c r="O368" i="3" s="1"/>
  <c r="W368" i="3"/>
  <c r="AA368" i="3"/>
  <c r="AL368" i="3" s="1"/>
  <c r="AE368" i="3"/>
  <c r="AF368" i="3" s="1"/>
  <c r="AM368" i="3"/>
  <c r="AN368" i="3"/>
  <c r="AO368" i="3"/>
  <c r="AP368" i="3"/>
  <c r="AQ368" i="3"/>
  <c r="AS368" i="3" s="1"/>
  <c r="AT368" i="3" s="1"/>
  <c r="AW368" i="3"/>
  <c r="AY368" i="3" s="1"/>
  <c r="BD368" i="3"/>
  <c r="BO368" i="3" s="1"/>
  <c r="BF368" i="3"/>
  <c r="BG368" i="3"/>
  <c r="BM368" i="3"/>
  <c r="BQ368" i="3"/>
  <c r="BT368" i="3"/>
  <c r="BU368" i="3"/>
  <c r="BW368" i="3"/>
  <c r="CA368" i="3"/>
  <c r="CB368" i="3"/>
  <c r="L369" i="3"/>
  <c r="O369" i="3" s="1"/>
  <c r="W369" i="3"/>
  <c r="AA369" i="3"/>
  <c r="AL369" i="3" s="1"/>
  <c r="AE369" i="3"/>
  <c r="AF369" i="3" s="1"/>
  <c r="AM369" i="3"/>
  <c r="AN369" i="3"/>
  <c r="AO369" i="3"/>
  <c r="AP369" i="3"/>
  <c r="AQ369" i="3"/>
  <c r="AS369" i="3" s="1"/>
  <c r="AT369" i="3" s="1"/>
  <c r="AW369" i="3"/>
  <c r="AY369" i="3" s="1"/>
  <c r="BD369" i="3"/>
  <c r="BO369" i="3" s="1"/>
  <c r="BF369" i="3"/>
  <c r="BG369" i="3"/>
  <c r="BM369" i="3"/>
  <c r="BQ369" i="3"/>
  <c r="BT369" i="3"/>
  <c r="BU369" i="3"/>
  <c r="BW369" i="3"/>
  <c r="CA369" i="3"/>
  <c r="CB369" i="3"/>
  <c r="L370" i="3"/>
  <c r="O370" i="3" s="1"/>
  <c r="W370" i="3"/>
  <c r="AA370" i="3"/>
  <c r="AL370" i="3" s="1"/>
  <c r="AE370" i="3"/>
  <c r="AM370" i="3"/>
  <c r="AN370" i="3"/>
  <c r="AO370" i="3"/>
  <c r="AP370" i="3"/>
  <c r="AQ370" i="3"/>
  <c r="AS370" i="3" s="1"/>
  <c r="AT370" i="3" s="1"/>
  <c r="AW370" i="3"/>
  <c r="AY370" i="3" s="1"/>
  <c r="BD370" i="3"/>
  <c r="BO370" i="3" s="1"/>
  <c r="BF370" i="3"/>
  <c r="BG370" i="3"/>
  <c r="BM370" i="3"/>
  <c r="BQ370" i="3"/>
  <c r="BT370" i="3"/>
  <c r="BU370" i="3"/>
  <c r="BW370" i="3"/>
  <c r="CA370" i="3"/>
  <c r="CB370" i="3"/>
  <c r="L371" i="3"/>
  <c r="O371" i="3" s="1"/>
  <c r="W371" i="3"/>
  <c r="AA371" i="3"/>
  <c r="AL371" i="3" s="1"/>
  <c r="AE371" i="3"/>
  <c r="AM371" i="3"/>
  <c r="AN371" i="3"/>
  <c r="AO371" i="3"/>
  <c r="AP371" i="3"/>
  <c r="AQ371" i="3"/>
  <c r="AS371" i="3" s="1"/>
  <c r="AT371" i="3" s="1"/>
  <c r="AW371" i="3"/>
  <c r="AY371" i="3" s="1"/>
  <c r="BD371" i="3"/>
  <c r="BO371" i="3" s="1"/>
  <c r="BF371" i="3"/>
  <c r="BG371" i="3"/>
  <c r="BM371" i="3"/>
  <c r="BQ371" i="3"/>
  <c r="BT371" i="3"/>
  <c r="BU371" i="3"/>
  <c r="BW371" i="3"/>
  <c r="CA371" i="3"/>
  <c r="CB371" i="3"/>
  <c r="L372" i="3"/>
  <c r="O372" i="3" s="1"/>
  <c r="W372" i="3"/>
  <c r="AA372" i="3"/>
  <c r="AL372" i="3" s="1"/>
  <c r="AE372" i="3"/>
  <c r="AF372" i="3" s="1"/>
  <c r="AM372" i="3"/>
  <c r="AN372" i="3"/>
  <c r="AO372" i="3"/>
  <c r="AP372" i="3"/>
  <c r="AQ372" i="3"/>
  <c r="AS372" i="3" s="1"/>
  <c r="AT372" i="3" s="1"/>
  <c r="AW372" i="3"/>
  <c r="AY372" i="3" s="1"/>
  <c r="BD372" i="3"/>
  <c r="BO372" i="3" s="1"/>
  <c r="BF372" i="3"/>
  <c r="BG372" i="3"/>
  <c r="BM372" i="3"/>
  <c r="BQ372" i="3"/>
  <c r="BT372" i="3"/>
  <c r="BU372" i="3"/>
  <c r="BW372" i="3"/>
  <c r="CA372" i="3"/>
  <c r="CB372" i="3"/>
  <c r="L373" i="3"/>
  <c r="O373" i="3" s="1"/>
  <c r="W373" i="3"/>
  <c r="AA373" i="3"/>
  <c r="AL373" i="3" s="1"/>
  <c r="AE373" i="3"/>
  <c r="AH373" i="3" s="1"/>
  <c r="AM373" i="3"/>
  <c r="AN373" i="3"/>
  <c r="AO373" i="3"/>
  <c r="AP373" i="3"/>
  <c r="AQ373" i="3"/>
  <c r="AS373" i="3" s="1"/>
  <c r="AT373" i="3" s="1"/>
  <c r="AW373" i="3"/>
  <c r="AY373" i="3" s="1"/>
  <c r="BD373" i="3"/>
  <c r="BO373" i="3" s="1"/>
  <c r="BF373" i="3"/>
  <c r="BG373" i="3"/>
  <c r="BM373" i="3"/>
  <c r="BQ373" i="3"/>
  <c r="BT373" i="3"/>
  <c r="BU373" i="3"/>
  <c r="BW373" i="3"/>
  <c r="CA373" i="3"/>
  <c r="CB373" i="3"/>
  <c r="L374" i="3"/>
  <c r="O374" i="3" s="1"/>
  <c r="W374" i="3"/>
  <c r="AA374" i="3"/>
  <c r="AL374" i="3" s="1"/>
  <c r="AE374" i="3"/>
  <c r="AH374" i="3" s="1"/>
  <c r="AM374" i="3"/>
  <c r="AN374" i="3"/>
  <c r="AO374" i="3"/>
  <c r="AP374" i="3"/>
  <c r="AQ374" i="3"/>
  <c r="AS374" i="3" s="1"/>
  <c r="AT374" i="3" s="1"/>
  <c r="AW374" i="3"/>
  <c r="AY374" i="3" s="1"/>
  <c r="BD374" i="3"/>
  <c r="BO374" i="3" s="1"/>
  <c r="BF374" i="3"/>
  <c r="BG374" i="3"/>
  <c r="BM374" i="3"/>
  <c r="BQ374" i="3"/>
  <c r="BT374" i="3"/>
  <c r="BU374" i="3"/>
  <c r="BW374" i="3"/>
  <c r="CA374" i="3"/>
  <c r="CB374" i="3"/>
  <c r="L375" i="3"/>
  <c r="O375" i="3" s="1"/>
  <c r="W375" i="3"/>
  <c r="AA375" i="3"/>
  <c r="AL375" i="3" s="1"/>
  <c r="AE375" i="3"/>
  <c r="AM375" i="3"/>
  <c r="AN375" i="3"/>
  <c r="AO375" i="3"/>
  <c r="AP375" i="3"/>
  <c r="AQ375" i="3"/>
  <c r="AS375" i="3" s="1"/>
  <c r="AT375" i="3" s="1"/>
  <c r="AW375" i="3"/>
  <c r="AY375" i="3" s="1"/>
  <c r="BD375" i="3"/>
  <c r="BO375" i="3" s="1"/>
  <c r="BF375" i="3"/>
  <c r="BG375" i="3"/>
  <c r="BM375" i="3"/>
  <c r="BQ375" i="3"/>
  <c r="BT375" i="3"/>
  <c r="BU375" i="3"/>
  <c r="BW375" i="3"/>
  <c r="CA375" i="3"/>
  <c r="CB375" i="3"/>
  <c r="L376" i="3"/>
  <c r="O376" i="3" s="1"/>
  <c r="W376" i="3"/>
  <c r="AA376" i="3"/>
  <c r="AL376" i="3" s="1"/>
  <c r="AE376" i="3"/>
  <c r="AF376" i="3" s="1"/>
  <c r="AM376" i="3"/>
  <c r="AN376" i="3"/>
  <c r="AO376" i="3"/>
  <c r="AP376" i="3"/>
  <c r="AQ376" i="3"/>
  <c r="AS376" i="3" s="1"/>
  <c r="AT376" i="3" s="1"/>
  <c r="AW376" i="3"/>
  <c r="AY376" i="3" s="1"/>
  <c r="BD376" i="3"/>
  <c r="BO376" i="3" s="1"/>
  <c r="BF376" i="3"/>
  <c r="BG376" i="3"/>
  <c r="BM376" i="3"/>
  <c r="BQ376" i="3"/>
  <c r="BT376" i="3"/>
  <c r="BU376" i="3"/>
  <c r="BW376" i="3"/>
  <c r="CA376" i="3"/>
  <c r="CB376" i="3"/>
  <c r="L342" i="3"/>
  <c r="O342" i="3" s="1"/>
  <c r="W342" i="3"/>
  <c r="AA342" i="3"/>
  <c r="AL342" i="3" s="1"/>
  <c r="AE342" i="3"/>
  <c r="AF342" i="3" s="1"/>
  <c r="AM342" i="3"/>
  <c r="AN342" i="3"/>
  <c r="AO342" i="3"/>
  <c r="AP342" i="3"/>
  <c r="AQ342" i="3"/>
  <c r="AS342" i="3" s="1"/>
  <c r="AT342" i="3" s="1"/>
  <c r="AW342" i="3"/>
  <c r="AY342" i="3" s="1"/>
  <c r="BD342" i="3"/>
  <c r="BO342" i="3" s="1"/>
  <c r="BF342" i="3"/>
  <c r="BG342" i="3"/>
  <c r="BM342" i="3"/>
  <c r="BQ342" i="3"/>
  <c r="BT342" i="3"/>
  <c r="BU342" i="3"/>
  <c r="BW342" i="3"/>
  <c r="CA342" i="3"/>
  <c r="CB342" i="3"/>
  <c r="L343" i="3"/>
  <c r="O343" i="3" s="1"/>
  <c r="W343" i="3"/>
  <c r="AA343" i="3"/>
  <c r="AL343" i="3" s="1"/>
  <c r="AE343" i="3"/>
  <c r="AF343" i="3" s="1"/>
  <c r="AM343" i="3"/>
  <c r="AN343" i="3"/>
  <c r="AO343" i="3"/>
  <c r="AP343" i="3"/>
  <c r="AQ343" i="3"/>
  <c r="AS343" i="3" s="1"/>
  <c r="AT343" i="3" s="1"/>
  <c r="AW343" i="3"/>
  <c r="AY343" i="3" s="1"/>
  <c r="BD343" i="3"/>
  <c r="BO343" i="3" s="1"/>
  <c r="BF343" i="3"/>
  <c r="BG343" i="3"/>
  <c r="BM343" i="3"/>
  <c r="BQ343" i="3"/>
  <c r="BT343" i="3"/>
  <c r="BU343" i="3"/>
  <c r="BW343" i="3"/>
  <c r="CA343" i="3"/>
  <c r="CB343" i="3"/>
  <c r="L344" i="3"/>
  <c r="O344" i="3" s="1"/>
  <c r="W344" i="3"/>
  <c r="AA344" i="3"/>
  <c r="AL344" i="3" s="1"/>
  <c r="AE344" i="3"/>
  <c r="AM344" i="3"/>
  <c r="AN344" i="3"/>
  <c r="AO344" i="3"/>
  <c r="AP344" i="3"/>
  <c r="AQ344" i="3"/>
  <c r="AS344" i="3" s="1"/>
  <c r="AT344" i="3" s="1"/>
  <c r="AW344" i="3"/>
  <c r="AY344" i="3" s="1"/>
  <c r="BD344" i="3"/>
  <c r="BO344" i="3" s="1"/>
  <c r="BF344" i="3"/>
  <c r="BG344" i="3"/>
  <c r="BM344" i="3"/>
  <c r="BQ344" i="3"/>
  <c r="BT344" i="3"/>
  <c r="BU344" i="3"/>
  <c r="BW344" i="3"/>
  <c r="CA344" i="3"/>
  <c r="CB344" i="3"/>
  <c r="L345" i="3"/>
  <c r="O345" i="3" s="1"/>
  <c r="W345" i="3"/>
  <c r="AA345" i="3"/>
  <c r="AL345" i="3" s="1"/>
  <c r="AE345" i="3"/>
  <c r="AF345" i="3" s="1"/>
  <c r="AM345" i="3"/>
  <c r="AN345" i="3"/>
  <c r="AO345" i="3"/>
  <c r="AP345" i="3"/>
  <c r="AQ345" i="3"/>
  <c r="AS345" i="3" s="1"/>
  <c r="AT345" i="3" s="1"/>
  <c r="AW345" i="3"/>
  <c r="AY345" i="3" s="1"/>
  <c r="BD345" i="3"/>
  <c r="BO345" i="3" s="1"/>
  <c r="BF345" i="3"/>
  <c r="BG345" i="3"/>
  <c r="BM345" i="3"/>
  <c r="BQ345" i="3"/>
  <c r="BT345" i="3"/>
  <c r="BU345" i="3"/>
  <c r="BW345" i="3"/>
  <c r="CA345" i="3"/>
  <c r="CB345" i="3"/>
  <c r="L346" i="3"/>
  <c r="O346" i="3" s="1"/>
  <c r="W346" i="3"/>
  <c r="AA346" i="3"/>
  <c r="AL346" i="3" s="1"/>
  <c r="AE346" i="3"/>
  <c r="AM346" i="3"/>
  <c r="AN346" i="3"/>
  <c r="AO346" i="3"/>
  <c r="AP346" i="3"/>
  <c r="AQ346" i="3"/>
  <c r="AS346" i="3" s="1"/>
  <c r="AT346" i="3" s="1"/>
  <c r="AW346" i="3"/>
  <c r="AY346" i="3" s="1"/>
  <c r="BD346" i="3"/>
  <c r="BO346" i="3" s="1"/>
  <c r="BF346" i="3"/>
  <c r="BG346" i="3"/>
  <c r="BM346" i="3"/>
  <c r="BQ346" i="3"/>
  <c r="BT346" i="3"/>
  <c r="BU346" i="3"/>
  <c r="BW346" i="3"/>
  <c r="CA346" i="3"/>
  <c r="CB346" i="3"/>
  <c r="L347" i="3"/>
  <c r="O347" i="3" s="1"/>
  <c r="W347" i="3"/>
  <c r="AA347" i="3"/>
  <c r="AL347" i="3" s="1"/>
  <c r="AE347" i="3"/>
  <c r="AM347" i="3"/>
  <c r="AN347" i="3"/>
  <c r="AO347" i="3"/>
  <c r="AP347" i="3"/>
  <c r="AQ347" i="3"/>
  <c r="AS347" i="3" s="1"/>
  <c r="AT347" i="3" s="1"/>
  <c r="AW347" i="3"/>
  <c r="AY347" i="3" s="1"/>
  <c r="BD347" i="3"/>
  <c r="BO347" i="3" s="1"/>
  <c r="BF347" i="3"/>
  <c r="BG347" i="3"/>
  <c r="BM347" i="3"/>
  <c r="BQ347" i="3"/>
  <c r="BT347" i="3"/>
  <c r="BU347" i="3"/>
  <c r="BW347" i="3"/>
  <c r="CA347" i="3"/>
  <c r="CB347" i="3"/>
  <c r="L348" i="3"/>
  <c r="O348" i="3" s="1"/>
  <c r="W348" i="3"/>
  <c r="AA348" i="3"/>
  <c r="AL348" i="3" s="1"/>
  <c r="AE348" i="3"/>
  <c r="AF348" i="3" s="1"/>
  <c r="AM348" i="3"/>
  <c r="AN348" i="3"/>
  <c r="AO348" i="3"/>
  <c r="AP348" i="3"/>
  <c r="AQ348" i="3"/>
  <c r="AS348" i="3" s="1"/>
  <c r="AT348" i="3" s="1"/>
  <c r="AW348" i="3"/>
  <c r="AY348" i="3" s="1"/>
  <c r="BD348" i="3"/>
  <c r="BO348" i="3" s="1"/>
  <c r="BF348" i="3"/>
  <c r="BG348" i="3"/>
  <c r="BM348" i="3"/>
  <c r="BQ348" i="3"/>
  <c r="BT348" i="3"/>
  <c r="BU348" i="3"/>
  <c r="BW348" i="3"/>
  <c r="CA348" i="3"/>
  <c r="CB348" i="3"/>
  <c r="L349" i="3"/>
  <c r="O349" i="3" s="1"/>
  <c r="W349" i="3"/>
  <c r="AA349" i="3"/>
  <c r="AL349" i="3" s="1"/>
  <c r="AE349" i="3"/>
  <c r="AM349" i="3"/>
  <c r="AN349" i="3"/>
  <c r="AO349" i="3"/>
  <c r="AP349" i="3"/>
  <c r="AQ349" i="3"/>
  <c r="AS349" i="3" s="1"/>
  <c r="AT349" i="3" s="1"/>
  <c r="AW349" i="3"/>
  <c r="AY349" i="3" s="1"/>
  <c r="BD349" i="3"/>
  <c r="BO349" i="3" s="1"/>
  <c r="BF349" i="3"/>
  <c r="BG349" i="3"/>
  <c r="BM349" i="3"/>
  <c r="BQ349" i="3"/>
  <c r="BT349" i="3"/>
  <c r="BU349" i="3"/>
  <c r="BW349" i="3"/>
  <c r="CA349" i="3"/>
  <c r="CB349" i="3"/>
  <c r="L350" i="3"/>
  <c r="O350" i="3" s="1"/>
  <c r="W350" i="3"/>
  <c r="AA350" i="3"/>
  <c r="AL350" i="3" s="1"/>
  <c r="AE350" i="3"/>
  <c r="AF350" i="3" s="1"/>
  <c r="AM350" i="3"/>
  <c r="AN350" i="3"/>
  <c r="AO350" i="3"/>
  <c r="AP350" i="3"/>
  <c r="AQ350" i="3"/>
  <c r="AS350" i="3" s="1"/>
  <c r="AT350" i="3" s="1"/>
  <c r="AW350" i="3"/>
  <c r="AY350" i="3" s="1"/>
  <c r="BD350" i="3"/>
  <c r="BO350" i="3" s="1"/>
  <c r="BF350" i="3"/>
  <c r="BG350" i="3"/>
  <c r="BM350" i="3"/>
  <c r="BQ350" i="3"/>
  <c r="BT350" i="3"/>
  <c r="BU350" i="3"/>
  <c r="BW350" i="3"/>
  <c r="CA350" i="3"/>
  <c r="CB350" i="3"/>
  <c r="L351" i="3"/>
  <c r="O351" i="3" s="1"/>
  <c r="W351" i="3"/>
  <c r="AA351" i="3"/>
  <c r="AL351" i="3" s="1"/>
  <c r="AE351" i="3"/>
  <c r="AF351" i="3" s="1"/>
  <c r="AM351" i="3"/>
  <c r="AN351" i="3"/>
  <c r="AO351" i="3"/>
  <c r="AP351" i="3"/>
  <c r="AQ351" i="3"/>
  <c r="AS351" i="3" s="1"/>
  <c r="AT351" i="3" s="1"/>
  <c r="AW351" i="3"/>
  <c r="AY351" i="3" s="1"/>
  <c r="BD351" i="3"/>
  <c r="BO351" i="3" s="1"/>
  <c r="BF351" i="3"/>
  <c r="BG351" i="3"/>
  <c r="BM351" i="3"/>
  <c r="BQ351" i="3"/>
  <c r="BT351" i="3"/>
  <c r="BU351" i="3"/>
  <c r="BW351" i="3"/>
  <c r="CA351" i="3"/>
  <c r="CB351" i="3"/>
  <c r="L352" i="3"/>
  <c r="O352" i="3" s="1"/>
  <c r="W352" i="3"/>
  <c r="AA352" i="3"/>
  <c r="AL352" i="3" s="1"/>
  <c r="AE352" i="3"/>
  <c r="AH352" i="3" s="1"/>
  <c r="AM352" i="3"/>
  <c r="AN352" i="3"/>
  <c r="AO352" i="3"/>
  <c r="AP352" i="3"/>
  <c r="AQ352" i="3"/>
  <c r="AS352" i="3" s="1"/>
  <c r="AT352" i="3" s="1"/>
  <c r="AW352" i="3"/>
  <c r="AY352" i="3" s="1"/>
  <c r="BD352" i="3"/>
  <c r="BO352" i="3" s="1"/>
  <c r="BF352" i="3"/>
  <c r="BG352" i="3"/>
  <c r="BM352" i="3"/>
  <c r="BQ352" i="3"/>
  <c r="BT352" i="3"/>
  <c r="BU352" i="3"/>
  <c r="BW352" i="3"/>
  <c r="CA352" i="3"/>
  <c r="CB352" i="3"/>
  <c r="L353" i="3"/>
  <c r="O353" i="3" s="1"/>
  <c r="W353" i="3"/>
  <c r="AA353" i="3"/>
  <c r="AL353" i="3" s="1"/>
  <c r="AE353" i="3"/>
  <c r="AH353" i="3" s="1"/>
  <c r="AM353" i="3"/>
  <c r="AN353" i="3"/>
  <c r="AO353" i="3"/>
  <c r="AP353" i="3"/>
  <c r="AQ353" i="3"/>
  <c r="AS353" i="3" s="1"/>
  <c r="AT353" i="3" s="1"/>
  <c r="AW353" i="3"/>
  <c r="AY353" i="3" s="1"/>
  <c r="BD353" i="3"/>
  <c r="BO353" i="3" s="1"/>
  <c r="BF353" i="3"/>
  <c r="BG353" i="3"/>
  <c r="BM353" i="3"/>
  <c r="BQ353" i="3"/>
  <c r="BT353" i="3"/>
  <c r="BU353" i="3"/>
  <c r="BW353" i="3"/>
  <c r="CA353" i="3"/>
  <c r="CB353" i="3"/>
  <c r="L354" i="3"/>
  <c r="O354" i="3" s="1"/>
  <c r="W354" i="3"/>
  <c r="AA354" i="3"/>
  <c r="AL354" i="3" s="1"/>
  <c r="AE354" i="3"/>
  <c r="AF354" i="3" s="1"/>
  <c r="AM354" i="3"/>
  <c r="AN354" i="3"/>
  <c r="AO354" i="3"/>
  <c r="AP354" i="3"/>
  <c r="AQ354" i="3"/>
  <c r="AW354" i="3"/>
  <c r="AY354" i="3" s="1"/>
  <c r="BD354" i="3"/>
  <c r="BO354" i="3" s="1"/>
  <c r="BF354" i="3"/>
  <c r="BG354" i="3"/>
  <c r="BM354" i="3"/>
  <c r="BQ354" i="3"/>
  <c r="BT354" i="3"/>
  <c r="BU354" i="3"/>
  <c r="BW354" i="3"/>
  <c r="CA354" i="3"/>
  <c r="CB354" i="3"/>
  <c r="L355" i="3"/>
  <c r="O355" i="3" s="1"/>
  <c r="W355" i="3"/>
  <c r="AA355" i="3"/>
  <c r="AL355" i="3" s="1"/>
  <c r="AE355" i="3"/>
  <c r="AF355" i="3" s="1"/>
  <c r="AM355" i="3"/>
  <c r="AN355" i="3"/>
  <c r="AO355" i="3"/>
  <c r="AP355" i="3"/>
  <c r="AQ355" i="3"/>
  <c r="AW355" i="3"/>
  <c r="AY355" i="3" s="1"/>
  <c r="BD355" i="3"/>
  <c r="BO355" i="3" s="1"/>
  <c r="BF355" i="3"/>
  <c r="BG355" i="3"/>
  <c r="BM355" i="3"/>
  <c r="BQ355" i="3"/>
  <c r="BT355" i="3"/>
  <c r="BU355" i="3"/>
  <c r="BW355" i="3"/>
  <c r="CA355" i="3"/>
  <c r="CB355" i="3"/>
  <c r="L356" i="3"/>
  <c r="O356" i="3" s="1"/>
  <c r="W356" i="3"/>
  <c r="AA356" i="3"/>
  <c r="AL356" i="3" s="1"/>
  <c r="AE356" i="3"/>
  <c r="AM356" i="3"/>
  <c r="AN356" i="3"/>
  <c r="AO356" i="3"/>
  <c r="AP356" i="3"/>
  <c r="AQ356" i="3"/>
  <c r="AS356" i="3" s="1"/>
  <c r="AT356" i="3" s="1"/>
  <c r="AW356" i="3"/>
  <c r="AY356" i="3" s="1"/>
  <c r="BD356" i="3"/>
  <c r="BO356" i="3" s="1"/>
  <c r="BF356" i="3"/>
  <c r="BG356" i="3"/>
  <c r="BM356" i="3"/>
  <c r="BQ356" i="3"/>
  <c r="BT356" i="3"/>
  <c r="BU356" i="3"/>
  <c r="BW356" i="3"/>
  <c r="CA356" i="3"/>
  <c r="CB356" i="3"/>
  <c r="L357" i="3"/>
  <c r="O357" i="3" s="1"/>
  <c r="W357" i="3"/>
  <c r="AA357" i="3"/>
  <c r="AL357" i="3" s="1"/>
  <c r="AE357" i="3"/>
  <c r="AH357" i="3" s="1"/>
  <c r="AM357" i="3"/>
  <c r="AN357" i="3"/>
  <c r="AO357" i="3"/>
  <c r="AP357" i="3"/>
  <c r="AQ357" i="3"/>
  <c r="AS357" i="3" s="1"/>
  <c r="AT357" i="3" s="1"/>
  <c r="AW357" i="3"/>
  <c r="AY357" i="3" s="1"/>
  <c r="BD357" i="3"/>
  <c r="BO357" i="3" s="1"/>
  <c r="BF357" i="3"/>
  <c r="BG357" i="3"/>
  <c r="BM357" i="3"/>
  <c r="BQ357" i="3"/>
  <c r="BT357" i="3"/>
  <c r="BU357" i="3"/>
  <c r="BW357" i="3"/>
  <c r="CA357" i="3"/>
  <c r="CB357" i="3"/>
  <c r="L358" i="3"/>
  <c r="O358" i="3" s="1"/>
  <c r="W358" i="3"/>
  <c r="AA358" i="3"/>
  <c r="AL358" i="3" s="1"/>
  <c r="AE358" i="3"/>
  <c r="AF358" i="3" s="1"/>
  <c r="AM358" i="3"/>
  <c r="AN358" i="3"/>
  <c r="AO358" i="3"/>
  <c r="AP358" i="3"/>
  <c r="AQ358" i="3"/>
  <c r="AS358" i="3" s="1"/>
  <c r="AT358" i="3" s="1"/>
  <c r="AW358" i="3"/>
  <c r="AY358" i="3" s="1"/>
  <c r="BD358" i="3"/>
  <c r="BO358" i="3" s="1"/>
  <c r="BF358" i="3"/>
  <c r="BG358" i="3"/>
  <c r="BM358" i="3"/>
  <c r="BQ358" i="3"/>
  <c r="BT358" i="3"/>
  <c r="BU358" i="3"/>
  <c r="BW358" i="3"/>
  <c r="CA358" i="3"/>
  <c r="CB358" i="3"/>
  <c r="L324" i="3"/>
  <c r="O324" i="3" s="1"/>
  <c r="W324" i="3"/>
  <c r="AA324" i="3"/>
  <c r="AL324" i="3" s="1"/>
  <c r="AE324" i="3"/>
  <c r="AF324" i="3" s="1"/>
  <c r="AM324" i="3"/>
  <c r="AN324" i="3"/>
  <c r="AO324" i="3"/>
  <c r="AP324" i="3"/>
  <c r="AQ324" i="3"/>
  <c r="AS324" i="3" s="1"/>
  <c r="AT324" i="3" s="1"/>
  <c r="AW324" i="3"/>
  <c r="AY324" i="3" s="1"/>
  <c r="BD324" i="3"/>
  <c r="BO324" i="3" s="1"/>
  <c r="BF324" i="3"/>
  <c r="BG324" i="3"/>
  <c r="BM324" i="3"/>
  <c r="BQ324" i="3"/>
  <c r="BT324" i="3"/>
  <c r="BU324" i="3"/>
  <c r="BW324" i="3"/>
  <c r="CA324" i="3"/>
  <c r="CB324" i="3"/>
  <c r="L325" i="3"/>
  <c r="O325" i="3" s="1"/>
  <c r="W325" i="3"/>
  <c r="AA325" i="3"/>
  <c r="AL325" i="3" s="1"/>
  <c r="AE325" i="3"/>
  <c r="AF325" i="3" s="1"/>
  <c r="AM325" i="3"/>
  <c r="AN325" i="3"/>
  <c r="AO325" i="3"/>
  <c r="AP325" i="3"/>
  <c r="AQ325" i="3"/>
  <c r="AS325" i="3" s="1"/>
  <c r="AT325" i="3" s="1"/>
  <c r="AW325" i="3"/>
  <c r="AY325" i="3" s="1"/>
  <c r="BD325" i="3"/>
  <c r="BO325" i="3" s="1"/>
  <c r="BF325" i="3"/>
  <c r="BG325" i="3"/>
  <c r="BM325" i="3"/>
  <c r="BQ325" i="3"/>
  <c r="BT325" i="3"/>
  <c r="BU325" i="3"/>
  <c r="BW325" i="3"/>
  <c r="CA325" i="3"/>
  <c r="CB325" i="3"/>
  <c r="L326" i="3"/>
  <c r="O326" i="3" s="1"/>
  <c r="W326" i="3"/>
  <c r="AA326" i="3"/>
  <c r="AL326" i="3" s="1"/>
  <c r="AE326" i="3"/>
  <c r="AH326" i="3" s="1"/>
  <c r="AM326" i="3"/>
  <c r="AN326" i="3"/>
  <c r="AO326" i="3"/>
  <c r="AP326" i="3"/>
  <c r="AQ326" i="3"/>
  <c r="AW326" i="3"/>
  <c r="AY326" i="3" s="1"/>
  <c r="BD326" i="3"/>
  <c r="BO326" i="3" s="1"/>
  <c r="BF326" i="3"/>
  <c r="BG326" i="3"/>
  <c r="BM326" i="3"/>
  <c r="BQ326" i="3"/>
  <c r="BT326" i="3"/>
  <c r="BU326" i="3"/>
  <c r="BW326" i="3"/>
  <c r="CA326" i="3"/>
  <c r="CB326" i="3"/>
  <c r="L327" i="3"/>
  <c r="O327" i="3" s="1"/>
  <c r="W327" i="3"/>
  <c r="AA327" i="3"/>
  <c r="AL327" i="3" s="1"/>
  <c r="AE327" i="3"/>
  <c r="AF327" i="3" s="1"/>
  <c r="AM327" i="3"/>
  <c r="AN327" i="3"/>
  <c r="AO327" i="3"/>
  <c r="AP327" i="3"/>
  <c r="AQ327" i="3"/>
  <c r="AS327" i="3" s="1"/>
  <c r="AT327" i="3" s="1"/>
  <c r="AW327" i="3"/>
  <c r="AY327" i="3" s="1"/>
  <c r="BD327" i="3"/>
  <c r="BO327" i="3" s="1"/>
  <c r="BF327" i="3"/>
  <c r="BG327" i="3"/>
  <c r="BM327" i="3"/>
  <c r="BQ327" i="3"/>
  <c r="BT327" i="3"/>
  <c r="BU327" i="3"/>
  <c r="BW327" i="3"/>
  <c r="CA327" i="3"/>
  <c r="CB327" i="3"/>
  <c r="L328" i="3"/>
  <c r="O328" i="3" s="1"/>
  <c r="W328" i="3"/>
  <c r="AA328" i="3"/>
  <c r="AL328" i="3" s="1"/>
  <c r="AE328" i="3"/>
  <c r="AM328" i="3"/>
  <c r="AN328" i="3"/>
  <c r="AO328" i="3"/>
  <c r="AP328" i="3"/>
  <c r="AQ328" i="3"/>
  <c r="AS328" i="3" s="1"/>
  <c r="AT328" i="3" s="1"/>
  <c r="AW328" i="3"/>
  <c r="AY328" i="3" s="1"/>
  <c r="BD328" i="3"/>
  <c r="BO328" i="3" s="1"/>
  <c r="BF328" i="3"/>
  <c r="BG328" i="3"/>
  <c r="BM328" i="3"/>
  <c r="BQ328" i="3"/>
  <c r="BT328" i="3"/>
  <c r="BU328" i="3"/>
  <c r="BW328" i="3"/>
  <c r="CA328" i="3"/>
  <c r="CB328" i="3"/>
  <c r="L329" i="3"/>
  <c r="O329" i="3" s="1"/>
  <c r="W329" i="3"/>
  <c r="AA329" i="3"/>
  <c r="AL329" i="3" s="1"/>
  <c r="AE329" i="3"/>
  <c r="AM329" i="3"/>
  <c r="AN329" i="3"/>
  <c r="AO329" i="3"/>
  <c r="AP329" i="3"/>
  <c r="AQ329" i="3"/>
  <c r="AS329" i="3" s="1"/>
  <c r="AT329" i="3" s="1"/>
  <c r="AW329" i="3"/>
  <c r="AY329" i="3" s="1"/>
  <c r="BD329" i="3"/>
  <c r="BO329" i="3" s="1"/>
  <c r="BF329" i="3"/>
  <c r="BG329" i="3"/>
  <c r="BM329" i="3"/>
  <c r="BQ329" i="3"/>
  <c r="BT329" i="3"/>
  <c r="BU329" i="3"/>
  <c r="BW329" i="3"/>
  <c r="CA329" i="3"/>
  <c r="CB329" i="3"/>
  <c r="L330" i="3"/>
  <c r="O330" i="3" s="1"/>
  <c r="W330" i="3"/>
  <c r="AA330" i="3"/>
  <c r="AL330" i="3" s="1"/>
  <c r="AE330" i="3"/>
  <c r="AF330" i="3" s="1"/>
  <c r="AM330" i="3"/>
  <c r="AN330" i="3"/>
  <c r="AO330" i="3"/>
  <c r="AP330" i="3"/>
  <c r="AQ330" i="3"/>
  <c r="AS330" i="3" s="1"/>
  <c r="AT330" i="3" s="1"/>
  <c r="AW330" i="3"/>
  <c r="AY330" i="3" s="1"/>
  <c r="BD330" i="3"/>
  <c r="BO330" i="3" s="1"/>
  <c r="BF330" i="3"/>
  <c r="BG330" i="3"/>
  <c r="BM330" i="3"/>
  <c r="BQ330" i="3"/>
  <c r="BT330" i="3"/>
  <c r="BU330" i="3"/>
  <c r="BW330" i="3"/>
  <c r="CA330" i="3"/>
  <c r="CB330" i="3"/>
  <c r="L331" i="3"/>
  <c r="O331" i="3" s="1"/>
  <c r="W331" i="3"/>
  <c r="AA331" i="3"/>
  <c r="AL331" i="3" s="1"/>
  <c r="AE331" i="3"/>
  <c r="AF331" i="3" s="1"/>
  <c r="AM331" i="3"/>
  <c r="AN331" i="3"/>
  <c r="AO331" i="3"/>
  <c r="AP331" i="3"/>
  <c r="AQ331" i="3"/>
  <c r="AS331" i="3" s="1"/>
  <c r="AT331" i="3" s="1"/>
  <c r="AW331" i="3"/>
  <c r="AY331" i="3" s="1"/>
  <c r="BD331" i="3"/>
  <c r="BO331" i="3" s="1"/>
  <c r="BF331" i="3"/>
  <c r="BG331" i="3"/>
  <c r="BM331" i="3"/>
  <c r="BQ331" i="3"/>
  <c r="BT331" i="3"/>
  <c r="BU331" i="3"/>
  <c r="BW331" i="3"/>
  <c r="CA331" i="3"/>
  <c r="CB331" i="3"/>
  <c r="L332" i="3"/>
  <c r="O332" i="3" s="1"/>
  <c r="W332" i="3"/>
  <c r="AA332" i="3"/>
  <c r="AL332" i="3" s="1"/>
  <c r="AE332" i="3"/>
  <c r="AH332" i="3" s="1"/>
  <c r="AM332" i="3"/>
  <c r="AN332" i="3"/>
  <c r="AO332" i="3"/>
  <c r="AP332" i="3"/>
  <c r="AQ332" i="3"/>
  <c r="AS332" i="3" s="1"/>
  <c r="AT332" i="3" s="1"/>
  <c r="AW332" i="3"/>
  <c r="AY332" i="3" s="1"/>
  <c r="BD332" i="3"/>
  <c r="BO332" i="3" s="1"/>
  <c r="BF332" i="3"/>
  <c r="BG332" i="3"/>
  <c r="BM332" i="3"/>
  <c r="BQ332" i="3"/>
  <c r="BT332" i="3"/>
  <c r="BU332" i="3"/>
  <c r="BW332" i="3"/>
  <c r="CA332" i="3"/>
  <c r="CB332" i="3"/>
  <c r="L333" i="3"/>
  <c r="O333" i="3" s="1"/>
  <c r="W333" i="3"/>
  <c r="AA333" i="3"/>
  <c r="AL333" i="3" s="1"/>
  <c r="AE333" i="3"/>
  <c r="AF333" i="3" s="1"/>
  <c r="AM333" i="3"/>
  <c r="AN333" i="3"/>
  <c r="AO333" i="3"/>
  <c r="AP333" i="3"/>
  <c r="AQ333" i="3"/>
  <c r="AS333" i="3" s="1"/>
  <c r="AT333" i="3" s="1"/>
  <c r="AW333" i="3"/>
  <c r="AY333" i="3" s="1"/>
  <c r="BD333" i="3"/>
  <c r="BO333" i="3" s="1"/>
  <c r="BF333" i="3"/>
  <c r="BG333" i="3"/>
  <c r="BM333" i="3"/>
  <c r="BQ333" i="3"/>
  <c r="BT333" i="3"/>
  <c r="BU333" i="3"/>
  <c r="BW333" i="3"/>
  <c r="CA333" i="3"/>
  <c r="CB333" i="3"/>
  <c r="L334" i="3"/>
  <c r="O334" i="3" s="1"/>
  <c r="W334" i="3"/>
  <c r="AA334" i="3"/>
  <c r="AL334" i="3" s="1"/>
  <c r="AE334" i="3"/>
  <c r="AH334" i="3" s="1"/>
  <c r="AM334" i="3"/>
  <c r="AN334" i="3"/>
  <c r="AO334" i="3"/>
  <c r="AP334" i="3"/>
  <c r="AQ334" i="3"/>
  <c r="AW334" i="3"/>
  <c r="AY334" i="3" s="1"/>
  <c r="BD334" i="3"/>
  <c r="BO334" i="3" s="1"/>
  <c r="BF334" i="3"/>
  <c r="BG334" i="3"/>
  <c r="BM334" i="3"/>
  <c r="BQ334" i="3"/>
  <c r="BT334" i="3"/>
  <c r="BU334" i="3"/>
  <c r="BW334" i="3"/>
  <c r="CA334" i="3"/>
  <c r="CB334" i="3"/>
  <c r="L335" i="3"/>
  <c r="O335" i="3" s="1"/>
  <c r="W335" i="3"/>
  <c r="AA335" i="3"/>
  <c r="AL335" i="3" s="1"/>
  <c r="AE335" i="3"/>
  <c r="AF335" i="3" s="1"/>
  <c r="AM335" i="3"/>
  <c r="AN335" i="3"/>
  <c r="AO335" i="3"/>
  <c r="AP335" i="3"/>
  <c r="AQ335" i="3"/>
  <c r="AS335" i="3" s="1"/>
  <c r="AT335" i="3" s="1"/>
  <c r="AW335" i="3"/>
  <c r="AY335" i="3" s="1"/>
  <c r="BD335" i="3"/>
  <c r="BO335" i="3" s="1"/>
  <c r="BF335" i="3"/>
  <c r="BG335" i="3"/>
  <c r="BM335" i="3"/>
  <c r="BQ335" i="3"/>
  <c r="BT335" i="3"/>
  <c r="BU335" i="3"/>
  <c r="BW335" i="3"/>
  <c r="CA335" i="3"/>
  <c r="CB335" i="3"/>
  <c r="L336" i="3"/>
  <c r="O336" i="3" s="1"/>
  <c r="W336" i="3"/>
  <c r="AA336" i="3"/>
  <c r="AL336" i="3" s="1"/>
  <c r="AE336" i="3"/>
  <c r="AM336" i="3"/>
  <c r="AN336" i="3"/>
  <c r="AO336" i="3"/>
  <c r="AP336" i="3"/>
  <c r="AQ336" i="3"/>
  <c r="AS336" i="3" s="1"/>
  <c r="AT336" i="3" s="1"/>
  <c r="AW336" i="3"/>
  <c r="AY336" i="3" s="1"/>
  <c r="BD336" i="3"/>
  <c r="BO336" i="3" s="1"/>
  <c r="BF336" i="3"/>
  <c r="BG336" i="3"/>
  <c r="BM336" i="3"/>
  <c r="BQ336" i="3"/>
  <c r="BT336" i="3"/>
  <c r="BU336" i="3"/>
  <c r="BW336" i="3"/>
  <c r="CA336" i="3"/>
  <c r="CB336" i="3"/>
  <c r="L337" i="3"/>
  <c r="O337" i="3" s="1"/>
  <c r="W337" i="3"/>
  <c r="AA337" i="3"/>
  <c r="AL337" i="3" s="1"/>
  <c r="AE337" i="3"/>
  <c r="AF337" i="3" s="1"/>
  <c r="AM337" i="3"/>
  <c r="AN337" i="3"/>
  <c r="AO337" i="3"/>
  <c r="AP337" i="3"/>
  <c r="AQ337" i="3"/>
  <c r="AS337" i="3" s="1"/>
  <c r="AT337" i="3" s="1"/>
  <c r="AW337" i="3"/>
  <c r="AY337" i="3" s="1"/>
  <c r="BD337" i="3"/>
  <c r="BO337" i="3" s="1"/>
  <c r="BF337" i="3"/>
  <c r="BG337" i="3"/>
  <c r="BM337" i="3"/>
  <c r="BQ337" i="3"/>
  <c r="BT337" i="3"/>
  <c r="BU337" i="3"/>
  <c r="BW337" i="3"/>
  <c r="CA337" i="3"/>
  <c r="CB337" i="3"/>
  <c r="L338" i="3"/>
  <c r="O338" i="3" s="1"/>
  <c r="W338" i="3"/>
  <c r="AA338" i="3"/>
  <c r="AL338" i="3" s="1"/>
  <c r="AE338" i="3"/>
  <c r="AH338" i="3" s="1"/>
  <c r="AM338" i="3"/>
  <c r="AN338" i="3"/>
  <c r="AO338" i="3"/>
  <c r="AP338" i="3"/>
  <c r="AQ338" i="3"/>
  <c r="AW338" i="3"/>
  <c r="AY338" i="3" s="1"/>
  <c r="BD338" i="3"/>
  <c r="BO338" i="3" s="1"/>
  <c r="BF338" i="3"/>
  <c r="BG338" i="3"/>
  <c r="BM338" i="3"/>
  <c r="BQ338" i="3"/>
  <c r="BT338" i="3"/>
  <c r="BU338" i="3"/>
  <c r="BW338" i="3"/>
  <c r="CA338" i="3"/>
  <c r="CB338" i="3"/>
  <c r="L339" i="3"/>
  <c r="O339" i="3" s="1"/>
  <c r="W339" i="3"/>
  <c r="AA339" i="3"/>
  <c r="AL339" i="3" s="1"/>
  <c r="AE339" i="3"/>
  <c r="AF339" i="3" s="1"/>
  <c r="AM339" i="3"/>
  <c r="AN339" i="3"/>
  <c r="AO339" i="3"/>
  <c r="AP339" i="3"/>
  <c r="AQ339" i="3"/>
  <c r="AS339" i="3" s="1"/>
  <c r="AT339" i="3" s="1"/>
  <c r="AW339" i="3"/>
  <c r="AY339" i="3" s="1"/>
  <c r="BD339" i="3"/>
  <c r="BO339" i="3" s="1"/>
  <c r="BF339" i="3"/>
  <c r="BG339" i="3"/>
  <c r="BM339" i="3"/>
  <c r="BQ339" i="3"/>
  <c r="BT339" i="3"/>
  <c r="BU339" i="3"/>
  <c r="BW339" i="3"/>
  <c r="CA339" i="3"/>
  <c r="CB339" i="3"/>
  <c r="L340" i="3"/>
  <c r="O340" i="3" s="1"/>
  <c r="W340" i="3"/>
  <c r="AA340" i="3"/>
  <c r="AL340" i="3" s="1"/>
  <c r="AE340" i="3"/>
  <c r="AM340" i="3"/>
  <c r="AN340" i="3"/>
  <c r="AO340" i="3"/>
  <c r="AP340" i="3"/>
  <c r="AQ340" i="3"/>
  <c r="AS340" i="3" s="1"/>
  <c r="AT340" i="3" s="1"/>
  <c r="AW340" i="3"/>
  <c r="AY340" i="3" s="1"/>
  <c r="BD340" i="3"/>
  <c r="BO340" i="3" s="1"/>
  <c r="BF340" i="3"/>
  <c r="BG340" i="3"/>
  <c r="BM340" i="3"/>
  <c r="BQ340" i="3"/>
  <c r="BT340" i="3"/>
  <c r="BU340" i="3"/>
  <c r="BW340" i="3"/>
  <c r="CA340" i="3"/>
  <c r="CB340" i="3"/>
  <c r="L306" i="3"/>
  <c r="O306" i="3" s="1"/>
  <c r="W306" i="3"/>
  <c r="AA306" i="3"/>
  <c r="AL306" i="3" s="1"/>
  <c r="AE306" i="3"/>
  <c r="AM306" i="3"/>
  <c r="AN306" i="3"/>
  <c r="AO306" i="3"/>
  <c r="AP306" i="3"/>
  <c r="AQ306" i="3"/>
  <c r="AS306" i="3" s="1"/>
  <c r="AT306" i="3" s="1"/>
  <c r="AW306" i="3"/>
  <c r="AY306" i="3" s="1"/>
  <c r="BD306" i="3"/>
  <c r="BO306" i="3" s="1"/>
  <c r="BF306" i="3"/>
  <c r="BG306" i="3"/>
  <c r="BM306" i="3"/>
  <c r="BQ306" i="3"/>
  <c r="BT306" i="3"/>
  <c r="BU306" i="3"/>
  <c r="BW306" i="3"/>
  <c r="CA306" i="3"/>
  <c r="CB306" i="3"/>
  <c r="L307" i="3"/>
  <c r="O307" i="3" s="1"/>
  <c r="W307" i="3"/>
  <c r="AA307" i="3"/>
  <c r="AL307" i="3" s="1"/>
  <c r="AE307" i="3"/>
  <c r="AF307" i="3" s="1"/>
  <c r="AM307" i="3"/>
  <c r="AN307" i="3"/>
  <c r="AO307" i="3"/>
  <c r="AP307" i="3"/>
  <c r="AQ307" i="3"/>
  <c r="AS307" i="3" s="1"/>
  <c r="AT307" i="3" s="1"/>
  <c r="AW307" i="3"/>
  <c r="AY307" i="3" s="1"/>
  <c r="BD307" i="3"/>
  <c r="BO307" i="3" s="1"/>
  <c r="BF307" i="3"/>
  <c r="BG307" i="3"/>
  <c r="BM307" i="3"/>
  <c r="BQ307" i="3"/>
  <c r="BT307" i="3"/>
  <c r="BU307" i="3"/>
  <c r="BW307" i="3"/>
  <c r="CA307" i="3"/>
  <c r="CB307" i="3"/>
  <c r="L308" i="3"/>
  <c r="O308" i="3" s="1"/>
  <c r="W308" i="3"/>
  <c r="AA308" i="3"/>
  <c r="AL308" i="3" s="1"/>
  <c r="AE308" i="3"/>
  <c r="AH308" i="3" s="1"/>
  <c r="AM308" i="3"/>
  <c r="AN308" i="3"/>
  <c r="AO308" i="3"/>
  <c r="AP308" i="3"/>
  <c r="AQ308" i="3"/>
  <c r="AS308" i="3" s="1"/>
  <c r="AT308" i="3" s="1"/>
  <c r="AW308" i="3"/>
  <c r="AY308" i="3" s="1"/>
  <c r="BD308" i="3"/>
  <c r="BO308" i="3" s="1"/>
  <c r="BF308" i="3"/>
  <c r="BG308" i="3"/>
  <c r="BM308" i="3"/>
  <c r="BQ308" i="3"/>
  <c r="BT308" i="3"/>
  <c r="BU308" i="3"/>
  <c r="BW308" i="3"/>
  <c r="CA308" i="3"/>
  <c r="CB308" i="3"/>
  <c r="L309" i="3"/>
  <c r="O309" i="3" s="1"/>
  <c r="W309" i="3"/>
  <c r="AA309" i="3"/>
  <c r="AL309" i="3" s="1"/>
  <c r="AE309" i="3"/>
  <c r="AH309" i="3" s="1"/>
  <c r="AM309" i="3"/>
  <c r="AN309" i="3"/>
  <c r="AO309" i="3"/>
  <c r="AP309" i="3"/>
  <c r="AQ309" i="3"/>
  <c r="AS309" i="3" s="1"/>
  <c r="AT309" i="3" s="1"/>
  <c r="AW309" i="3"/>
  <c r="AY309" i="3" s="1"/>
  <c r="BD309" i="3"/>
  <c r="BO309" i="3" s="1"/>
  <c r="BF309" i="3"/>
  <c r="BG309" i="3"/>
  <c r="BM309" i="3"/>
  <c r="BQ309" i="3"/>
  <c r="BT309" i="3"/>
  <c r="BU309" i="3"/>
  <c r="BW309" i="3"/>
  <c r="CA309" i="3"/>
  <c r="CB309" i="3"/>
  <c r="L310" i="3"/>
  <c r="O310" i="3" s="1"/>
  <c r="W310" i="3"/>
  <c r="AA310" i="3"/>
  <c r="AL310" i="3" s="1"/>
  <c r="AE310" i="3"/>
  <c r="AM310" i="3"/>
  <c r="AN310" i="3"/>
  <c r="AO310" i="3"/>
  <c r="AP310" i="3"/>
  <c r="AQ310" i="3"/>
  <c r="AS310" i="3" s="1"/>
  <c r="AT310" i="3" s="1"/>
  <c r="AW310" i="3"/>
  <c r="AY310" i="3" s="1"/>
  <c r="BD310" i="3"/>
  <c r="BO310" i="3" s="1"/>
  <c r="BF310" i="3"/>
  <c r="BG310" i="3"/>
  <c r="BM310" i="3"/>
  <c r="BQ310" i="3"/>
  <c r="BT310" i="3"/>
  <c r="BU310" i="3"/>
  <c r="BW310" i="3"/>
  <c r="CA310" i="3"/>
  <c r="CB310" i="3"/>
  <c r="L311" i="3"/>
  <c r="O311" i="3" s="1"/>
  <c r="W311" i="3"/>
  <c r="AA311" i="3"/>
  <c r="AL311" i="3" s="1"/>
  <c r="AE311" i="3"/>
  <c r="AM311" i="3"/>
  <c r="AN311" i="3"/>
  <c r="AO311" i="3"/>
  <c r="AP311" i="3"/>
  <c r="AQ311" i="3"/>
  <c r="AS311" i="3" s="1"/>
  <c r="AT311" i="3" s="1"/>
  <c r="AW311" i="3"/>
  <c r="AY311" i="3" s="1"/>
  <c r="BD311" i="3"/>
  <c r="BO311" i="3" s="1"/>
  <c r="BF311" i="3"/>
  <c r="BG311" i="3"/>
  <c r="BM311" i="3"/>
  <c r="BQ311" i="3"/>
  <c r="BT311" i="3"/>
  <c r="BU311" i="3"/>
  <c r="BW311" i="3"/>
  <c r="CA311" i="3"/>
  <c r="CB311" i="3"/>
  <c r="L312" i="3"/>
  <c r="O312" i="3" s="1"/>
  <c r="W312" i="3"/>
  <c r="AA312" i="3"/>
  <c r="AL312" i="3" s="1"/>
  <c r="AE312" i="3"/>
  <c r="AF312" i="3" s="1"/>
  <c r="AM312" i="3"/>
  <c r="AN312" i="3"/>
  <c r="AO312" i="3"/>
  <c r="AP312" i="3"/>
  <c r="AQ312" i="3"/>
  <c r="AS312" i="3" s="1"/>
  <c r="AT312" i="3" s="1"/>
  <c r="AW312" i="3"/>
  <c r="AY312" i="3" s="1"/>
  <c r="BD312" i="3"/>
  <c r="BO312" i="3" s="1"/>
  <c r="BF312" i="3"/>
  <c r="BG312" i="3"/>
  <c r="BM312" i="3"/>
  <c r="BQ312" i="3"/>
  <c r="BT312" i="3"/>
  <c r="BU312" i="3"/>
  <c r="BW312" i="3"/>
  <c r="CA312" i="3"/>
  <c r="CB312" i="3"/>
  <c r="L313" i="3"/>
  <c r="O313" i="3" s="1"/>
  <c r="W313" i="3"/>
  <c r="AA313" i="3"/>
  <c r="AL313" i="3" s="1"/>
  <c r="AE313" i="3"/>
  <c r="AH313" i="3" s="1"/>
  <c r="AM313" i="3"/>
  <c r="AN313" i="3"/>
  <c r="AO313" i="3"/>
  <c r="AP313" i="3"/>
  <c r="AQ313" i="3"/>
  <c r="AS313" i="3" s="1"/>
  <c r="AT313" i="3" s="1"/>
  <c r="AW313" i="3"/>
  <c r="AY313" i="3" s="1"/>
  <c r="BD313" i="3"/>
  <c r="BO313" i="3" s="1"/>
  <c r="BF313" i="3"/>
  <c r="BG313" i="3"/>
  <c r="BM313" i="3"/>
  <c r="BQ313" i="3"/>
  <c r="BT313" i="3"/>
  <c r="BU313" i="3"/>
  <c r="BW313" i="3"/>
  <c r="CA313" i="3"/>
  <c r="CB313" i="3"/>
  <c r="L314" i="3"/>
  <c r="O314" i="3" s="1"/>
  <c r="W314" i="3"/>
  <c r="AA314" i="3"/>
  <c r="AL314" i="3" s="1"/>
  <c r="AE314" i="3"/>
  <c r="AF314" i="3" s="1"/>
  <c r="AM314" i="3"/>
  <c r="AN314" i="3"/>
  <c r="AO314" i="3"/>
  <c r="AP314" i="3"/>
  <c r="AQ314" i="3"/>
  <c r="AS314" i="3" s="1"/>
  <c r="AT314" i="3" s="1"/>
  <c r="AW314" i="3"/>
  <c r="AY314" i="3" s="1"/>
  <c r="BD314" i="3"/>
  <c r="BO314" i="3" s="1"/>
  <c r="BF314" i="3"/>
  <c r="BG314" i="3"/>
  <c r="BM314" i="3"/>
  <c r="BQ314" i="3"/>
  <c r="BT314" i="3"/>
  <c r="BU314" i="3"/>
  <c r="BW314" i="3"/>
  <c r="CA314" i="3"/>
  <c r="CB314" i="3"/>
  <c r="L315" i="3"/>
  <c r="O315" i="3" s="1"/>
  <c r="W315" i="3"/>
  <c r="AA315" i="3"/>
  <c r="AL315" i="3" s="1"/>
  <c r="AE315" i="3"/>
  <c r="AF315" i="3" s="1"/>
  <c r="AM315" i="3"/>
  <c r="AN315" i="3"/>
  <c r="AO315" i="3"/>
  <c r="AP315" i="3"/>
  <c r="AQ315" i="3"/>
  <c r="AS315" i="3" s="1"/>
  <c r="AT315" i="3" s="1"/>
  <c r="AW315" i="3"/>
  <c r="AY315" i="3" s="1"/>
  <c r="BD315" i="3"/>
  <c r="BO315" i="3" s="1"/>
  <c r="BF315" i="3"/>
  <c r="BG315" i="3"/>
  <c r="BM315" i="3"/>
  <c r="BQ315" i="3"/>
  <c r="BT315" i="3"/>
  <c r="BU315" i="3"/>
  <c r="BW315" i="3"/>
  <c r="CA315" i="3"/>
  <c r="CB315" i="3"/>
  <c r="L316" i="3"/>
  <c r="O316" i="3" s="1"/>
  <c r="W316" i="3"/>
  <c r="AA316" i="3"/>
  <c r="AL316" i="3" s="1"/>
  <c r="AE316" i="3"/>
  <c r="AF316" i="3" s="1"/>
  <c r="AM316" i="3"/>
  <c r="AN316" i="3"/>
  <c r="AO316" i="3"/>
  <c r="AP316" i="3"/>
  <c r="AQ316" i="3"/>
  <c r="AS316" i="3" s="1"/>
  <c r="AT316" i="3" s="1"/>
  <c r="AW316" i="3"/>
  <c r="AY316" i="3" s="1"/>
  <c r="BD316" i="3"/>
  <c r="BO316" i="3" s="1"/>
  <c r="BF316" i="3"/>
  <c r="BG316" i="3"/>
  <c r="BM316" i="3"/>
  <c r="BQ316" i="3"/>
  <c r="BT316" i="3"/>
  <c r="BU316" i="3"/>
  <c r="BW316" i="3"/>
  <c r="CA316" i="3"/>
  <c r="CB316" i="3"/>
  <c r="L317" i="3"/>
  <c r="O317" i="3" s="1"/>
  <c r="W317" i="3"/>
  <c r="AA317" i="3"/>
  <c r="AL317" i="3" s="1"/>
  <c r="AE317" i="3"/>
  <c r="AM317" i="3"/>
  <c r="AN317" i="3"/>
  <c r="AO317" i="3"/>
  <c r="AP317" i="3"/>
  <c r="AQ317" i="3"/>
  <c r="AS317" i="3" s="1"/>
  <c r="AT317" i="3" s="1"/>
  <c r="AW317" i="3"/>
  <c r="AY317" i="3" s="1"/>
  <c r="BD317" i="3"/>
  <c r="BO317" i="3" s="1"/>
  <c r="BF317" i="3"/>
  <c r="BG317" i="3"/>
  <c r="BM317" i="3"/>
  <c r="BQ317" i="3"/>
  <c r="BT317" i="3"/>
  <c r="BU317" i="3"/>
  <c r="BW317" i="3"/>
  <c r="CA317" i="3"/>
  <c r="CB317" i="3"/>
  <c r="L318" i="3"/>
  <c r="O318" i="3" s="1"/>
  <c r="W318" i="3"/>
  <c r="AA318" i="3"/>
  <c r="AL318" i="3" s="1"/>
  <c r="AE318" i="3"/>
  <c r="AM318" i="3"/>
  <c r="AN318" i="3"/>
  <c r="AO318" i="3"/>
  <c r="AP318" i="3"/>
  <c r="AQ318" i="3"/>
  <c r="AS318" i="3" s="1"/>
  <c r="AT318" i="3" s="1"/>
  <c r="AW318" i="3"/>
  <c r="AY318" i="3" s="1"/>
  <c r="BD318" i="3"/>
  <c r="BO318" i="3" s="1"/>
  <c r="BF318" i="3"/>
  <c r="BG318" i="3"/>
  <c r="BM318" i="3"/>
  <c r="BQ318" i="3"/>
  <c r="BT318" i="3"/>
  <c r="BU318" i="3"/>
  <c r="BW318" i="3"/>
  <c r="CA318" i="3"/>
  <c r="CB318" i="3"/>
  <c r="L319" i="3"/>
  <c r="O319" i="3" s="1"/>
  <c r="W319" i="3"/>
  <c r="AA319" i="3"/>
  <c r="AL319" i="3" s="1"/>
  <c r="AE319" i="3"/>
  <c r="AF319" i="3" s="1"/>
  <c r="AM319" i="3"/>
  <c r="AN319" i="3"/>
  <c r="AO319" i="3"/>
  <c r="AP319" i="3"/>
  <c r="AQ319" i="3"/>
  <c r="AW319" i="3"/>
  <c r="AY319" i="3" s="1"/>
  <c r="BD319" i="3"/>
  <c r="BO319" i="3" s="1"/>
  <c r="BF319" i="3"/>
  <c r="BG319" i="3"/>
  <c r="BM319" i="3"/>
  <c r="BQ319" i="3"/>
  <c r="BT319" i="3"/>
  <c r="BU319" i="3"/>
  <c r="BW319" i="3"/>
  <c r="CA319" i="3"/>
  <c r="CB319" i="3"/>
  <c r="L320" i="3"/>
  <c r="O320" i="3" s="1"/>
  <c r="W320" i="3"/>
  <c r="AA320" i="3"/>
  <c r="AL320" i="3" s="1"/>
  <c r="AE320" i="3"/>
  <c r="AH320" i="3" s="1"/>
  <c r="AM320" i="3"/>
  <c r="AN320" i="3"/>
  <c r="AO320" i="3"/>
  <c r="AP320" i="3"/>
  <c r="AQ320" i="3"/>
  <c r="AS320" i="3" s="1"/>
  <c r="AT320" i="3" s="1"/>
  <c r="AW320" i="3"/>
  <c r="AY320" i="3" s="1"/>
  <c r="BD320" i="3"/>
  <c r="BO320" i="3" s="1"/>
  <c r="BF320" i="3"/>
  <c r="BG320" i="3"/>
  <c r="BM320" i="3"/>
  <c r="BQ320" i="3"/>
  <c r="BT320" i="3"/>
  <c r="BU320" i="3"/>
  <c r="BW320" i="3"/>
  <c r="CA320" i="3"/>
  <c r="CB320" i="3"/>
  <c r="L321" i="3"/>
  <c r="O321" i="3" s="1"/>
  <c r="W321" i="3"/>
  <c r="AA321" i="3"/>
  <c r="AL321" i="3" s="1"/>
  <c r="AE321" i="3"/>
  <c r="AM321" i="3"/>
  <c r="AN321" i="3"/>
  <c r="AO321" i="3"/>
  <c r="AP321" i="3"/>
  <c r="AQ321" i="3"/>
  <c r="AS321" i="3" s="1"/>
  <c r="AT321" i="3" s="1"/>
  <c r="AW321" i="3"/>
  <c r="AY321" i="3" s="1"/>
  <c r="BD321" i="3"/>
  <c r="BO321" i="3" s="1"/>
  <c r="BF321" i="3"/>
  <c r="BG321" i="3"/>
  <c r="BM321" i="3"/>
  <c r="BQ321" i="3"/>
  <c r="BT321" i="3"/>
  <c r="BU321" i="3"/>
  <c r="BW321" i="3"/>
  <c r="CA321" i="3"/>
  <c r="CB321" i="3"/>
  <c r="L322" i="3"/>
  <c r="O322" i="3" s="1"/>
  <c r="W322" i="3"/>
  <c r="AA322" i="3"/>
  <c r="AL322" i="3" s="1"/>
  <c r="AE322" i="3"/>
  <c r="AH322" i="3" s="1"/>
  <c r="AM322" i="3"/>
  <c r="AN322" i="3"/>
  <c r="AO322" i="3"/>
  <c r="AP322" i="3"/>
  <c r="AQ322" i="3"/>
  <c r="AS322" i="3" s="1"/>
  <c r="AT322" i="3" s="1"/>
  <c r="AW322" i="3"/>
  <c r="AY322" i="3" s="1"/>
  <c r="BD322" i="3"/>
  <c r="BO322" i="3" s="1"/>
  <c r="BF322" i="3"/>
  <c r="BG322" i="3"/>
  <c r="BM322" i="3"/>
  <c r="BQ322" i="3"/>
  <c r="BT322" i="3"/>
  <c r="BU322" i="3"/>
  <c r="BW322" i="3"/>
  <c r="CA322" i="3"/>
  <c r="CB322" i="3"/>
  <c r="L288" i="3"/>
  <c r="O288" i="3" s="1"/>
  <c r="W288" i="3"/>
  <c r="AA288" i="3"/>
  <c r="AL288" i="3" s="1"/>
  <c r="AE288" i="3"/>
  <c r="AH288" i="3" s="1"/>
  <c r="AM288" i="3"/>
  <c r="AN288" i="3"/>
  <c r="AO288" i="3"/>
  <c r="AP288" i="3"/>
  <c r="AQ288" i="3"/>
  <c r="AS288" i="3" s="1"/>
  <c r="AT288" i="3" s="1"/>
  <c r="AW288" i="3"/>
  <c r="AY288" i="3" s="1"/>
  <c r="BD288" i="3"/>
  <c r="BO288" i="3" s="1"/>
  <c r="BF288" i="3"/>
  <c r="BG288" i="3"/>
  <c r="BM288" i="3"/>
  <c r="BQ288" i="3"/>
  <c r="BT288" i="3"/>
  <c r="BU288" i="3"/>
  <c r="BW288" i="3"/>
  <c r="CA288" i="3"/>
  <c r="CB288" i="3"/>
  <c r="L289" i="3"/>
  <c r="O289" i="3" s="1"/>
  <c r="W289" i="3"/>
  <c r="AA289" i="3"/>
  <c r="AL289" i="3" s="1"/>
  <c r="AE289" i="3"/>
  <c r="AH289" i="3" s="1"/>
  <c r="AM289" i="3"/>
  <c r="AN289" i="3"/>
  <c r="AO289" i="3"/>
  <c r="AP289" i="3"/>
  <c r="AQ289" i="3"/>
  <c r="AS289" i="3" s="1"/>
  <c r="AT289" i="3" s="1"/>
  <c r="AW289" i="3"/>
  <c r="AY289" i="3" s="1"/>
  <c r="BD289" i="3"/>
  <c r="BO289" i="3" s="1"/>
  <c r="BF289" i="3"/>
  <c r="BG289" i="3"/>
  <c r="BM289" i="3"/>
  <c r="BQ289" i="3"/>
  <c r="BT289" i="3"/>
  <c r="BU289" i="3"/>
  <c r="BW289" i="3"/>
  <c r="CA289" i="3"/>
  <c r="CB289" i="3"/>
  <c r="L290" i="3"/>
  <c r="O290" i="3" s="1"/>
  <c r="W290" i="3"/>
  <c r="AA290" i="3"/>
  <c r="AL290" i="3" s="1"/>
  <c r="AE290" i="3"/>
  <c r="AM290" i="3"/>
  <c r="AN290" i="3"/>
  <c r="AO290" i="3"/>
  <c r="AP290" i="3"/>
  <c r="AQ290" i="3"/>
  <c r="AS290" i="3" s="1"/>
  <c r="AT290" i="3" s="1"/>
  <c r="AW290" i="3"/>
  <c r="AY290" i="3" s="1"/>
  <c r="BD290" i="3"/>
  <c r="BO290" i="3" s="1"/>
  <c r="BF290" i="3"/>
  <c r="BG290" i="3"/>
  <c r="BM290" i="3"/>
  <c r="BQ290" i="3"/>
  <c r="BT290" i="3"/>
  <c r="BU290" i="3"/>
  <c r="BW290" i="3"/>
  <c r="CA290" i="3"/>
  <c r="CB290" i="3"/>
  <c r="L291" i="3"/>
  <c r="O291" i="3" s="1"/>
  <c r="W291" i="3"/>
  <c r="AA291" i="3"/>
  <c r="AL291" i="3" s="1"/>
  <c r="AE291" i="3"/>
  <c r="AF291" i="3" s="1"/>
  <c r="AM291" i="3"/>
  <c r="AN291" i="3"/>
  <c r="AO291" i="3"/>
  <c r="AP291" i="3"/>
  <c r="AQ291" i="3"/>
  <c r="AW291" i="3"/>
  <c r="AY291" i="3" s="1"/>
  <c r="BD291" i="3"/>
  <c r="BO291" i="3" s="1"/>
  <c r="BF291" i="3"/>
  <c r="BG291" i="3"/>
  <c r="BM291" i="3"/>
  <c r="BQ291" i="3"/>
  <c r="BT291" i="3"/>
  <c r="BU291" i="3"/>
  <c r="BW291" i="3"/>
  <c r="CA291" i="3"/>
  <c r="CB291" i="3"/>
  <c r="L292" i="3"/>
  <c r="O292" i="3" s="1"/>
  <c r="W292" i="3"/>
  <c r="AA292" i="3"/>
  <c r="AL292" i="3" s="1"/>
  <c r="AE292" i="3"/>
  <c r="AH292" i="3" s="1"/>
  <c r="AM292" i="3"/>
  <c r="AN292" i="3"/>
  <c r="AO292" i="3"/>
  <c r="AP292" i="3"/>
  <c r="AQ292" i="3"/>
  <c r="AS292" i="3" s="1"/>
  <c r="AT292" i="3" s="1"/>
  <c r="AW292" i="3"/>
  <c r="AY292" i="3" s="1"/>
  <c r="BD292" i="3"/>
  <c r="BO292" i="3" s="1"/>
  <c r="BF292" i="3"/>
  <c r="BG292" i="3"/>
  <c r="BM292" i="3"/>
  <c r="BQ292" i="3"/>
  <c r="BT292" i="3"/>
  <c r="BU292" i="3"/>
  <c r="BW292" i="3"/>
  <c r="CA292" i="3"/>
  <c r="CB292" i="3"/>
  <c r="L293" i="3"/>
  <c r="O293" i="3" s="1"/>
  <c r="W293" i="3"/>
  <c r="AA293" i="3"/>
  <c r="AL293" i="3" s="1"/>
  <c r="AE293" i="3"/>
  <c r="AF293" i="3" s="1"/>
  <c r="AM293" i="3"/>
  <c r="AN293" i="3"/>
  <c r="AO293" i="3"/>
  <c r="AP293" i="3"/>
  <c r="AQ293" i="3"/>
  <c r="AS293" i="3" s="1"/>
  <c r="AT293" i="3" s="1"/>
  <c r="AW293" i="3"/>
  <c r="AY293" i="3" s="1"/>
  <c r="BD293" i="3"/>
  <c r="BO293" i="3" s="1"/>
  <c r="BF293" i="3"/>
  <c r="BG293" i="3"/>
  <c r="BM293" i="3"/>
  <c r="BQ293" i="3"/>
  <c r="BT293" i="3"/>
  <c r="BU293" i="3"/>
  <c r="BW293" i="3"/>
  <c r="CA293" i="3"/>
  <c r="CB293" i="3"/>
  <c r="L294" i="3"/>
  <c r="O294" i="3" s="1"/>
  <c r="W294" i="3"/>
  <c r="AA294" i="3"/>
  <c r="AL294" i="3" s="1"/>
  <c r="AE294" i="3"/>
  <c r="AF294" i="3" s="1"/>
  <c r="AM294" i="3"/>
  <c r="AN294" i="3"/>
  <c r="AO294" i="3"/>
  <c r="AP294" i="3"/>
  <c r="AQ294" i="3"/>
  <c r="AS294" i="3" s="1"/>
  <c r="AT294" i="3" s="1"/>
  <c r="AW294" i="3"/>
  <c r="AY294" i="3" s="1"/>
  <c r="BD294" i="3"/>
  <c r="BO294" i="3" s="1"/>
  <c r="BF294" i="3"/>
  <c r="BG294" i="3"/>
  <c r="BM294" i="3"/>
  <c r="BQ294" i="3"/>
  <c r="BT294" i="3"/>
  <c r="BU294" i="3"/>
  <c r="BW294" i="3"/>
  <c r="CA294" i="3"/>
  <c r="CB294" i="3"/>
  <c r="L295" i="3"/>
  <c r="O295" i="3" s="1"/>
  <c r="W295" i="3"/>
  <c r="AA295" i="3"/>
  <c r="AL295" i="3" s="1"/>
  <c r="AE295" i="3"/>
  <c r="AM295" i="3"/>
  <c r="AN295" i="3"/>
  <c r="AO295" i="3"/>
  <c r="AP295" i="3"/>
  <c r="AQ295" i="3"/>
  <c r="AS295" i="3" s="1"/>
  <c r="AT295" i="3" s="1"/>
  <c r="AW295" i="3"/>
  <c r="AY295" i="3" s="1"/>
  <c r="BD295" i="3"/>
  <c r="BO295" i="3" s="1"/>
  <c r="BF295" i="3"/>
  <c r="BG295" i="3"/>
  <c r="BM295" i="3"/>
  <c r="BQ295" i="3"/>
  <c r="BT295" i="3"/>
  <c r="BU295" i="3"/>
  <c r="BW295" i="3"/>
  <c r="CA295" i="3"/>
  <c r="CB295" i="3"/>
  <c r="L296" i="3"/>
  <c r="O296" i="3" s="1"/>
  <c r="W296" i="3"/>
  <c r="AA296" i="3"/>
  <c r="AL296" i="3" s="1"/>
  <c r="AE296" i="3"/>
  <c r="AF296" i="3" s="1"/>
  <c r="AM296" i="3"/>
  <c r="AN296" i="3"/>
  <c r="AO296" i="3"/>
  <c r="AP296" i="3"/>
  <c r="AQ296" i="3"/>
  <c r="AS296" i="3" s="1"/>
  <c r="AT296" i="3" s="1"/>
  <c r="AW296" i="3"/>
  <c r="AY296" i="3" s="1"/>
  <c r="BD296" i="3"/>
  <c r="BO296" i="3" s="1"/>
  <c r="BF296" i="3"/>
  <c r="BG296" i="3"/>
  <c r="BM296" i="3"/>
  <c r="BQ296" i="3"/>
  <c r="BT296" i="3"/>
  <c r="BU296" i="3"/>
  <c r="BW296" i="3"/>
  <c r="CA296" i="3"/>
  <c r="CB296" i="3"/>
  <c r="L297" i="3"/>
  <c r="O297" i="3" s="1"/>
  <c r="W297" i="3"/>
  <c r="AA297" i="3"/>
  <c r="AL297" i="3" s="1"/>
  <c r="AE297" i="3"/>
  <c r="AF297" i="3" s="1"/>
  <c r="AM297" i="3"/>
  <c r="AN297" i="3"/>
  <c r="AO297" i="3"/>
  <c r="AP297" i="3"/>
  <c r="AQ297" i="3"/>
  <c r="AS297" i="3" s="1"/>
  <c r="AT297" i="3" s="1"/>
  <c r="AW297" i="3"/>
  <c r="AY297" i="3" s="1"/>
  <c r="BD297" i="3"/>
  <c r="BO297" i="3" s="1"/>
  <c r="BF297" i="3"/>
  <c r="BG297" i="3"/>
  <c r="BM297" i="3"/>
  <c r="BQ297" i="3"/>
  <c r="BT297" i="3"/>
  <c r="BU297" i="3"/>
  <c r="BW297" i="3"/>
  <c r="CA297" i="3"/>
  <c r="CB297" i="3"/>
  <c r="L298" i="3"/>
  <c r="O298" i="3" s="1"/>
  <c r="W298" i="3"/>
  <c r="AA298" i="3"/>
  <c r="AL298" i="3" s="1"/>
  <c r="AE298" i="3"/>
  <c r="AH298" i="3" s="1"/>
  <c r="AM298" i="3"/>
  <c r="AN298" i="3"/>
  <c r="AO298" i="3"/>
  <c r="AP298" i="3"/>
  <c r="AQ298" i="3"/>
  <c r="AS298" i="3" s="1"/>
  <c r="AT298" i="3" s="1"/>
  <c r="AW298" i="3"/>
  <c r="AY298" i="3" s="1"/>
  <c r="BD298" i="3"/>
  <c r="BO298" i="3" s="1"/>
  <c r="BF298" i="3"/>
  <c r="BG298" i="3"/>
  <c r="BM298" i="3"/>
  <c r="BQ298" i="3"/>
  <c r="BT298" i="3"/>
  <c r="BU298" i="3"/>
  <c r="BW298" i="3"/>
  <c r="CA298" i="3"/>
  <c r="CB298" i="3"/>
  <c r="L299" i="3"/>
  <c r="O299" i="3" s="1"/>
  <c r="W299" i="3"/>
  <c r="AA299" i="3"/>
  <c r="AL299" i="3" s="1"/>
  <c r="AE299" i="3"/>
  <c r="AM299" i="3"/>
  <c r="AN299" i="3"/>
  <c r="AO299" i="3"/>
  <c r="AP299" i="3"/>
  <c r="AQ299" i="3"/>
  <c r="AS299" i="3" s="1"/>
  <c r="AT299" i="3" s="1"/>
  <c r="AW299" i="3"/>
  <c r="AY299" i="3" s="1"/>
  <c r="BD299" i="3"/>
  <c r="BO299" i="3" s="1"/>
  <c r="BF299" i="3"/>
  <c r="BG299" i="3"/>
  <c r="BM299" i="3"/>
  <c r="BQ299" i="3"/>
  <c r="BT299" i="3"/>
  <c r="BU299" i="3"/>
  <c r="BW299" i="3"/>
  <c r="CA299" i="3"/>
  <c r="CB299" i="3"/>
  <c r="L300" i="3"/>
  <c r="O300" i="3" s="1"/>
  <c r="W300" i="3"/>
  <c r="AA300" i="3"/>
  <c r="AL300" i="3" s="1"/>
  <c r="AE300" i="3"/>
  <c r="AH300" i="3" s="1"/>
  <c r="AM300" i="3"/>
  <c r="AN300" i="3"/>
  <c r="AO300" i="3"/>
  <c r="AP300" i="3"/>
  <c r="AQ300" i="3"/>
  <c r="AS300" i="3" s="1"/>
  <c r="AT300" i="3" s="1"/>
  <c r="AW300" i="3"/>
  <c r="AY300" i="3" s="1"/>
  <c r="BD300" i="3"/>
  <c r="BO300" i="3" s="1"/>
  <c r="BF300" i="3"/>
  <c r="BG300" i="3"/>
  <c r="BM300" i="3"/>
  <c r="BQ300" i="3"/>
  <c r="BT300" i="3"/>
  <c r="BU300" i="3"/>
  <c r="BW300" i="3"/>
  <c r="CA300" i="3"/>
  <c r="CB300" i="3"/>
  <c r="L301" i="3"/>
  <c r="O301" i="3" s="1"/>
  <c r="W301" i="3"/>
  <c r="AA301" i="3"/>
  <c r="AL301" i="3" s="1"/>
  <c r="AE301" i="3"/>
  <c r="AF301" i="3" s="1"/>
  <c r="AM301" i="3"/>
  <c r="AN301" i="3"/>
  <c r="AO301" i="3"/>
  <c r="AP301" i="3"/>
  <c r="AQ301" i="3"/>
  <c r="AS301" i="3" s="1"/>
  <c r="AT301" i="3" s="1"/>
  <c r="AW301" i="3"/>
  <c r="AY301" i="3" s="1"/>
  <c r="BD301" i="3"/>
  <c r="BO301" i="3" s="1"/>
  <c r="BF301" i="3"/>
  <c r="BG301" i="3"/>
  <c r="BM301" i="3"/>
  <c r="BQ301" i="3"/>
  <c r="BT301" i="3"/>
  <c r="BU301" i="3"/>
  <c r="BW301" i="3"/>
  <c r="CA301" i="3"/>
  <c r="CB301" i="3"/>
  <c r="L302" i="3"/>
  <c r="O302" i="3" s="1"/>
  <c r="W302" i="3"/>
  <c r="AA302" i="3"/>
  <c r="AL302" i="3" s="1"/>
  <c r="AE302" i="3"/>
  <c r="AM302" i="3"/>
  <c r="AN302" i="3"/>
  <c r="AO302" i="3"/>
  <c r="AP302" i="3"/>
  <c r="AQ302" i="3"/>
  <c r="AS302" i="3" s="1"/>
  <c r="AT302" i="3" s="1"/>
  <c r="AW302" i="3"/>
  <c r="AY302" i="3" s="1"/>
  <c r="BD302" i="3"/>
  <c r="BO302" i="3" s="1"/>
  <c r="BF302" i="3"/>
  <c r="BG302" i="3"/>
  <c r="BM302" i="3"/>
  <c r="BQ302" i="3"/>
  <c r="BT302" i="3"/>
  <c r="BU302" i="3"/>
  <c r="BW302" i="3"/>
  <c r="CA302" i="3"/>
  <c r="CB302" i="3"/>
  <c r="L303" i="3"/>
  <c r="O303" i="3" s="1"/>
  <c r="W303" i="3"/>
  <c r="AA303" i="3"/>
  <c r="AL303" i="3" s="1"/>
  <c r="AE303" i="3"/>
  <c r="AF303" i="3" s="1"/>
  <c r="AM303" i="3"/>
  <c r="AN303" i="3"/>
  <c r="AO303" i="3"/>
  <c r="AP303" i="3"/>
  <c r="AQ303" i="3"/>
  <c r="AS303" i="3" s="1"/>
  <c r="AT303" i="3" s="1"/>
  <c r="AW303" i="3"/>
  <c r="AY303" i="3" s="1"/>
  <c r="BD303" i="3"/>
  <c r="BO303" i="3" s="1"/>
  <c r="BF303" i="3"/>
  <c r="BG303" i="3"/>
  <c r="BM303" i="3"/>
  <c r="BQ303" i="3"/>
  <c r="BT303" i="3"/>
  <c r="BU303" i="3"/>
  <c r="BW303" i="3"/>
  <c r="CA303" i="3"/>
  <c r="CB303" i="3"/>
  <c r="L304" i="3"/>
  <c r="O304" i="3" s="1"/>
  <c r="W304" i="3"/>
  <c r="AA304" i="3"/>
  <c r="AL304" i="3" s="1"/>
  <c r="AE304" i="3"/>
  <c r="AH304" i="3" s="1"/>
  <c r="AM304" i="3"/>
  <c r="AN304" i="3"/>
  <c r="AO304" i="3"/>
  <c r="AP304" i="3"/>
  <c r="AQ304" i="3"/>
  <c r="AS304" i="3" s="1"/>
  <c r="AT304" i="3" s="1"/>
  <c r="AW304" i="3"/>
  <c r="AY304" i="3" s="1"/>
  <c r="BD304" i="3"/>
  <c r="BO304" i="3" s="1"/>
  <c r="BF304" i="3"/>
  <c r="BG304" i="3"/>
  <c r="BM304" i="3"/>
  <c r="BQ304" i="3"/>
  <c r="BT304" i="3"/>
  <c r="BU304" i="3"/>
  <c r="BW304" i="3"/>
  <c r="CA304" i="3"/>
  <c r="CB304" i="3"/>
  <c r="L270" i="3"/>
  <c r="O270" i="3" s="1"/>
  <c r="W270" i="3"/>
  <c r="AA270" i="3"/>
  <c r="AL270" i="3" s="1"/>
  <c r="AE270" i="3"/>
  <c r="AF270" i="3" s="1"/>
  <c r="AM270" i="3"/>
  <c r="AN270" i="3"/>
  <c r="AO270" i="3"/>
  <c r="AP270" i="3"/>
  <c r="AQ270" i="3"/>
  <c r="AS270" i="3" s="1"/>
  <c r="AT270" i="3" s="1"/>
  <c r="AW270" i="3"/>
  <c r="AY270" i="3" s="1"/>
  <c r="BD270" i="3"/>
  <c r="BO270" i="3" s="1"/>
  <c r="BF270" i="3"/>
  <c r="BG270" i="3"/>
  <c r="BM270" i="3"/>
  <c r="BQ270" i="3"/>
  <c r="BT270" i="3"/>
  <c r="BU270" i="3"/>
  <c r="BW270" i="3"/>
  <c r="CA270" i="3"/>
  <c r="CB270" i="3"/>
  <c r="L271" i="3"/>
  <c r="O271" i="3" s="1"/>
  <c r="W271" i="3"/>
  <c r="AA271" i="3"/>
  <c r="AL271" i="3" s="1"/>
  <c r="AE271" i="3"/>
  <c r="AH271" i="3" s="1"/>
  <c r="AM271" i="3"/>
  <c r="AN271" i="3"/>
  <c r="AO271" i="3"/>
  <c r="AP271" i="3"/>
  <c r="AQ271" i="3"/>
  <c r="AW271" i="3"/>
  <c r="AY271" i="3" s="1"/>
  <c r="BD271" i="3"/>
  <c r="BO271" i="3" s="1"/>
  <c r="BF271" i="3"/>
  <c r="BG271" i="3"/>
  <c r="BM271" i="3"/>
  <c r="BQ271" i="3"/>
  <c r="BT271" i="3"/>
  <c r="BU271" i="3"/>
  <c r="BW271" i="3"/>
  <c r="CA271" i="3"/>
  <c r="CB271" i="3"/>
  <c r="L272" i="3"/>
  <c r="O272" i="3" s="1"/>
  <c r="W272" i="3"/>
  <c r="AA272" i="3"/>
  <c r="AL272" i="3" s="1"/>
  <c r="AE272" i="3"/>
  <c r="AH272" i="3" s="1"/>
  <c r="AM272" i="3"/>
  <c r="AN272" i="3"/>
  <c r="AO272" i="3"/>
  <c r="AP272" i="3"/>
  <c r="AQ272" i="3"/>
  <c r="AS272" i="3" s="1"/>
  <c r="AT272" i="3" s="1"/>
  <c r="AW272" i="3"/>
  <c r="AY272" i="3" s="1"/>
  <c r="BD272" i="3"/>
  <c r="BO272" i="3" s="1"/>
  <c r="BF272" i="3"/>
  <c r="BG272" i="3"/>
  <c r="BM272" i="3"/>
  <c r="BQ272" i="3"/>
  <c r="BT272" i="3"/>
  <c r="BU272" i="3"/>
  <c r="BW272" i="3"/>
  <c r="CA272" i="3"/>
  <c r="CB272" i="3"/>
  <c r="L273" i="3"/>
  <c r="O273" i="3" s="1"/>
  <c r="W273" i="3"/>
  <c r="AA273" i="3"/>
  <c r="AL273" i="3" s="1"/>
  <c r="AE273" i="3"/>
  <c r="AH273" i="3" s="1"/>
  <c r="AM273" i="3"/>
  <c r="AN273" i="3"/>
  <c r="AO273" i="3"/>
  <c r="AP273" i="3"/>
  <c r="AQ273" i="3"/>
  <c r="AS273" i="3" s="1"/>
  <c r="AT273" i="3" s="1"/>
  <c r="AW273" i="3"/>
  <c r="AY273" i="3" s="1"/>
  <c r="BD273" i="3"/>
  <c r="BO273" i="3" s="1"/>
  <c r="BF273" i="3"/>
  <c r="BG273" i="3"/>
  <c r="BM273" i="3"/>
  <c r="BQ273" i="3"/>
  <c r="BT273" i="3"/>
  <c r="BU273" i="3"/>
  <c r="BW273" i="3"/>
  <c r="CA273" i="3"/>
  <c r="CB273" i="3"/>
  <c r="L274" i="3"/>
  <c r="O274" i="3" s="1"/>
  <c r="W274" i="3"/>
  <c r="AA274" i="3"/>
  <c r="AL274" i="3" s="1"/>
  <c r="AE274" i="3"/>
  <c r="AF274" i="3" s="1"/>
  <c r="AM274" i="3"/>
  <c r="AN274" i="3"/>
  <c r="AO274" i="3"/>
  <c r="AP274" i="3"/>
  <c r="AQ274" i="3"/>
  <c r="AS274" i="3" s="1"/>
  <c r="AT274" i="3" s="1"/>
  <c r="AW274" i="3"/>
  <c r="AY274" i="3" s="1"/>
  <c r="BD274" i="3"/>
  <c r="BO274" i="3" s="1"/>
  <c r="BF274" i="3"/>
  <c r="BG274" i="3"/>
  <c r="BM274" i="3"/>
  <c r="BQ274" i="3"/>
  <c r="BT274" i="3"/>
  <c r="BU274" i="3"/>
  <c r="BW274" i="3"/>
  <c r="CA274" i="3"/>
  <c r="CB274" i="3"/>
  <c r="L275" i="3"/>
  <c r="O275" i="3" s="1"/>
  <c r="W275" i="3"/>
  <c r="AA275" i="3"/>
  <c r="AL275" i="3" s="1"/>
  <c r="AE275" i="3"/>
  <c r="AM275" i="3"/>
  <c r="AN275" i="3"/>
  <c r="AO275" i="3"/>
  <c r="AP275" i="3"/>
  <c r="AQ275" i="3"/>
  <c r="AS275" i="3" s="1"/>
  <c r="AT275" i="3" s="1"/>
  <c r="AW275" i="3"/>
  <c r="AY275" i="3" s="1"/>
  <c r="BD275" i="3"/>
  <c r="BO275" i="3" s="1"/>
  <c r="BF275" i="3"/>
  <c r="BG275" i="3"/>
  <c r="BM275" i="3"/>
  <c r="BQ275" i="3"/>
  <c r="BT275" i="3"/>
  <c r="BU275" i="3"/>
  <c r="BW275" i="3"/>
  <c r="CA275" i="3"/>
  <c r="CB275" i="3"/>
  <c r="L276" i="3"/>
  <c r="O276" i="3" s="1"/>
  <c r="W276" i="3"/>
  <c r="AA276" i="3"/>
  <c r="AL276" i="3" s="1"/>
  <c r="AE276" i="3"/>
  <c r="AF276" i="3" s="1"/>
  <c r="AM276" i="3"/>
  <c r="AN276" i="3"/>
  <c r="AO276" i="3"/>
  <c r="AP276" i="3"/>
  <c r="AQ276" i="3"/>
  <c r="AS276" i="3" s="1"/>
  <c r="AT276" i="3" s="1"/>
  <c r="AW276" i="3"/>
  <c r="AY276" i="3" s="1"/>
  <c r="BD276" i="3"/>
  <c r="BO276" i="3" s="1"/>
  <c r="BF276" i="3"/>
  <c r="BG276" i="3"/>
  <c r="BM276" i="3"/>
  <c r="BQ276" i="3"/>
  <c r="BT276" i="3"/>
  <c r="BU276" i="3"/>
  <c r="BW276" i="3"/>
  <c r="CA276" i="3"/>
  <c r="CB276" i="3"/>
  <c r="L277" i="3"/>
  <c r="O277" i="3" s="1"/>
  <c r="W277" i="3"/>
  <c r="AA277" i="3"/>
  <c r="AL277" i="3" s="1"/>
  <c r="AE277" i="3"/>
  <c r="AF277" i="3" s="1"/>
  <c r="AM277" i="3"/>
  <c r="AN277" i="3"/>
  <c r="AO277" i="3"/>
  <c r="AP277" i="3"/>
  <c r="AQ277" i="3"/>
  <c r="AS277" i="3" s="1"/>
  <c r="AT277" i="3" s="1"/>
  <c r="AW277" i="3"/>
  <c r="AY277" i="3" s="1"/>
  <c r="BD277" i="3"/>
  <c r="BO277" i="3" s="1"/>
  <c r="BF277" i="3"/>
  <c r="BG277" i="3"/>
  <c r="BM277" i="3"/>
  <c r="BQ277" i="3"/>
  <c r="BT277" i="3"/>
  <c r="BU277" i="3"/>
  <c r="BW277" i="3"/>
  <c r="CA277" i="3"/>
  <c r="CB277" i="3"/>
  <c r="L278" i="3"/>
  <c r="O278" i="3" s="1"/>
  <c r="W278" i="3"/>
  <c r="AA278" i="3"/>
  <c r="AL278" i="3" s="1"/>
  <c r="AE278" i="3"/>
  <c r="AF278" i="3" s="1"/>
  <c r="AM278" i="3"/>
  <c r="AN278" i="3"/>
  <c r="AO278" i="3"/>
  <c r="AP278" i="3"/>
  <c r="AQ278" i="3"/>
  <c r="AS278" i="3" s="1"/>
  <c r="AT278" i="3" s="1"/>
  <c r="AW278" i="3"/>
  <c r="AY278" i="3" s="1"/>
  <c r="BD278" i="3"/>
  <c r="BO278" i="3" s="1"/>
  <c r="BF278" i="3"/>
  <c r="BG278" i="3"/>
  <c r="BM278" i="3"/>
  <c r="BQ278" i="3"/>
  <c r="BT278" i="3"/>
  <c r="BU278" i="3"/>
  <c r="BW278" i="3"/>
  <c r="CA278" i="3"/>
  <c r="CB278" i="3"/>
  <c r="L279" i="3"/>
  <c r="O279" i="3" s="1"/>
  <c r="W279" i="3"/>
  <c r="AA279" i="3"/>
  <c r="AL279" i="3" s="1"/>
  <c r="AE279" i="3"/>
  <c r="AF279" i="3" s="1"/>
  <c r="AM279" i="3"/>
  <c r="AN279" i="3"/>
  <c r="AO279" i="3"/>
  <c r="AP279" i="3"/>
  <c r="AQ279" i="3"/>
  <c r="AW279" i="3"/>
  <c r="AY279" i="3" s="1"/>
  <c r="BD279" i="3"/>
  <c r="BO279" i="3" s="1"/>
  <c r="BF279" i="3"/>
  <c r="BG279" i="3"/>
  <c r="BM279" i="3"/>
  <c r="BQ279" i="3"/>
  <c r="BT279" i="3"/>
  <c r="BU279" i="3"/>
  <c r="BW279" i="3"/>
  <c r="CA279" i="3"/>
  <c r="CB279" i="3"/>
  <c r="L280" i="3"/>
  <c r="O280" i="3" s="1"/>
  <c r="W280" i="3"/>
  <c r="AA280" i="3"/>
  <c r="AL280" i="3" s="1"/>
  <c r="AE280" i="3"/>
  <c r="AF280" i="3" s="1"/>
  <c r="AM280" i="3"/>
  <c r="AN280" i="3"/>
  <c r="AO280" i="3"/>
  <c r="AP280" i="3"/>
  <c r="AQ280" i="3"/>
  <c r="AS280" i="3" s="1"/>
  <c r="AT280" i="3" s="1"/>
  <c r="AW280" i="3"/>
  <c r="AY280" i="3" s="1"/>
  <c r="BD280" i="3"/>
  <c r="BO280" i="3" s="1"/>
  <c r="BF280" i="3"/>
  <c r="BG280" i="3"/>
  <c r="BM280" i="3"/>
  <c r="BQ280" i="3"/>
  <c r="BT280" i="3"/>
  <c r="BU280" i="3"/>
  <c r="BW280" i="3"/>
  <c r="CA280" i="3"/>
  <c r="CB280" i="3"/>
  <c r="L281" i="3"/>
  <c r="O281" i="3" s="1"/>
  <c r="W281" i="3"/>
  <c r="AA281" i="3"/>
  <c r="AL281" i="3" s="1"/>
  <c r="AE281" i="3"/>
  <c r="AH281" i="3" s="1"/>
  <c r="AM281" i="3"/>
  <c r="AN281" i="3"/>
  <c r="AO281" i="3"/>
  <c r="AP281" i="3"/>
  <c r="AQ281" i="3"/>
  <c r="AS281" i="3" s="1"/>
  <c r="AT281" i="3" s="1"/>
  <c r="AW281" i="3"/>
  <c r="AY281" i="3" s="1"/>
  <c r="BD281" i="3"/>
  <c r="BO281" i="3" s="1"/>
  <c r="BF281" i="3"/>
  <c r="BG281" i="3"/>
  <c r="BM281" i="3"/>
  <c r="BQ281" i="3"/>
  <c r="BT281" i="3"/>
  <c r="BU281" i="3"/>
  <c r="BW281" i="3"/>
  <c r="CA281" i="3"/>
  <c r="CB281" i="3"/>
  <c r="L282" i="3"/>
  <c r="O282" i="3" s="1"/>
  <c r="W282" i="3"/>
  <c r="AA282" i="3"/>
  <c r="AL282" i="3" s="1"/>
  <c r="AE282" i="3"/>
  <c r="AH282" i="3" s="1"/>
  <c r="AM282" i="3"/>
  <c r="AN282" i="3"/>
  <c r="AO282" i="3"/>
  <c r="AP282" i="3"/>
  <c r="AQ282" i="3"/>
  <c r="AS282" i="3" s="1"/>
  <c r="AT282" i="3" s="1"/>
  <c r="AW282" i="3"/>
  <c r="AY282" i="3" s="1"/>
  <c r="BD282" i="3"/>
  <c r="BO282" i="3" s="1"/>
  <c r="BF282" i="3"/>
  <c r="BG282" i="3"/>
  <c r="BM282" i="3"/>
  <c r="BQ282" i="3"/>
  <c r="BT282" i="3"/>
  <c r="BU282" i="3"/>
  <c r="BW282" i="3"/>
  <c r="CA282" i="3"/>
  <c r="CB282" i="3"/>
  <c r="L283" i="3"/>
  <c r="O283" i="3" s="1"/>
  <c r="W283" i="3"/>
  <c r="AA283" i="3"/>
  <c r="AL283" i="3" s="1"/>
  <c r="AE283" i="3"/>
  <c r="AH283" i="3" s="1"/>
  <c r="AM283" i="3"/>
  <c r="AN283" i="3"/>
  <c r="AO283" i="3"/>
  <c r="AP283" i="3"/>
  <c r="AQ283" i="3"/>
  <c r="AS283" i="3" s="1"/>
  <c r="AT283" i="3" s="1"/>
  <c r="AW283" i="3"/>
  <c r="AY283" i="3" s="1"/>
  <c r="BD283" i="3"/>
  <c r="BO283" i="3" s="1"/>
  <c r="BF283" i="3"/>
  <c r="BG283" i="3"/>
  <c r="BM283" i="3"/>
  <c r="BQ283" i="3"/>
  <c r="BT283" i="3"/>
  <c r="BU283" i="3"/>
  <c r="BW283" i="3"/>
  <c r="CA283" i="3"/>
  <c r="CB283" i="3"/>
  <c r="L284" i="3"/>
  <c r="O284" i="3" s="1"/>
  <c r="W284" i="3"/>
  <c r="AA284" i="3"/>
  <c r="AL284" i="3" s="1"/>
  <c r="AE284" i="3"/>
  <c r="AH284" i="3" s="1"/>
  <c r="AM284" i="3"/>
  <c r="AN284" i="3"/>
  <c r="AO284" i="3"/>
  <c r="AP284" i="3"/>
  <c r="AQ284" i="3"/>
  <c r="AS284" i="3" s="1"/>
  <c r="AT284" i="3" s="1"/>
  <c r="AW284" i="3"/>
  <c r="AY284" i="3" s="1"/>
  <c r="BD284" i="3"/>
  <c r="BO284" i="3" s="1"/>
  <c r="BF284" i="3"/>
  <c r="BG284" i="3"/>
  <c r="BM284" i="3"/>
  <c r="BQ284" i="3"/>
  <c r="BT284" i="3"/>
  <c r="BU284" i="3"/>
  <c r="BW284" i="3"/>
  <c r="CA284" i="3"/>
  <c r="CB284" i="3"/>
  <c r="L285" i="3"/>
  <c r="O285" i="3" s="1"/>
  <c r="W285" i="3"/>
  <c r="AA285" i="3"/>
  <c r="AL285" i="3" s="1"/>
  <c r="AE285" i="3"/>
  <c r="AF285" i="3" s="1"/>
  <c r="AM285" i="3"/>
  <c r="AN285" i="3"/>
  <c r="AO285" i="3"/>
  <c r="AP285" i="3"/>
  <c r="AQ285" i="3"/>
  <c r="AS285" i="3" s="1"/>
  <c r="AT285" i="3" s="1"/>
  <c r="AW285" i="3"/>
  <c r="AY285" i="3" s="1"/>
  <c r="BD285" i="3"/>
  <c r="BO285" i="3" s="1"/>
  <c r="BF285" i="3"/>
  <c r="BG285" i="3"/>
  <c r="BM285" i="3"/>
  <c r="BQ285" i="3"/>
  <c r="BT285" i="3"/>
  <c r="BU285" i="3"/>
  <c r="BW285" i="3"/>
  <c r="CA285" i="3"/>
  <c r="CB285" i="3"/>
  <c r="L286" i="3"/>
  <c r="O286" i="3" s="1"/>
  <c r="W286" i="3"/>
  <c r="AA286" i="3"/>
  <c r="AL286" i="3" s="1"/>
  <c r="AE286" i="3"/>
  <c r="AH286" i="3" s="1"/>
  <c r="AM286" i="3"/>
  <c r="AN286" i="3"/>
  <c r="AO286" i="3"/>
  <c r="AP286" i="3"/>
  <c r="AQ286" i="3"/>
  <c r="AS286" i="3" s="1"/>
  <c r="AT286" i="3" s="1"/>
  <c r="AW286" i="3"/>
  <c r="AY286" i="3" s="1"/>
  <c r="BD286" i="3"/>
  <c r="BO286" i="3" s="1"/>
  <c r="BF286" i="3"/>
  <c r="BG286" i="3"/>
  <c r="BM286" i="3"/>
  <c r="BQ286" i="3"/>
  <c r="BT286" i="3"/>
  <c r="BU286" i="3"/>
  <c r="BW286" i="3"/>
  <c r="CA286" i="3"/>
  <c r="CB286" i="3"/>
  <c r="L252" i="3"/>
  <c r="O252" i="3" s="1"/>
  <c r="W252" i="3"/>
  <c r="AA252" i="3"/>
  <c r="AL252" i="3" s="1"/>
  <c r="AE252" i="3"/>
  <c r="AF252" i="3" s="1"/>
  <c r="AM252" i="3"/>
  <c r="AN252" i="3"/>
  <c r="AO252" i="3"/>
  <c r="AP252" i="3"/>
  <c r="AQ252" i="3"/>
  <c r="AS252" i="3" s="1"/>
  <c r="AT252" i="3" s="1"/>
  <c r="AW252" i="3"/>
  <c r="AY252" i="3" s="1"/>
  <c r="BD252" i="3"/>
  <c r="BO252" i="3" s="1"/>
  <c r="BF252" i="3"/>
  <c r="BG252" i="3"/>
  <c r="BM252" i="3"/>
  <c r="BQ252" i="3"/>
  <c r="BT252" i="3"/>
  <c r="BU252" i="3"/>
  <c r="BW252" i="3"/>
  <c r="CA252" i="3"/>
  <c r="CB252" i="3"/>
  <c r="L253" i="3"/>
  <c r="O253" i="3" s="1"/>
  <c r="W253" i="3"/>
  <c r="AA253" i="3"/>
  <c r="AL253" i="3" s="1"/>
  <c r="AE253" i="3"/>
  <c r="AF253" i="3" s="1"/>
  <c r="AM253" i="3"/>
  <c r="AN253" i="3"/>
  <c r="AO253" i="3"/>
  <c r="AP253" i="3"/>
  <c r="AQ253" i="3"/>
  <c r="AS253" i="3" s="1"/>
  <c r="AT253" i="3" s="1"/>
  <c r="AW253" i="3"/>
  <c r="AY253" i="3" s="1"/>
  <c r="BD253" i="3"/>
  <c r="BO253" i="3" s="1"/>
  <c r="BF253" i="3"/>
  <c r="BG253" i="3"/>
  <c r="BM253" i="3"/>
  <c r="BQ253" i="3"/>
  <c r="BT253" i="3"/>
  <c r="BU253" i="3"/>
  <c r="BW253" i="3"/>
  <c r="CA253" i="3"/>
  <c r="CB253" i="3"/>
  <c r="L254" i="3"/>
  <c r="O254" i="3" s="1"/>
  <c r="W254" i="3"/>
  <c r="AA254" i="3"/>
  <c r="AL254" i="3" s="1"/>
  <c r="AE254" i="3"/>
  <c r="AM254" i="3"/>
  <c r="AN254" i="3"/>
  <c r="AO254" i="3"/>
  <c r="AP254" i="3"/>
  <c r="AQ254" i="3"/>
  <c r="AS254" i="3" s="1"/>
  <c r="AT254" i="3" s="1"/>
  <c r="AW254" i="3"/>
  <c r="AY254" i="3" s="1"/>
  <c r="BD254" i="3"/>
  <c r="BO254" i="3" s="1"/>
  <c r="BF254" i="3"/>
  <c r="BG254" i="3"/>
  <c r="BM254" i="3"/>
  <c r="BQ254" i="3"/>
  <c r="BT254" i="3"/>
  <c r="BU254" i="3"/>
  <c r="BW254" i="3"/>
  <c r="CA254" i="3"/>
  <c r="CB254" i="3"/>
  <c r="L255" i="3"/>
  <c r="O255" i="3" s="1"/>
  <c r="W255" i="3"/>
  <c r="AA255" i="3"/>
  <c r="AL255" i="3" s="1"/>
  <c r="AE255" i="3"/>
  <c r="AF255" i="3" s="1"/>
  <c r="AM255" i="3"/>
  <c r="AN255" i="3"/>
  <c r="AO255" i="3"/>
  <c r="AP255" i="3"/>
  <c r="AQ255" i="3"/>
  <c r="AS255" i="3" s="1"/>
  <c r="AT255" i="3" s="1"/>
  <c r="AW255" i="3"/>
  <c r="AY255" i="3" s="1"/>
  <c r="BD255" i="3"/>
  <c r="BO255" i="3" s="1"/>
  <c r="BF255" i="3"/>
  <c r="BG255" i="3"/>
  <c r="BM255" i="3"/>
  <c r="BQ255" i="3"/>
  <c r="BT255" i="3"/>
  <c r="BU255" i="3"/>
  <c r="BW255" i="3"/>
  <c r="CA255" i="3"/>
  <c r="CB255" i="3"/>
  <c r="L256" i="3"/>
  <c r="O256" i="3" s="1"/>
  <c r="W256" i="3"/>
  <c r="AA256" i="3"/>
  <c r="AL256" i="3" s="1"/>
  <c r="AE256" i="3"/>
  <c r="AF256" i="3" s="1"/>
  <c r="AM256" i="3"/>
  <c r="AN256" i="3"/>
  <c r="AO256" i="3"/>
  <c r="AP256" i="3"/>
  <c r="AQ256" i="3"/>
  <c r="AS256" i="3" s="1"/>
  <c r="AT256" i="3" s="1"/>
  <c r="AW256" i="3"/>
  <c r="AY256" i="3" s="1"/>
  <c r="BD256" i="3"/>
  <c r="BO256" i="3" s="1"/>
  <c r="BF256" i="3"/>
  <c r="BG256" i="3"/>
  <c r="BM256" i="3"/>
  <c r="BQ256" i="3"/>
  <c r="BT256" i="3"/>
  <c r="BU256" i="3"/>
  <c r="BW256" i="3"/>
  <c r="CA256" i="3"/>
  <c r="CB256" i="3"/>
  <c r="L257" i="3"/>
  <c r="O257" i="3" s="1"/>
  <c r="W257" i="3"/>
  <c r="AA257" i="3"/>
  <c r="AL257" i="3" s="1"/>
  <c r="AE257" i="3"/>
  <c r="AF257" i="3" s="1"/>
  <c r="AM257" i="3"/>
  <c r="AN257" i="3"/>
  <c r="AO257" i="3"/>
  <c r="AP257" i="3"/>
  <c r="AQ257" i="3"/>
  <c r="AS257" i="3" s="1"/>
  <c r="AT257" i="3" s="1"/>
  <c r="AW257" i="3"/>
  <c r="AY257" i="3" s="1"/>
  <c r="BD257" i="3"/>
  <c r="BO257" i="3" s="1"/>
  <c r="BF257" i="3"/>
  <c r="BG257" i="3"/>
  <c r="BM257" i="3"/>
  <c r="BQ257" i="3"/>
  <c r="BT257" i="3"/>
  <c r="BU257" i="3"/>
  <c r="BW257" i="3"/>
  <c r="CA257" i="3"/>
  <c r="CB257" i="3"/>
  <c r="L258" i="3"/>
  <c r="O258" i="3" s="1"/>
  <c r="W258" i="3"/>
  <c r="AA258" i="3"/>
  <c r="AL258" i="3" s="1"/>
  <c r="AE258" i="3"/>
  <c r="AF258" i="3" s="1"/>
  <c r="AM258" i="3"/>
  <c r="AN258" i="3"/>
  <c r="AO258" i="3"/>
  <c r="AP258" i="3"/>
  <c r="AQ258" i="3"/>
  <c r="AS258" i="3" s="1"/>
  <c r="AT258" i="3" s="1"/>
  <c r="AW258" i="3"/>
  <c r="AY258" i="3" s="1"/>
  <c r="BD258" i="3"/>
  <c r="BO258" i="3" s="1"/>
  <c r="BF258" i="3"/>
  <c r="BG258" i="3"/>
  <c r="BM258" i="3"/>
  <c r="BQ258" i="3"/>
  <c r="BT258" i="3"/>
  <c r="BU258" i="3"/>
  <c r="BW258" i="3"/>
  <c r="CA258" i="3"/>
  <c r="CB258" i="3"/>
  <c r="L259" i="3"/>
  <c r="O259" i="3" s="1"/>
  <c r="W259" i="3"/>
  <c r="AA259" i="3"/>
  <c r="AL259" i="3" s="1"/>
  <c r="AE259" i="3"/>
  <c r="AF259" i="3" s="1"/>
  <c r="AM259" i="3"/>
  <c r="AN259" i="3"/>
  <c r="AO259" i="3"/>
  <c r="AP259" i="3"/>
  <c r="AQ259" i="3"/>
  <c r="AS259" i="3" s="1"/>
  <c r="AT259" i="3" s="1"/>
  <c r="AW259" i="3"/>
  <c r="AY259" i="3" s="1"/>
  <c r="BD259" i="3"/>
  <c r="BO259" i="3" s="1"/>
  <c r="BF259" i="3"/>
  <c r="BG259" i="3"/>
  <c r="BM259" i="3"/>
  <c r="BQ259" i="3"/>
  <c r="BT259" i="3"/>
  <c r="BU259" i="3"/>
  <c r="BW259" i="3"/>
  <c r="CA259" i="3"/>
  <c r="CB259" i="3"/>
  <c r="L260" i="3"/>
  <c r="O260" i="3" s="1"/>
  <c r="W260" i="3"/>
  <c r="AA260" i="3"/>
  <c r="AL260" i="3" s="1"/>
  <c r="AE260" i="3"/>
  <c r="AF260" i="3" s="1"/>
  <c r="AM260" i="3"/>
  <c r="AN260" i="3"/>
  <c r="AO260" i="3"/>
  <c r="AP260" i="3"/>
  <c r="AQ260" i="3"/>
  <c r="AS260" i="3" s="1"/>
  <c r="AT260" i="3" s="1"/>
  <c r="AW260" i="3"/>
  <c r="AY260" i="3" s="1"/>
  <c r="BD260" i="3"/>
  <c r="BO260" i="3" s="1"/>
  <c r="BF260" i="3"/>
  <c r="BG260" i="3"/>
  <c r="BM260" i="3"/>
  <c r="BQ260" i="3"/>
  <c r="BT260" i="3"/>
  <c r="BU260" i="3"/>
  <c r="BW260" i="3"/>
  <c r="CA260" i="3"/>
  <c r="CB260" i="3"/>
  <c r="L261" i="3"/>
  <c r="O261" i="3" s="1"/>
  <c r="W261" i="3"/>
  <c r="AA261" i="3"/>
  <c r="AL261" i="3" s="1"/>
  <c r="AE261" i="3"/>
  <c r="AF261" i="3" s="1"/>
  <c r="AM261" i="3"/>
  <c r="AN261" i="3"/>
  <c r="AO261" i="3"/>
  <c r="AP261" i="3"/>
  <c r="AQ261" i="3"/>
  <c r="AS261" i="3" s="1"/>
  <c r="AT261" i="3" s="1"/>
  <c r="AW261" i="3"/>
  <c r="AY261" i="3" s="1"/>
  <c r="BD261" i="3"/>
  <c r="BO261" i="3" s="1"/>
  <c r="BF261" i="3"/>
  <c r="BG261" i="3"/>
  <c r="BM261" i="3"/>
  <c r="BQ261" i="3"/>
  <c r="BT261" i="3"/>
  <c r="BU261" i="3"/>
  <c r="BW261" i="3"/>
  <c r="CA261" i="3"/>
  <c r="CB261" i="3"/>
  <c r="L262" i="3"/>
  <c r="O262" i="3" s="1"/>
  <c r="W262" i="3"/>
  <c r="AA262" i="3"/>
  <c r="AL262" i="3" s="1"/>
  <c r="AE262" i="3"/>
  <c r="AF262" i="3" s="1"/>
  <c r="AM262" i="3"/>
  <c r="AN262" i="3"/>
  <c r="AO262" i="3"/>
  <c r="AP262" i="3"/>
  <c r="AQ262" i="3"/>
  <c r="AS262" i="3" s="1"/>
  <c r="AT262" i="3" s="1"/>
  <c r="AW262" i="3"/>
  <c r="AY262" i="3" s="1"/>
  <c r="BD262" i="3"/>
  <c r="BO262" i="3" s="1"/>
  <c r="BF262" i="3"/>
  <c r="BG262" i="3"/>
  <c r="BM262" i="3"/>
  <c r="BQ262" i="3"/>
  <c r="BT262" i="3"/>
  <c r="BU262" i="3"/>
  <c r="BW262" i="3"/>
  <c r="CA262" i="3"/>
  <c r="CB262" i="3"/>
  <c r="L263" i="3"/>
  <c r="O263" i="3" s="1"/>
  <c r="W263" i="3"/>
  <c r="AA263" i="3"/>
  <c r="AL263" i="3" s="1"/>
  <c r="AE263" i="3"/>
  <c r="AH263" i="3" s="1"/>
  <c r="AM263" i="3"/>
  <c r="AN263" i="3"/>
  <c r="AO263" i="3"/>
  <c r="AP263" i="3"/>
  <c r="AQ263" i="3"/>
  <c r="AS263" i="3" s="1"/>
  <c r="AT263" i="3" s="1"/>
  <c r="AW263" i="3"/>
  <c r="AY263" i="3" s="1"/>
  <c r="BD263" i="3"/>
  <c r="BO263" i="3" s="1"/>
  <c r="BF263" i="3"/>
  <c r="BG263" i="3"/>
  <c r="BM263" i="3"/>
  <c r="BQ263" i="3"/>
  <c r="BT263" i="3"/>
  <c r="BU263" i="3"/>
  <c r="BW263" i="3"/>
  <c r="CA263" i="3"/>
  <c r="CB263" i="3"/>
  <c r="L264" i="3"/>
  <c r="O264" i="3" s="1"/>
  <c r="W264" i="3"/>
  <c r="AA264" i="3"/>
  <c r="AL264" i="3" s="1"/>
  <c r="AE264" i="3"/>
  <c r="AF264" i="3" s="1"/>
  <c r="AM264" i="3"/>
  <c r="AN264" i="3"/>
  <c r="AO264" i="3"/>
  <c r="AP264" i="3"/>
  <c r="AQ264" i="3"/>
  <c r="AS264" i="3" s="1"/>
  <c r="AT264" i="3" s="1"/>
  <c r="AW264" i="3"/>
  <c r="AY264" i="3" s="1"/>
  <c r="BD264" i="3"/>
  <c r="BO264" i="3" s="1"/>
  <c r="BF264" i="3"/>
  <c r="BG264" i="3"/>
  <c r="BM264" i="3"/>
  <c r="BQ264" i="3"/>
  <c r="BT264" i="3"/>
  <c r="BU264" i="3"/>
  <c r="BW264" i="3"/>
  <c r="CA264" i="3"/>
  <c r="CB264" i="3"/>
  <c r="L265" i="3"/>
  <c r="O265" i="3" s="1"/>
  <c r="W265" i="3"/>
  <c r="AA265" i="3"/>
  <c r="AL265" i="3" s="1"/>
  <c r="AE265" i="3"/>
  <c r="AF265" i="3" s="1"/>
  <c r="AM265" i="3"/>
  <c r="AN265" i="3"/>
  <c r="AO265" i="3"/>
  <c r="AP265" i="3"/>
  <c r="AQ265" i="3"/>
  <c r="AS265" i="3" s="1"/>
  <c r="AT265" i="3" s="1"/>
  <c r="AW265" i="3"/>
  <c r="AY265" i="3" s="1"/>
  <c r="BD265" i="3"/>
  <c r="BO265" i="3" s="1"/>
  <c r="BF265" i="3"/>
  <c r="BG265" i="3"/>
  <c r="BM265" i="3"/>
  <c r="BQ265" i="3"/>
  <c r="BT265" i="3"/>
  <c r="BU265" i="3"/>
  <c r="BW265" i="3"/>
  <c r="CA265" i="3"/>
  <c r="CB265" i="3"/>
  <c r="L266" i="3"/>
  <c r="O266" i="3" s="1"/>
  <c r="W266" i="3"/>
  <c r="AA266" i="3"/>
  <c r="AL266" i="3" s="1"/>
  <c r="AE266" i="3"/>
  <c r="AH266" i="3" s="1"/>
  <c r="AM266" i="3"/>
  <c r="AN266" i="3"/>
  <c r="AO266" i="3"/>
  <c r="AP266" i="3"/>
  <c r="AQ266" i="3"/>
  <c r="AS266" i="3" s="1"/>
  <c r="AT266" i="3" s="1"/>
  <c r="AW266" i="3"/>
  <c r="AY266" i="3" s="1"/>
  <c r="BD266" i="3"/>
  <c r="BO266" i="3" s="1"/>
  <c r="BF266" i="3"/>
  <c r="BG266" i="3"/>
  <c r="BM266" i="3"/>
  <c r="BQ266" i="3"/>
  <c r="BT266" i="3"/>
  <c r="BU266" i="3"/>
  <c r="BW266" i="3"/>
  <c r="CA266" i="3"/>
  <c r="CB266" i="3"/>
  <c r="L267" i="3"/>
  <c r="O267" i="3" s="1"/>
  <c r="W267" i="3"/>
  <c r="AA267" i="3"/>
  <c r="AL267" i="3" s="1"/>
  <c r="AE267" i="3"/>
  <c r="AF267" i="3" s="1"/>
  <c r="AM267" i="3"/>
  <c r="AN267" i="3"/>
  <c r="AO267" i="3"/>
  <c r="AP267" i="3"/>
  <c r="AQ267" i="3"/>
  <c r="AS267" i="3" s="1"/>
  <c r="AT267" i="3" s="1"/>
  <c r="AW267" i="3"/>
  <c r="AY267" i="3" s="1"/>
  <c r="BD267" i="3"/>
  <c r="BO267" i="3" s="1"/>
  <c r="BF267" i="3"/>
  <c r="BG267" i="3"/>
  <c r="BM267" i="3"/>
  <c r="BQ267" i="3"/>
  <c r="BT267" i="3"/>
  <c r="BU267" i="3"/>
  <c r="BW267" i="3"/>
  <c r="CA267" i="3"/>
  <c r="CB267" i="3"/>
  <c r="L268" i="3"/>
  <c r="O268" i="3" s="1"/>
  <c r="W268" i="3"/>
  <c r="AA268" i="3"/>
  <c r="AL268" i="3" s="1"/>
  <c r="AE268" i="3"/>
  <c r="AM268" i="3"/>
  <c r="AN268" i="3"/>
  <c r="AO268" i="3"/>
  <c r="AP268" i="3"/>
  <c r="AQ268" i="3"/>
  <c r="AS268" i="3" s="1"/>
  <c r="AT268" i="3" s="1"/>
  <c r="AW268" i="3"/>
  <c r="AY268" i="3" s="1"/>
  <c r="BD268" i="3"/>
  <c r="BO268" i="3" s="1"/>
  <c r="BF268" i="3"/>
  <c r="BG268" i="3"/>
  <c r="BM268" i="3"/>
  <c r="BQ268" i="3"/>
  <c r="BT268" i="3"/>
  <c r="BU268" i="3"/>
  <c r="BW268" i="3"/>
  <c r="CA268" i="3"/>
  <c r="CB268" i="3"/>
  <c r="L234" i="3"/>
  <c r="O234" i="3" s="1"/>
  <c r="W234" i="3"/>
  <c r="AA234" i="3"/>
  <c r="AL234" i="3" s="1"/>
  <c r="AE234" i="3"/>
  <c r="AF234" i="3" s="1"/>
  <c r="AM234" i="3"/>
  <c r="AN234" i="3"/>
  <c r="AO234" i="3"/>
  <c r="AP234" i="3"/>
  <c r="AQ234" i="3"/>
  <c r="AS234" i="3" s="1"/>
  <c r="AT234" i="3" s="1"/>
  <c r="AW234" i="3"/>
  <c r="AY234" i="3" s="1"/>
  <c r="BD234" i="3"/>
  <c r="BO234" i="3" s="1"/>
  <c r="BF234" i="3"/>
  <c r="BG234" i="3"/>
  <c r="BM234" i="3"/>
  <c r="BQ234" i="3"/>
  <c r="BT234" i="3"/>
  <c r="BU234" i="3"/>
  <c r="BW234" i="3"/>
  <c r="CA234" i="3"/>
  <c r="CB234" i="3"/>
  <c r="L235" i="3"/>
  <c r="O235" i="3" s="1"/>
  <c r="W235" i="3"/>
  <c r="AA235" i="3"/>
  <c r="AL235" i="3" s="1"/>
  <c r="AE235" i="3"/>
  <c r="AF235" i="3" s="1"/>
  <c r="AM235" i="3"/>
  <c r="AN235" i="3"/>
  <c r="AO235" i="3"/>
  <c r="AP235" i="3"/>
  <c r="AQ235" i="3"/>
  <c r="AS235" i="3" s="1"/>
  <c r="AT235" i="3" s="1"/>
  <c r="AW235" i="3"/>
  <c r="AY235" i="3" s="1"/>
  <c r="BD235" i="3"/>
  <c r="BO235" i="3" s="1"/>
  <c r="BF235" i="3"/>
  <c r="BG235" i="3"/>
  <c r="BM235" i="3"/>
  <c r="BQ235" i="3"/>
  <c r="BT235" i="3"/>
  <c r="BU235" i="3"/>
  <c r="BW235" i="3"/>
  <c r="CA235" i="3"/>
  <c r="CB235" i="3"/>
  <c r="L236" i="3"/>
  <c r="O236" i="3" s="1"/>
  <c r="W236" i="3"/>
  <c r="AA236" i="3"/>
  <c r="AL236" i="3" s="1"/>
  <c r="AE236" i="3"/>
  <c r="AH236" i="3" s="1"/>
  <c r="AM236" i="3"/>
  <c r="AN236" i="3"/>
  <c r="AO236" i="3"/>
  <c r="AP236" i="3"/>
  <c r="AQ236" i="3"/>
  <c r="AS236" i="3" s="1"/>
  <c r="AT236" i="3" s="1"/>
  <c r="AW236" i="3"/>
  <c r="AY236" i="3" s="1"/>
  <c r="BD236" i="3"/>
  <c r="BO236" i="3" s="1"/>
  <c r="BF236" i="3"/>
  <c r="BG236" i="3"/>
  <c r="BM236" i="3"/>
  <c r="BQ236" i="3"/>
  <c r="BT236" i="3"/>
  <c r="BU236" i="3"/>
  <c r="BW236" i="3"/>
  <c r="CA236" i="3"/>
  <c r="CB236" i="3"/>
  <c r="L237" i="3"/>
  <c r="O237" i="3" s="1"/>
  <c r="W237" i="3"/>
  <c r="AA237" i="3"/>
  <c r="AL237" i="3" s="1"/>
  <c r="AE237" i="3"/>
  <c r="AF237" i="3" s="1"/>
  <c r="AM237" i="3"/>
  <c r="AN237" i="3"/>
  <c r="AO237" i="3"/>
  <c r="AP237" i="3"/>
  <c r="AQ237" i="3"/>
  <c r="AS237" i="3" s="1"/>
  <c r="AT237" i="3" s="1"/>
  <c r="AW237" i="3"/>
  <c r="AY237" i="3" s="1"/>
  <c r="BD237" i="3"/>
  <c r="BO237" i="3" s="1"/>
  <c r="BF237" i="3"/>
  <c r="BG237" i="3"/>
  <c r="BM237" i="3"/>
  <c r="BQ237" i="3"/>
  <c r="BT237" i="3"/>
  <c r="BU237" i="3"/>
  <c r="BW237" i="3"/>
  <c r="CA237" i="3"/>
  <c r="CB237" i="3"/>
  <c r="L238" i="3"/>
  <c r="O238" i="3" s="1"/>
  <c r="W238" i="3"/>
  <c r="AA238" i="3"/>
  <c r="AL238" i="3" s="1"/>
  <c r="AE238" i="3"/>
  <c r="AM238" i="3"/>
  <c r="AN238" i="3"/>
  <c r="AO238" i="3"/>
  <c r="AP238" i="3"/>
  <c r="AQ238" i="3"/>
  <c r="AS238" i="3" s="1"/>
  <c r="AT238" i="3" s="1"/>
  <c r="AW238" i="3"/>
  <c r="AY238" i="3" s="1"/>
  <c r="BD238" i="3"/>
  <c r="BO238" i="3" s="1"/>
  <c r="BF238" i="3"/>
  <c r="BG238" i="3"/>
  <c r="BM238" i="3"/>
  <c r="BQ238" i="3"/>
  <c r="BT238" i="3"/>
  <c r="BU238" i="3"/>
  <c r="BW238" i="3"/>
  <c r="CA238" i="3"/>
  <c r="CB238" i="3"/>
  <c r="L239" i="3"/>
  <c r="O239" i="3" s="1"/>
  <c r="W239" i="3"/>
  <c r="AA239" i="3"/>
  <c r="AL239" i="3" s="1"/>
  <c r="AE239" i="3"/>
  <c r="AH239" i="3" s="1"/>
  <c r="AM239" i="3"/>
  <c r="AN239" i="3"/>
  <c r="AO239" i="3"/>
  <c r="AP239" i="3"/>
  <c r="AQ239" i="3"/>
  <c r="AS239" i="3" s="1"/>
  <c r="AT239" i="3" s="1"/>
  <c r="AW239" i="3"/>
  <c r="AY239" i="3" s="1"/>
  <c r="BD239" i="3"/>
  <c r="BO239" i="3" s="1"/>
  <c r="BF239" i="3"/>
  <c r="BG239" i="3"/>
  <c r="BM239" i="3"/>
  <c r="BQ239" i="3"/>
  <c r="BT239" i="3"/>
  <c r="BU239" i="3"/>
  <c r="BW239" i="3"/>
  <c r="CA239" i="3"/>
  <c r="CB239" i="3"/>
  <c r="L240" i="3"/>
  <c r="O240" i="3" s="1"/>
  <c r="W240" i="3"/>
  <c r="AA240" i="3"/>
  <c r="AL240" i="3" s="1"/>
  <c r="AE240" i="3"/>
  <c r="AF240" i="3" s="1"/>
  <c r="AM240" i="3"/>
  <c r="AN240" i="3"/>
  <c r="AO240" i="3"/>
  <c r="AP240" i="3"/>
  <c r="AQ240" i="3"/>
  <c r="AS240" i="3" s="1"/>
  <c r="AT240" i="3" s="1"/>
  <c r="AW240" i="3"/>
  <c r="AY240" i="3" s="1"/>
  <c r="BD240" i="3"/>
  <c r="BO240" i="3" s="1"/>
  <c r="BF240" i="3"/>
  <c r="BG240" i="3"/>
  <c r="BM240" i="3"/>
  <c r="BQ240" i="3"/>
  <c r="BT240" i="3"/>
  <c r="BU240" i="3"/>
  <c r="BW240" i="3"/>
  <c r="CA240" i="3"/>
  <c r="CB240" i="3"/>
  <c r="L241" i="3"/>
  <c r="O241" i="3" s="1"/>
  <c r="W241" i="3"/>
  <c r="AA241" i="3"/>
  <c r="AL241" i="3" s="1"/>
  <c r="AE241" i="3"/>
  <c r="AM241" i="3"/>
  <c r="AN241" i="3"/>
  <c r="AO241" i="3"/>
  <c r="AP241" i="3"/>
  <c r="AQ241" i="3"/>
  <c r="AS241" i="3" s="1"/>
  <c r="AT241" i="3" s="1"/>
  <c r="AW241" i="3"/>
  <c r="AY241" i="3" s="1"/>
  <c r="BD241" i="3"/>
  <c r="BO241" i="3" s="1"/>
  <c r="BF241" i="3"/>
  <c r="BG241" i="3"/>
  <c r="BM241" i="3"/>
  <c r="BQ241" i="3"/>
  <c r="BT241" i="3"/>
  <c r="BU241" i="3"/>
  <c r="BW241" i="3"/>
  <c r="CA241" i="3"/>
  <c r="CB241" i="3"/>
  <c r="L242" i="3"/>
  <c r="O242" i="3" s="1"/>
  <c r="W242" i="3"/>
  <c r="AA242" i="3"/>
  <c r="AL242" i="3" s="1"/>
  <c r="AE242" i="3"/>
  <c r="AH242" i="3" s="1"/>
  <c r="AM242" i="3"/>
  <c r="AN242" i="3"/>
  <c r="AO242" i="3"/>
  <c r="AP242" i="3"/>
  <c r="AQ242" i="3"/>
  <c r="AS242" i="3" s="1"/>
  <c r="AT242" i="3" s="1"/>
  <c r="AW242" i="3"/>
  <c r="AY242" i="3" s="1"/>
  <c r="BD242" i="3"/>
  <c r="BO242" i="3" s="1"/>
  <c r="BF242" i="3"/>
  <c r="BG242" i="3"/>
  <c r="BM242" i="3"/>
  <c r="BQ242" i="3"/>
  <c r="BT242" i="3"/>
  <c r="BU242" i="3"/>
  <c r="BW242" i="3"/>
  <c r="CA242" i="3"/>
  <c r="CB242" i="3"/>
  <c r="L243" i="3"/>
  <c r="O243" i="3" s="1"/>
  <c r="W243" i="3"/>
  <c r="AA243" i="3"/>
  <c r="AL243" i="3" s="1"/>
  <c r="AE243" i="3"/>
  <c r="AH243" i="3" s="1"/>
  <c r="AM243" i="3"/>
  <c r="AN243" i="3"/>
  <c r="AO243" i="3"/>
  <c r="AP243" i="3"/>
  <c r="AQ243" i="3"/>
  <c r="AS243" i="3" s="1"/>
  <c r="AT243" i="3" s="1"/>
  <c r="AW243" i="3"/>
  <c r="AY243" i="3" s="1"/>
  <c r="BD243" i="3"/>
  <c r="BO243" i="3" s="1"/>
  <c r="BF243" i="3"/>
  <c r="BG243" i="3"/>
  <c r="BM243" i="3"/>
  <c r="BQ243" i="3"/>
  <c r="BT243" i="3"/>
  <c r="BU243" i="3"/>
  <c r="BW243" i="3"/>
  <c r="CA243" i="3"/>
  <c r="CB243" i="3"/>
  <c r="L244" i="3"/>
  <c r="O244" i="3" s="1"/>
  <c r="W244" i="3"/>
  <c r="AA244" i="3"/>
  <c r="AL244" i="3" s="1"/>
  <c r="AE244" i="3"/>
  <c r="AF244" i="3" s="1"/>
  <c r="AM244" i="3"/>
  <c r="AN244" i="3"/>
  <c r="AO244" i="3"/>
  <c r="AP244" i="3"/>
  <c r="AQ244" i="3"/>
  <c r="AS244" i="3" s="1"/>
  <c r="AT244" i="3" s="1"/>
  <c r="AW244" i="3"/>
  <c r="AY244" i="3" s="1"/>
  <c r="BD244" i="3"/>
  <c r="BO244" i="3" s="1"/>
  <c r="BF244" i="3"/>
  <c r="BG244" i="3"/>
  <c r="BM244" i="3"/>
  <c r="BQ244" i="3"/>
  <c r="BT244" i="3"/>
  <c r="BU244" i="3"/>
  <c r="BW244" i="3"/>
  <c r="CA244" i="3"/>
  <c r="CB244" i="3"/>
  <c r="L245" i="3"/>
  <c r="O245" i="3" s="1"/>
  <c r="W245" i="3"/>
  <c r="AA245" i="3"/>
  <c r="AL245" i="3" s="1"/>
  <c r="AE245" i="3"/>
  <c r="AH245" i="3" s="1"/>
  <c r="AM245" i="3"/>
  <c r="AN245" i="3"/>
  <c r="AO245" i="3"/>
  <c r="AP245" i="3"/>
  <c r="AQ245" i="3"/>
  <c r="AW245" i="3"/>
  <c r="AY245" i="3" s="1"/>
  <c r="BD245" i="3"/>
  <c r="BO245" i="3" s="1"/>
  <c r="BF245" i="3"/>
  <c r="BG245" i="3"/>
  <c r="BM245" i="3"/>
  <c r="BQ245" i="3"/>
  <c r="BT245" i="3"/>
  <c r="BU245" i="3"/>
  <c r="BW245" i="3"/>
  <c r="CA245" i="3"/>
  <c r="CB245" i="3"/>
  <c r="L246" i="3"/>
  <c r="O246" i="3" s="1"/>
  <c r="W246" i="3"/>
  <c r="AA246" i="3"/>
  <c r="AL246" i="3" s="1"/>
  <c r="AE246" i="3"/>
  <c r="AF246" i="3" s="1"/>
  <c r="AM246" i="3"/>
  <c r="AN246" i="3"/>
  <c r="AO246" i="3"/>
  <c r="AP246" i="3"/>
  <c r="AQ246" i="3"/>
  <c r="AS246" i="3" s="1"/>
  <c r="AT246" i="3" s="1"/>
  <c r="AW246" i="3"/>
  <c r="AY246" i="3" s="1"/>
  <c r="BD246" i="3"/>
  <c r="BO246" i="3" s="1"/>
  <c r="BF246" i="3"/>
  <c r="BG246" i="3"/>
  <c r="BM246" i="3"/>
  <c r="BQ246" i="3"/>
  <c r="BT246" i="3"/>
  <c r="BU246" i="3"/>
  <c r="BW246" i="3"/>
  <c r="CA246" i="3"/>
  <c r="CB246" i="3"/>
  <c r="L247" i="3"/>
  <c r="O247" i="3" s="1"/>
  <c r="W247" i="3"/>
  <c r="AA247" i="3"/>
  <c r="AL247" i="3" s="1"/>
  <c r="AE247" i="3"/>
  <c r="AF247" i="3" s="1"/>
  <c r="AM247" i="3"/>
  <c r="AN247" i="3"/>
  <c r="AO247" i="3"/>
  <c r="AP247" i="3"/>
  <c r="AQ247" i="3"/>
  <c r="AS247" i="3" s="1"/>
  <c r="AT247" i="3" s="1"/>
  <c r="AW247" i="3"/>
  <c r="AY247" i="3" s="1"/>
  <c r="BD247" i="3"/>
  <c r="BO247" i="3" s="1"/>
  <c r="BF247" i="3"/>
  <c r="BG247" i="3"/>
  <c r="BM247" i="3"/>
  <c r="BQ247" i="3"/>
  <c r="BT247" i="3"/>
  <c r="BU247" i="3"/>
  <c r="BW247" i="3"/>
  <c r="CA247" i="3"/>
  <c r="CB247" i="3"/>
  <c r="L248" i="3"/>
  <c r="O248" i="3" s="1"/>
  <c r="W248" i="3"/>
  <c r="AA248" i="3"/>
  <c r="AL248" i="3" s="1"/>
  <c r="AE248" i="3"/>
  <c r="AM248" i="3"/>
  <c r="AN248" i="3"/>
  <c r="AO248" i="3"/>
  <c r="AP248" i="3"/>
  <c r="AQ248" i="3"/>
  <c r="AS248" i="3" s="1"/>
  <c r="AT248" i="3" s="1"/>
  <c r="AW248" i="3"/>
  <c r="AY248" i="3" s="1"/>
  <c r="BD248" i="3"/>
  <c r="BO248" i="3" s="1"/>
  <c r="BF248" i="3"/>
  <c r="BG248" i="3"/>
  <c r="BM248" i="3"/>
  <c r="BQ248" i="3"/>
  <c r="BT248" i="3"/>
  <c r="BU248" i="3"/>
  <c r="BW248" i="3"/>
  <c r="CA248" i="3"/>
  <c r="CB248" i="3"/>
  <c r="L249" i="3"/>
  <c r="O249" i="3" s="1"/>
  <c r="W249" i="3"/>
  <c r="AA249" i="3"/>
  <c r="AL249" i="3" s="1"/>
  <c r="AE249" i="3"/>
  <c r="AF249" i="3" s="1"/>
  <c r="AM249" i="3"/>
  <c r="AN249" i="3"/>
  <c r="AO249" i="3"/>
  <c r="AP249" i="3"/>
  <c r="AQ249" i="3"/>
  <c r="AS249" i="3" s="1"/>
  <c r="AT249" i="3" s="1"/>
  <c r="AW249" i="3"/>
  <c r="AY249" i="3" s="1"/>
  <c r="BD249" i="3"/>
  <c r="BO249" i="3" s="1"/>
  <c r="BF249" i="3"/>
  <c r="BG249" i="3"/>
  <c r="BM249" i="3"/>
  <c r="BQ249" i="3"/>
  <c r="BT249" i="3"/>
  <c r="BU249" i="3"/>
  <c r="BW249" i="3"/>
  <c r="CA249" i="3"/>
  <c r="CB249" i="3"/>
  <c r="L250" i="3"/>
  <c r="O250" i="3" s="1"/>
  <c r="W250" i="3"/>
  <c r="AA250" i="3"/>
  <c r="AL250" i="3" s="1"/>
  <c r="AE250" i="3"/>
  <c r="AM250" i="3"/>
  <c r="AN250" i="3"/>
  <c r="AO250" i="3"/>
  <c r="AP250" i="3"/>
  <c r="AQ250" i="3"/>
  <c r="AS250" i="3" s="1"/>
  <c r="AT250" i="3" s="1"/>
  <c r="AW250" i="3"/>
  <c r="AY250" i="3" s="1"/>
  <c r="BD250" i="3"/>
  <c r="BO250" i="3" s="1"/>
  <c r="BF250" i="3"/>
  <c r="BG250" i="3"/>
  <c r="BM250" i="3"/>
  <c r="BQ250" i="3"/>
  <c r="BT250" i="3"/>
  <c r="BU250" i="3"/>
  <c r="BW250" i="3"/>
  <c r="CA250" i="3"/>
  <c r="CB250" i="3"/>
  <c r="L216" i="3"/>
  <c r="O216" i="3" s="1"/>
  <c r="W216" i="3"/>
  <c r="AA216" i="3"/>
  <c r="AL216" i="3" s="1"/>
  <c r="AE216" i="3"/>
  <c r="AM216" i="3"/>
  <c r="AN216" i="3"/>
  <c r="AO216" i="3"/>
  <c r="AP216" i="3"/>
  <c r="AQ216" i="3"/>
  <c r="AS216" i="3" s="1"/>
  <c r="AT216" i="3" s="1"/>
  <c r="AW216" i="3"/>
  <c r="AY216" i="3" s="1"/>
  <c r="BD216" i="3"/>
  <c r="BM216" i="3" s="1"/>
  <c r="BF216" i="3"/>
  <c r="BG216" i="3"/>
  <c r="BQ216" i="3"/>
  <c r="BT216" i="3"/>
  <c r="BU216" i="3"/>
  <c r="BW216" i="3"/>
  <c r="CA216" i="3"/>
  <c r="CB216" i="3"/>
  <c r="L217" i="3"/>
  <c r="O217" i="3" s="1"/>
  <c r="W217" i="3"/>
  <c r="AA217" i="3"/>
  <c r="AL217" i="3" s="1"/>
  <c r="AE217" i="3"/>
  <c r="AH217" i="3" s="1"/>
  <c r="AM217" i="3"/>
  <c r="AN217" i="3"/>
  <c r="AO217" i="3"/>
  <c r="AP217" i="3"/>
  <c r="AQ217" i="3"/>
  <c r="AS217" i="3" s="1"/>
  <c r="AT217" i="3" s="1"/>
  <c r="AW217" i="3"/>
  <c r="AY217" i="3" s="1"/>
  <c r="BD217" i="3"/>
  <c r="BO217" i="3" s="1"/>
  <c r="BF217" i="3"/>
  <c r="BG217" i="3"/>
  <c r="BQ217" i="3"/>
  <c r="BT217" i="3"/>
  <c r="BU217" i="3"/>
  <c r="BW217" i="3"/>
  <c r="CA217" i="3"/>
  <c r="CB217" i="3"/>
  <c r="L218" i="3"/>
  <c r="O218" i="3" s="1"/>
  <c r="W218" i="3"/>
  <c r="AA218" i="3"/>
  <c r="AL218" i="3" s="1"/>
  <c r="AE218" i="3"/>
  <c r="AF218" i="3" s="1"/>
  <c r="AM218" i="3"/>
  <c r="AN218" i="3"/>
  <c r="AO218" i="3"/>
  <c r="AP218" i="3"/>
  <c r="AQ218" i="3"/>
  <c r="AS218" i="3" s="1"/>
  <c r="AT218" i="3" s="1"/>
  <c r="AW218" i="3"/>
  <c r="AY218" i="3" s="1"/>
  <c r="BD218" i="3"/>
  <c r="BO218" i="3" s="1"/>
  <c r="BF218" i="3"/>
  <c r="BG218" i="3"/>
  <c r="BQ218" i="3"/>
  <c r="BT218" i="3"/>
  <c r="BU218" i="3"/>
  <c r="BW218" i="3"/>
  <c r="CA218" i="3"/>
  <c r="CB218" i="3"/>
  <c r="L219" i="3"/>
  <c r="O219" i="3" s="1"/>
  <c r="W219" i="3"/>
  <c r="AA219" i="3"/>
  <c r="AL219" i="3" s="1"/>
  <c r="AE219" i="3"/>
  <c r="AF219" i="3" s="1"/>
  <c r="AM219" i="3"/>
  <c r="AN219" i="3"/>
  <c r="AO219" i="3"/>
  <c r="AP219" i="3"/>
  <c r="AQ219" i="3"/>
  <c r="AW219" i="3"/>
  <c r="AY219" i="3" s="1"/>
  <c r="BD219" i="3"/>
  <c r="BM219" i="3" s="1"/>
  <c r="BF219" i="3"/>
  <c r="BG219" i="3"/>
  <c r="BQ219" i="3"/>
  <c r="BT219" i="3"/>
  <c r="BU219" i="3"/>
  <c r="BW219" i="3"/>
  <c r="CA219" i="3"/>
  <c r="CB219" i="3"/>
  <c r="L220" i="3"/>
  <c r="O220" i="3" s="1"/>
  <c r="W220" i="3"/>
  <c r="AA220" i="3"/>
  <c r="AL220" i="3" s="1"/>
  <c r="AE220" i="3"/>
  <c r="AF220" i="3" s="1"/>
  <c r="AM220" i="3"/>
  <c r="AN220" i="3"/>
  <c r="AO220" i="3"/>
  <c r="AP220" i="3"/>
  <c r="AQ220" i="3"/>
  <c r="AS220" i="3" s="1"/>
  <c r="AT220" i="3" s="1"/>
  <c r="AW220" i="3"/>
  <c r="AY220" i="3" s="1"/>
  <c r="BD220" i="3"/>
  <c r="BM220" i="3" s="1"/>
  <c r="BF220" i="3"/>
  <c r="BG220" i="3"/>
  <c r="BQ220" i="3"/>
  <c r="BT220" i="3"/>
  <c r="BU220" i="3"/>
  <c r="BW220" i="3"/>
  <c r="CA220" i="3"/>
  <c r="CB220" i="3"/>
  <c r="L221" i="3"/>
  <c r="O221" i="3" s="1"/>
  <c r="W221" i="3"/>
  <c r="AA221" i="3"/>
  <c r="AL221" i="3" s="1"/>
  <c r="AE221" i="3"/>
  <c r="AF221" i="3" s="1"/>
  <c r="AM221" i="3"/>
  <c r="AN221" i="3"/>
  <c r="AO221" i="3"/>
  <c r="AP221" i="3"/>
  <c r="AQ221" i="3"/>
  <c r="AS221" i="3" s="1"/>
  <c r="AT221" i="3" s="1"/>
  <c r="AW221" i="3"/>
  <c r="AY221" i="3" s="1"/>
  <c r="BD221" i="3"/>
  <c r="BM221" i="3" s="1"/>
  <c r="BF221" i="3"/>
  <c r="BG221" i="3"/>
  <c r="BQ221" i="3"/>
  <c r="BT221" i="3"/>
  <c r="BU221" i="3"/>
  <c r="BW221" i="3"/>
  <c r="CA221" i="3"/>
  <c r="CB221" i="3"/>
  <c r="L222" i="3"/>
  <c r="O222" i="3" s="1"/>
  <c r="W222" i="3"/>
  <c r="AA222" i="3"/>
  <c r="AL222" i="3" s="1"/>
  <c r="AE222" i="3"/>
  <c r="AF222" i="3" s="1"/>
  <c r="AM222" i="3"/>
  <c r="AN222" i="3"/>
  <c r="AO222" i="3"/>
  <c r="AP222" i="3"/>
  <c r="AQ222" i="3"/>
  <c r="AW222" i="3"/>
  <c r="AY222" i="3" s="1"/>
  <c r="BD222" i="3"/>
  <c r="BM222" i="3" s="1"/>
  <c r="BF222" i="3"/>
  <c r="BG222" i="3"/>
  <c r="BQ222" i="3"/>
  <c r="BT222" i="3"/>
  <c r="BU222" i="3"/>
  <c r="BW222" i="3"/>
  <c r="CA222" i="3"/>
  <c r="CB222" i="3"/>
  <c r="L223" i="3"/>
  <c r="O223" i="3" s="1"/>
  <c r="W223" i="3"/>
  <c r="AA223" i="3"/>
  <c r="AL223" i="3" s="1"/>
  <c r="AE223" i="3"/>
  <c r="AF223" i="3" s="1"/>
  <c r="AM223" i="3"/>
  <c r="AN223" i="3"/>
  <c r="AO223" i="3"/>
  <c r="AP223" i="3"/>
  <c r="AQ223" i="3"/>
  <c r="AS223" i="3" s="1"/>
  <c r="AT223" i="3" s="1"/>
  <c r="AW223" i="3"/>
  <c r="AY223" i="3" s="1"/>
  <c r="BD223" i="3"/>
  <c r="BM223" i="3" s="1"/>
  <c r="BF223" i="3"/>
  <c r="BG223" i="3"/>
  <c r="BQ223" i="3"/>
  <c r="BT223" i="3"/>
  <c r="BU223" i="3"/>
  <c r="BW223" i="3"/>
  <c r="CA223" i="3"/>
  <c r="CB223" i="3"/>
  <c r="L224" i="3"/>
  <c r="O224" i="3" s="1"/>
  <c r="W224" i="3"/>
  <c r="AA224" i="3"/>
  <c r="AL224" i="3" s="1"/>
  <c r="AE224" i="3"/>
  <c r="AF224" i="3" s="1"/>
  <c r="AM224" i="3"/>
  <c r="AN224" i="3"/>
  <c r="AO224" i="3"/>
  <c r="AP224" i="3"/>
  <c r="AQ224" i="3"/>
  <c r="AS224" i="3" s="1"/>
  <c r="AT224" i="3" s="1"/>
  <c r="AW224" i="3"/>
  <c r="AY224" i="3" s="1"/>
  <c r="BD224" i="3"/>
  <c r="BM224" i="3" s="1"/>
  <c r="BF224" i="3"/>
  <c r="BG224" i="3"/>
  <c r="BQ224" i="3"/>
  <c r="BT224" i="3"/>
  <c r="BU224" i="3"/>
  <c r="BW224" i="3"/>
  <c r="CA224" i="3"/>
  <c r="CB224" i="3"/>
  <c r="L225" i="3"/>
  <c r="O225" i="3" s="1"/>
  <c r="W225" i="3"/>
  <c r="AA225" i="3"/>
  <c r="AL225" i="3" s="1"/>
  <c r="AE225" i="3"/>
  <c r="AF225" i="3" s="1"/>
  <c r="AM225" i="3"/>
  <c r="AN225" i="3"/>
  <c r="AO225" i="3"/>
  <c r="AP225" i="3"/>
  <c r="AQ225" i="3"/>
  <c r="AS225" i="3" s="1"/>
  <c r="AT225" i="3" s="1"/>
  <c r="AW225" i="3"/>
  <c r="AY225" i="3" s="1"/>
  <c r="BD225" i="3"/>
  <c r="BM225" i="3" s="1"/>
  <c r="BF225" i="3"/>
  <c r="BG225" i="3"/>
  <c r="BQ225" i="3"/>
  <c r="BT225" i="3"/>
  <c r="BU225" i="3"/>
  <c r="BW225" i="3"/>
  <c r="CA225" i="3"/>
  <c r="CB225" i="3"/>
  <c r="L226" i="3"/>
  <c r="O226" i="3" s="1"/>
  <c r="W226" i="3"/>
  <c r="AA226" i="3"/>
  <c r="AL226" i="3" s="1"/>
  <c r="AE226" i="3"/>
  <c r="AF226" i="3" s="1"/>
  <c r="AM226" i="3"/>
  <c r="AN226" i="3"/>
  <c r="AO226" i="3"/>
  <c r="AP226" i="3"/>
  <c r="AQ226" i="3"/>
  <c r="AS226" i="3" s="1"/>
  <c r="AT226" i="3" s="1"/>
  <c r="AW226" i="3"/>
  <c r="AY226" i="3" s="1"/>
  <c r="BD226" i="3"/>
  <c r="BM226" i="3" s="1"/>
  <c r="BF226" i="3"/>
  <c r="BG226" i="3"/>
  <c r="BQ226" i="3"/>
  <c r="BT226" i="3"/>
  <c r="BU226" i="3"/>
  <c r="BW226" i="3"/>
  <c r="CA226" i="3"/>
  <c r="CB226" i="3"/>
  <c r="L227" i="3"/>
  <c r="O227" i="3" s="1"/>
  <c r="W227" i="3"/>
  <c r="AA227" i="3"/>
  <c r="AL227" i="3" s="1"/>
  <c r="AE227" i="3"/>
  <c r="AM227" i="3"/>
  <c r="AN227" i="3"/>
  <c r="AO227" i="3"/>
  <c r="AP227" i="3"/>
  <c r="AQ227" i="3"/>
  <c r="AS227" i="3" s="1"/>
  <c r="AT227" i="3" s="1"/>
  <c r="AW227" i="3"/>
  <c r="AY227" i="3" s="1"/>
  <c r="BD227" i="3"/>
  <c r="BM227" i="3" s="1"/>
  <c r="BF227" i="3"/>
  <c r="BG227" i="3"/>
  <c r="BQ227" i="3"/>
  <c r="BT227" i="3"/>
  <c r="BU227" i="3"/>
  <c r="BW227" i="3"/>
  <c r="CA227" i="3"/>
  <c r="CB227" i="3"/>
  <c r="L228" i="3"/>
  <c r="O228" i="3" s="1"/>
  <c r="W228" i="3"/>
  <c r="AA228" i="3"/>
  <c r="AL228" i="3" s="1"/>
  <c r="AE228" i="3"/>
  <c r="AM228" i="3"/>
  <c r="AN228" i="3"/>
  <c r="AO228" i="3"/>
  <c r="AP228" i="3"/>
  <c r="AQ228" i="3"/>
  <c r="AS228" i="3" s="1"/>
  <c r="AT228" i="3" s="1"/>
  <c r="AW228" i="3"/>
  <c r="AY228" i="3" s="1"/>
  <c r="BD228" i="3"/>
  <c r="BM228" i="3" s="1"/>
  <c r="BF228" i="3"/>
  <c r="BG228" i="3"/>
  <c r="BQ228" i="3"/>
  <c r="BT228" i="3"/>
  <c r="BU228" i="3"/>
  <c r="BW228" i="3"/>
  <c r="CA228" i="3"/>
  <c r="CB228" i="3"/>
  <c r="L229" i="3"/>
  <c r="O229" i="3" s="1"/>
  <c r="W229" i="3"/>
  <c r="AA229" i="3"/>
  <c r="AL229" i="3" s="1"/>
  <c r="AE229" i="3"/>
  <c r="AH229" i="3" s="1"/>
  <c r="AM229" i="3"/>
  <c r="AN229" i="3"/>
  <c r="AO229" i="3"/>
  <c r="AP229" i="3"/>
  <c r="AQ229" i="3"/>
  <c r="AS229" i="3" s="1"/>
  <c r="AT229" i="3" s="1"/>
  <c r="AW229" i="3"/>
  <c r="AY229" i="3" s="1"/>
  <c r="BD229" i="3"/>
  <c r="BF229" i="3"/>
  <c r="BG229" i="3"/>
  <c r="BQ229" i="3"/>
  <c r="BT229" i="3"/>
  <c r="BU229" i="3"/>
  <c r="BW229" i="3"/>
  <c r="CA229" i="3"/>
  <c r="CB229" i="3"/>
  <c r="L230" i="3"/>
  <c r="O230" i="3" s="1"/>
  <c r="W230" i="3"/>
  <c r="AA230" i="3"/>
  <c r="AL230" i="3" s="1"/>
  <c r="AE230" i="3"/>
  <c r="AM230" i="3"/>
  <c r="AN230" i="3"/>
  <c r="AO230" i="3"/>
  <c r="AP230" i="3"/>
  <c r="AQ230" i="3"/>
  <c r="AS230" i="3" s="1"/>
  <c r="AT230" i="3" s="1"/>
  <c r="AW230" i="3"/>
  <c r="AY230" i="3" s="1"/>
  <c r="BD230" i="3"/>
  <c r="BO230" i="3" s="1"/>
  <c r="BF230" i="3"/>
  <c r="BG230" i="3"/>
  <c r="BQ230" i="3"/>
  <c r="BT230" i="3"/>
  <c r="BU230" i="3"/>
  <c r="BW230" i="3"/>
  <c r="CA230" i="3"/>
  <c r="CB230" i="3"/>
  <c r="L231" i="3"/>
  <c r="O231" i="3" s="1"/>
  <c r="W231" i="3"/>
  <c r="AA231" i="3"/>
  <c r="AL231" i="3" s="1"/>
  <c r="AE231" i="3"/>
  <c r="AF231" i="3" s="1"/>
  <c r="AM231" i="3"/>
  <c r="AN231" i="3"/>
  <c r="AO231" i="3"/>
  <c r="AP231" i="3"/>
  <c r="AQ231" i="3"/>
  <c r="AS231" i="3" s="1"/>
  <c r="AT231" i="3" s="1"/>
  <c r="AW231" i="3"/>
  <c r="AY231" i="3" s="1"/>
  <c r="BD231" i="3"/>
  <c r="BM231" i="3" s="1"/>
  <c r="BF231" i="3"/>
  <c r="BG231" i="3"/>
  <c r="BQ231" i="3"/>
  <c r="BT231" i="3"/>
  <c r="BU231" i="3"/>
  <c r="BW231" i="3"/>
  <c r="CA231" i="3"/>
  <c r="CB231" i="3"/>
  <c r="L232" i="3"/>
  <c r="O232" i="3" s="1"/>
  <c r="W232" i="3"/>
  <c r="AA232" i="3"/>
  <c r="AL232" i="3" s="1"/>
  <c r="AE232" i="3"/>
  <c r="AF232" i="3" s="1"/>
  <c r="AM232" i="3"/>
  <c r="AN232" i="3"/>
  <c r="AO232" i="3"/>
  <c r="AP232" i="3"/>
  <c r="AQ232" i="3"/>
  <c r="AS232" i="3" s="1"/>
  <c r="AT232" i="3" s="1"/>
  <c r="AW232" i="3"/>
  <c r="AY232" i="3" s="1"/>
  <c r="BD232" i="3"/>
  <c r="BF232" i="3"/>
  <c r="BG232" i="3"/>
  <c r="BQ232" i="3"/>
  <c r="BT232" i="3"/>
  <c r="BU232" i="3"/>
  <c r="BW232" i="3"/>
  <c r="CA232" i="3"/>
  <c r="CB232" i="3"/>
  <c r="L198" i="3"/>
  <c r="O198" i="3" s="1"/>
  <c r="W198" i="3"/>
  <c r="AA198" i="3"/>
  <c r="AL198" i="3" s="1"/>
  <c r="AE198" i="3"/>
  <c r="AF198" i="3" s="1"/>
  <c r="AM198" i="3"/>
  <c r="AN198" i="3"/>
  <c r="AQ198" i="3"/>
  <c r="AS198" i="3" s="1"/>
  <c r="AT198" i="3" s="1"/>
  <c r="AW198" i="3"/>
  <c r="AY198" i="3" s="1"/>
  <c r="BD198" i="3"/>
  <c r="BO198" i="3" s="1"/>
  <c r="BF198" i="3"/>
  <c r="BG198" i="3"/>
  <c r="BM198" i="3"/>
  <c r="BQ198" i="3"/>
  <c r="BT198" i="3"/>
  <c r="BU198" i="3"/>
  <c r="BW198" i="3"/>
  <c r="CA198" i="3"/>
  <c r="CB198" i="3"/>
  <c r="L199" i="3"/>
  <c r="O199" i="3" s="1"/>
  <c r="W199" i="3"/>
  <c r="AA199" i="3"/>
  <c r="AL199" i="3" s="1"/>
  <c r="AE199" i="3"/>
  <c r="AF199" i="3" s="1"/>
  <c r="AM199" i="3"/>
  <c r="AN199" i="3"/>
  <c r="AQ199" i="3"/>
  <c r="AS199" i="3" s="1"/>
  <c r="AT199" i="3" s="1"/>
  <c r="AW199" i="3"/>
  <c r="AY199" i="3" s="1"/>
  <c r="BD199" i="3"/>
  <c r="BO199" i="3" s="1"/>
  <c r="BF199" i="3"/>
  <c r="BG199" i="3"/>
  <c r="BM199" i="3"/>
  <c r="BQ199" i="3"/>
  <c r="BT199" i="3"/>
  <c r="BU199" i="3"/>
  <c r="BW199" i="3"/>
  <c r="CA199" i="3"/>
  <c r="CB199" i="3"/>
  <c r="L200" i="3"/>
  <c r="O200" i="3" s="1"/>
  <c r="W200" i="3"/>
  <c r="AA200" i="3"/>
  <c r="AL200" i="3" s="1"/>
  <c r="AE200" i="3"/>
  <c r="AH200" i="3" s="1"/>
  <c r="AM200" i="3"/>
  <c r="AN200" i="3"/>
  <c r="AQ200" i="3"/>
  <c r="AS200" i="3" s="1"/>
  <c r="AT200" i="3" s="1"/>
  <c r="AW200" i="3"/>
  <c r="AY200" i="3" s="1"/>
  <c r="BD200" i="3"/>
  <c r="BO200" i="3" s="1"/>
  <c r="BF200" i="3"/>
  <c r="BG200" i="3"/>
  <c r="BM200" i="3"/>
  <c r="BQ200" i="3"/>
  <c r="BT200" i="3"/>
  <c r="BU200" i="3"/>
  <c r="BW200" i="3"/>
  <c r="CA200" i="3"/>
  <c r="CB200" i="3"/>
  <c r="L201" i="3"/>
  <c r="O201" i="3" s="1"/>
  <c r="W201" i="3"/>
  <c r="AA201" i="3"/>
  <c r="AL201" i="3" s="1"/>
  <c r="AE201" i="3"/>
  <c r="AF201" i="3" s="1"/>
  <c r="AM201" i="3"/>
  <c r="AN201" i="3"/>
  <c r="AQ201" i="3"/>
  <c r="AS201" i="3" s="1"/>
  <c r="AT201" i="3" s="1"/>
  <c r="AW201" i="3"/>
  <c r="AY201" i="3" s="1"/>
  <c r="BD201" i="3"/>
  <c r="BO201" i="3" s="1"/>
  <c r="BF201" i="3"/>
  <c r="BG201" i="3"/>
  <c r="BM201" i="3"/>
  <c r="BQ201" i="3"/>
  <c r="BT201" i="3"/>
  <c r="BU201" i="3"/>
  <c r="BW201" i="3"/>
  <c r="CA201" i="3"/>
  <c r="CB201" i="3"/>
  <c r="L202" i="3"/>
  <c r="O202" i="3" s="1"/>
  <c r="W202" i="3"/>
  <c r="AA202" i="3"/>
  <c r="AL202" i="3" s="1"/>
  <c r="AE202" i="3"/>
  <c r="AF202" i="3" s="1"/>
  <c r="AM202" i="3"/>
  <c r="AN202" i="3"/>
  <c r="AQ202" i="3"/>
  <c r="AS202" i="3" s="1"/>
  <c r="AT202" i="3" s="1"/>
  <c r="AW202" i="3"/>
  <c r="AY202" i="3" s="1"/>
  <c r="BD202" i="3"/>
  <c r="BO202" i="3" s="1"/>
  <c r="BF202" i="3"/>
  <c r="BG202" i="3"/>
  <c r="BM202" i="3"/>
  <c r="BQ202" i="3"/>
  <c r="BT202" i="3"/>
  <c r="BU202" i="3"/>
  <c r="BW202" i="3"/>
  <c r="CA202" i="3"/>
  <c r="CB202" i="3"/>
  <c r="L203" i="3"/>
  <c r="O203" i="3" s="1"/>
  <c r="W203" i="3"/>
  <c r="AA203" i="3"/>
  <c r="AL203" i="3" s="1"/>
  <c r="AE203" i="3"/>
  <c r="AF203" i="3" s="1"/>
  <c r="AM203" i="3"/>
  <c r="AN203" i="3"/>
  <c r="AQ203" i="3"/>
  <c r="AS203" i="3" s="1"/>
  <c r="AT203" i="3" s="1"/>
  <c r="AW203" i="3"/>
  <c r="AY203" i="3" s="1"/>
  <c r="BD203" i="3"/>
  <c r="BO203" i="3" s="1"/>
  <c r="BF203" i="3"/>
  <c r="BG203" i="3"/>
  <c r="BM203" i="3"/>
  <c r="BQ203" i="3"/>
  <c r="BT203" i="3"/>
  <c r="BU203" i="3"/>
  <c r="BW203" i="3"/>
  <c r="CA203" i="3"/>
  <c r="CB203" i="3"/>
  <c r="L204" i="3"/>
  <c r="O204" i="3" s="1"/>
  <c r="W204" i="3"/>
  <c r="AA204" i="3"/>
  <c r="AL204" i="3" s="1"/>
  <c r="AE204" i="3"/>
  <c r="AF204" i="3" s="1"/>
  <c r="AM204" i="3"/>
  <c r="AN204" i="3"/>
  <c r="AQ204" i="3"/>
  <c r="AS204" i="3" s="1"/>
  <c r="AT204" i="3" s="1"/>
  <c r="AW204" i="3"/>
  <c r="AY204" i="3" s="1"/>
  <c r="BD204" i="3"/>
  <c r="BO204" i="3" s="1"/>
  <c r="BF204" i="3"/>
  <c r="BG204" i="3"/>
  <c r="BM204" i="3"/>
  <c r="BQ204" i="3"/>
  <c r="BT204" i="3"/>
  <c r="BU204" i="3"/>
  <c r="BW204" i="3"/>
  <c r="CA204" i="3"/>
  <c r="CB204" i="3"/>
  <c r="L205" i="3"/>
  <c r="O205" i="3" s="1"/>
  <c r="W205" i="3"/>
  <c r="AA205" i="3"/>
  <c r="AL205" i="3" s="1"/>
  <c r="AE205" i="3"/>
  <c r="AF205" i="3" s="1"/>
  <c r="AM205" i="3"/>
  <c r="AN205" i="3"/>
  <c r="AQ205" i="3"/>
  <c r="AS205" i="3" s="1"/>
  <c r="AT205" i="3" s="1"/>
  <c r="AW205" i="3"/>
  <c r="AY205" i="3" s="1"/>
  <c r="BD205" i="3"/>
  <c r="BO205" i="3" s="1"/>
  <c r="BF205" i="3"/>
  <c r="BG205" i="3"/>
  <c r="BM205" i="3"/>
  <c r="BQ205" i="3"/>
  <c r="BT205" i="3"/>
  <c r="BU205" i="3"/>
  <c r="BW205" i="3"/>
  <c r="CA205" i="3"/>
  <c r="CB205" i="3"/>
  <c r="L206" i="3"/>
  <c r="O206" i="3" s="1"/>
  <c r="W206" i="3"/>
  <c r="AA206" i="3"/>
  <c r="AL206" i="3" s="1"/>
  <c r="AE206" i="3"/>
  <c r="AM206" i="3"/>
  <c r="AN206" i="3"/>
  <c r="AQ206" i="3"/>
  <c r="AS206" i="3" s="1"/>
  <c r="AT206" i="3" s="1"/>
  <c r="AW206" i="3"/>
  <c r="AY206" i="3" s="1"/>
  <c r="BD206" i="3"/>
  <c r="BO206" i="3" s="1"/>
  <c r="BF206" i="3"/>
  <c r="BG206" i="3"/>
  <c r="BM206" i="3"/>
  <c r="BQ206" i="3"/>
  <c r="BT206" i="3"/>
  <c r="BU206" i="3"/>
  <c r="BW206" i="3"/>
  <c r="CA206" i="3"/>
  <c r="CB206" i="3"/>
  <c r="L207" i="3"/>
  <c r="O207" i="3" s="1"/>
  <c r="W207" i="3"/>
  <c r="AA207" i="3"/>
  <c r="AL207" i="3" s="1"/>
  <c r="AE207" i="3"/>
  <c r="AF207" i="3" s="1"/>
  <c r="AM207" i="3"/>
  <c r="AN207" i="3"/>
  <c r="AQ207" i="3"/>
  <c r="AS207" i="3" s="1"/>
  <c r="AT207" i="3" s="1"/>
  <c r="AW207" i="3"/>
  <c r="AY207" i="3" s="1"/>
  <c r="BD207" i="3"/>
  <c r="BO207" i="3" s="1"/>
  <c r="BF207" i="3"/>
  <c r="BG207" i="3"/>
  <c r="BM207" i="3"/>
  <c r="BQ207" i="3"/>
  <c r="BT207" i="3"/>
  <c r="BU207" i="3"/>
  <c r="BW207" i="3"/>
  <c r="CA207" i="3"/>
  <c r="CB207" i="3"/>
  <c r="L208" i="3"/>
  <c r="O208" i="3" s="1"/>
  <c r="W208" i="3"/>
  <c r="AA208" i="3"/>
  <c r="AL208" i="3" s="1"/>
  <c r="AE208" i="3"/>
  <c r="AM208" i="3"/>
  <c r="AN208" i="3"/>
  <c r="AQ208" i="3"/>
  <c r="AS208" i="3" s="1"/>
  <c r="AT208" i="3" s="1"/>
  <c r="AW208" i="3"/>
  <c r="AY208" i="3" s="1"/>
  <c r="BD208" i="3"/>
  <c r="BO208" i="3" s="1"/>
  <c r="BF208" i="3"/>
  <c r="BG208" i="3"/>
  <c r="BM208" i="3"/>
  <c r="BQ208" i="3"/>
  <c r="BT208" i="3"/>
  <c r="BU208" i="3"/>
  <c r="BW208" i="3"/>
  <c r="CA208" i="3"/>
  <c r="CB208" i="3"/>
  <c r="L209" i="3"/>
  <c r="O209" i="3" s="1"/>
  <c r="W209" i="3"/>
  <c r="AA209" i="3"/>
  <c r="AL209" i="3" s="1"/>
  <c r="AE209" i="3"/>
  <c r="AM209" i="3"/>
  <c r="AN209" i="3"/>
  <c r="AQ209" i="3"/>
  <c r="AS209" i="3" s="1"/>
  <c r="AT209" i="3" s="1"/>
  <c r="AW209" i="3"/>
  <c r="AY209" i="3" s="1"/>
  <c r="BD209" i="3"/>
  <c r="BO209" i="3" s="1"/>
  <c r="BF209" i="3"/>
  <c r="BG209" i="3"/>
  <c r="BM209" i="3"/>
  <c r="BQ209" i="3"/>
  <c r="BT209" i="3"/>
  <c r="BU209" i="3"/>
  <c r="BW209" i="3"/>
  <c r="CA209" i="3"/>
  <c r="CB209" i="3"/>
  <c r="L210" i="3"/>
  <c r="O210" i="3" s="1"/>
  <c r="W210" i="3"/>
  <c r="AA210" i="3"/>
  <c r="AL210" i="3" s="1"/>
  <c r="AE210" i="3"/>
  <c r="AF210" i="3" s="1"/>
  <c r="AM210" i="3"/>
  <c r="AN210" i="3"/>
  <c r="AQ210" i="3"/>
  <c r="AS210" i="3" s="1"/>
  <c r="AT210" i="3" s="1"/>
  <c r="AW210" i="3"/>
  <c r="AY210" i="3" s="1"/>
  <c r="BD210" i="3"/>
  <c r="BO210" i="3" s="1"/>
  <c r="BF210" i="3"/>
  <c r="BG210" i="3"/>
  <c r="BM210" i="3"/>
  <c r="BQ210" i="3"/>
  <c r="BT210" i="3"/>
  <c r="BU210" i="3"/>
  <c r="BW210" i="3"/>
  <c r="CA210" i="3"/>
  <c r="CB210" i="3"/>
  <c r="L211" i="3"/>
  <c r="O211" i="3" s="1"/>
  <c r="W211" i="3"/>
  <c r="AA211" i="3"/>
  <c r="AL211" i="3" s="1"/>
  <c r="AE211" i="3"/>
  <c r="AF211" i="3" s="1"/>
  <c r="AM211" i="3"/>
  <c r="AN211" i="3"/>
  <c r="AQ211" i="3"/>
  <c r="AS211" i="3" s="1"/>
  <c r="AT211" i="3" s="1"/>
  <c r="AW211" i="3"/>
  <c r="AY211" i="3" s="1"/>
  <c r="BD211" i="3"/>
  <c r="BO211" i="3" s="1"/>
  <c r="BF211" i="3"/>
  <c r="BG211" i="3"/>
  <c r="BM211" i="3"/>
  <c r="BQ211" i="3"/>
  <c r="BT211" i="3"/>
  <c r="BU211" i="3"/>
  <c r="BW211" i="3"/>
  <c r="CA211" i="3"/>
  <c r="CB211" i="3"/>
  <c r="L212" i="3"/>
  <c r="O212" i="3" s="1"/>
  <c r="W212" i="3"/>
  <c r="AA212" i="3"/>
  <c r="AL212" i="3" s="1"/>
  <c r="AE212" i="3"/>
  <c r="AH212" i="3" s="1"/>
  <c r="AM212" i="3"/>
  <c r="AN212" i="3"/>
  <c r="AQ212" i="3"/>
  <c r="AS212" i="3" s="1"/>
  <c r="AT212" i="3" s="1"/>
  <c r="AW212" i="3"/>
  <c r="AY212" i="3" s="1"/>
  <c r="BD212" i="3"/>
  <c r="BO212" i="3" s="1"/>
  <c r="BF212" i="3"/>
  <c r="BG212" i="3"/>
  <c r="BM212" i="3"/>
  <c r="BQ212" i="3"/>
  <c r="BT212" i="3"/>
  <c r="BU212" i="3"/>
  <c r="BW212" i="3"/>
  <c r="CA212" i="3"/>
  <c r="CB212" i="3"/>
  <c r="L213" i="3"/>
  <c r="O213" i="3" s="1"/>
  <c r="W213" i="3"/>
  <c r="AA213" i="3"/>
  <c r="AL213" i="3" s="1"/>
  <c r="AE213" i="3"/>
  <c r="AF213" i="3" s="1"/>
  <c r="AM213" i="3"/>
  <c r="AN213" i="3"/>
  <c r="AQ213" i="3"/>
  <c r="AS213" i="3" s="1"/>
  <c r="AT213" i="3" s="1"/>
  <c r="AW213" i="3"/>
  <c r="AY213" i="3" s="1"/>
  <c r="BD213" i="3"/>
  <c r="BO213" i="3" s="1"/>
  <c r="BF213" i="3"/>
  <c r="BG213" i="3"/>
  <c r="BM213" i="3"/>
  <c r="BQ213" i="3"/>
  <c r="BT213" i="3"/>
  <c r="BU213" i="3"/>
  <c r="BW213" i="3"/>
  <c r="CA213" i="3"/>
  <c r="CB213" i="3"/>
  <c r="L214" i="3"/>
  <c r="O214" i="3" s="1"/>
  <c r="W214" i="3"/>
  <c r="AA214" i="3"/>
  <c r="AL214" i="3" s="1"/>
  <c r="AE214" i="3"/>
  <c r="AF214" i="3" s="1"/>
  <c r="AM214" i="3"/>
  <c r="AN214" i="3"/>
  <c r="AQ214" i="3"/>
  <c r="AS214" i="3" s="1"/>
  <c r="AT214" i="3" s="1"/>
  <c r="AW214" i="3"/>
  <c r="AY214" i="3" s="1"/>
  <c r="BD214" i="3"/>
  <c r="BO214" i="3" s="1"/>
  <c r="BF214" i="3"/>
  <c r="BG214" i="3"/>
  <c r="BM214" i="3"/>
  <c r="BQ214" i="3"/>
  <c r="BT214" i="3"/>
  <c r="BU214" i="3"/>
  <c r="BW214" i="3"/>
  <c r="CA214" i="3"/>
  <c r="CB214" i="3"/>
  <c r="L180" i="3"/>
  <c r="O180" i="3" s="1"/>
  <c r="W180" i="3"/>
  <c r="AA180" i="3"/>
  <c r="AL180" i="3" s="1"/>
  <c r="AE180" i="3"/>
  <c r="AF180" i="3" s="1"/>
  <c r="AM180" i="3"/>
  <c r="AN180" i="3"/>
  <c r="AO180" i="3"/>
  <c r="AP180" i="3"/>
  <c r="AQ180" i="3"/>
  <c r="AS180" i="3" s="1"/>
  <c r="AT180" i="3" s="1"/>
  <c r="AW180" i="3"/>
  <c r="AY180" i="3" s="1"/>
  <c r="BD180" i="3"/>
  <c r="BO180" i="3" s="1"/>
  <c r="BF180" i="3"/>
  <c r="BG180" i="3"/>
  <c r="BM180" i="3"/>
  <c r="BQ180" i="3"/>
  <c r="BT180" i="3"/>
  <c r="BU180" i="3"/>
  <c r="BW180" i="3"/>
  <c r="CA180" i="3"/>
  <c r="CB180" i="3"/>
  <c r="L181" i="3"/>
  <c r="O181" i="3" s="1"/>
  <c r="W181" i="3"/>
  <c r="AA181" i="3"/>
  <c r="AL181" i="3" s="1"/>
  <c r="AE181" i="3"/>
  <c r="AM181" i="3"/>
  <c r="AN181" i="3"/>
  <c r="AO181" i="3"/>
  <c r="AP181" i="3"/>
  <c r="AQ181" i="3"/>
  <c r="AS181" i="3" s="1"/>
  <c r="AT181" i="3" s="1"/>
  <c r="AW181" i="3"/>
  <c r="AY181" i="3" s="1"/>
  <c r="BD181" i="3"/>
  <c r="BO181" i="3" s="1"/>
  <c r="BF181" i="3"/>
  <c r="BG181" i="3"/>
  <c r="BM181" i="3"/>
  <c r="BQ181" i="3"/>
  <c r="BT181" i="3"/>
  <c r="BU181" i="3"/>
  <c r="BW181" i="3"/>
  <c r="CA181" i="3"/>
  <c r="CB181" i="3"/>
  <c r="L182" i="3"/>
  <c r="O182" i="3" s="1"/>
  <c r="W182" i="3"/>
  <c r="AA182" i="3"/>
  <c r="AL182" i="3" s="1"/>
  <c r="AE182" i="3"/>
  <c r="AM182" i="3"/>
  <c r="AN182" i="3"/>
  <c r="AO182" i="3"/>
  <c r="AP182" i="3"/>
  <c r="AQ182" i="3"/>
  <c r="AS182" i="3" s="1"/>
  <c r="AT182" i="3" s="1"/>
  <c r="AW182" i="3"/>
  <c r="AY182" i="3" s="1"/>
  <c r="BD182" i="3"/>
  <c r="BO182" i="3" s="1"/>
  <c r="BF182" i="3"/>
  <c r="BG182" i="3"/>
  <c r="BM182" i="3"/>
  <c r="BQ182" i="3"/>
  <c r="BT182" i="3"/>
  <c r="BU182" i="3"/>
  <c r="BW182" i="3"/>
  <c r="CA182" i="3"/>
  <c r="CB182" i="3"/>
  <c r="L183" i="3"/>
  <c r="O183" i="3" s="1"/>
  <c r="W183" i="3"/>
  <c r="AA183" i="3"/>
  <c r="AL183" i="3" s="1"/>
  <c r="AE183" i="3"/>
  <c r="AM183" i="3"/>
  <c r="AN183" i="3"/>
  <c r="AO183" i="3"/>
  <c r="AP183" i="3"/>
  <c r="AQ183" i="3"/>
  <c r="AS183" i="3" s="1"/>
  <c r="AT183" i="3" s="1"/>
  <c r="AW183" i="3"/>
  <c r="AY183" i="3" s="1"/>
  <c r="BD183" i="3"/>
  <c r="BO183" i="3" s="1"/>
  <c r="BF183" i="3"/>
  <c r="BG183" i="3"/>
  <c r="BM183" i="3"/>
  <c r="BQ183" i="3"/>
  <c r="BT183" i="3"/>
  <c r="BU183" i="3"/>
  <c r="BW183" i="3"/>
  <c r="CA183" i="3"/>
  <c r="CB183" i="3"/>
  <c r="L184" i="3"/>
  <c r="O184" i="3" s="1"/>
  <c r="W184" i="3"/>
  <c r="AA184" i="3"/>
  <c r="AL184" i="3" s="1"/>
  <c r="AE184" i="3"/>
  <c r="AF184" i="3" s="1"/>
  <c r="AM184" i="3"/>
  <c r="AN184" i="3"/>
  <c r="AO184" i="3"/>
  <c r="AP184" i="3"/>
  <c r="AQ184" i="3"/>
  <c r="AS184" i="3" s="1"/>
  <c r="AT184" i="3" s="1"/>
  <c r="AW184" i="3"/>
  <c r="AY184" i="3" s="1"/>
  <c r="BD184" i="3"/>
  <c r="BO184" i="3" s="1"/>
  <c r="BF184" i="3"/>
  <c r="BG184" i="3"/>
  <c r="BM184" i="3"/>
  <c r="BQ184" i="3"/>
  <c r="BT184" i="3"/>
  <c r="BU184" i="3"/>
  <c r="BW184" i="3"/>
  <c r="CA184" i="3"/>
  <c r="CB184" i="3"/>
  <c r="L185" i="3"/>
  <c r="O185" i="3" s="1"/>
  <c r="W185" i="3"/>
  <c r="AA185" i="3"/>
  <c r="AL185" i="3" s="1"/>
  <c r="AE185" i="3"/>
  <c r="AH185" i="3" s="1"/>
  <c r="AM185" i="3"/>
  <c r="AN185" i="3"/>
  <c r="AO185" i="3"/>
  <c r="AP185" i="3"/>
  <c r="AQ185" i="3"/>
  <c r="AS185" i="3" s="1"/>
  <c r="AT185" i="3" s="1"/>
  <c r="AW185" i="3"/>
  <c r="AY185" i="3" s="1"/>
  <c r="BD185" i="3"/>
  <c r="BO185" i="3" s="1"/>
  <c r="BF185" i="3"/>
  <c r="BG185" i="3"/>
  <c r="BM185" i="3"/>
  <c r="BQ185" i="3"/>
  <c r="BT185" i="3"/>
  <c r="BU185" i="3"/>
  <c r="BW185" i="3"/>
  <c r="CA185" i="3"/>
  <c r="CB185" i="3"/>
  <c r="L186" i="3"/>
  <c r="O186" i="3" s="1"/>
  <c r="W186" i="3"/>
  <c r="AA186" i="3"/>
  <c r="AL186" i="3" s="1"/>
  <c r="AE186" i="3"/>
  <c r="AF186" i="3" s="1"/>
  <c r="AM186" i="3"/>
  <c r="AN186" i="3"/>
  <c r="AO186" i="3"/>
  <c r="AP186" i="3"/>
  <c r="AQ186" i="3"/>
  <c r="AS186" i="3" s="1"/>
  <c r="AT186" i="3" s="1"/>
  <c r="AW186" i="3"/>
  <c r="AY186" i="3" s="1"/>
  <c r="BD186" i="3"/>
  <c r="BO186" i="3" s="1"/>
  <c r="BF186" i="3"/>
  <c r="BG186" i="3"/>
  <c r="BM186" i="3"/>
  <c r="BQ186" i="3"/>
  <c r="BT186" i="3"/>
  <c r="BU186" i="3"/>
  <c r="BW186" i="3"/>
  <c r="CA186" i="3"/>
  <c r="CB186" i="3"/>
  <c r="L187" i="3"/>
  <c r="O187" i="3" s="1"/>
  <c r="W187" i="3"/>
  <c r="AA187" i="3"/>
  <c r="AL187" i="3" s="1"/>
  <c r="AE187" i="3"/>
  <c r="AF187" i="3" s="1"/>
  <c r="AM187" i="3"/>
  <c r="AN187" i="3"/>
  <c r="AO187" i="3"/>
  <c r="AP187" i="3"/>
  <c r="AQ187" i="3"/>
  <c r="AS187" i="3" s="1"/>
  <c r="AT187" i="3" s="1"/>
  <c r="AW187" i="3"/>
  <c r="AY187" i="3" s="1"/>
  <c r="BD187" i="3"/>
  <c r="BO187" i="3" s="1"/>
  <c r="BF187" i="3"/>
  <c r="BG187" i="3"/>
  <c r="BM187" i="3"/>
  <c r="BQ187" i="3"/>
  <c r="BT187" i="3"/>
  <c r="BU187" i="3"/>
  <c r="BW187" i="3"/>
  <c r="CA187" i="3"/>
  <c r="CB187" i="3"/>
  <c r="L188" i="3"/>
  <c r="O188" i="3" s="1"/>
  <c r="W188" i="3"/>
  <c r="AA188" i="3"/>
  <c r="AL188" i="3" s="1"/>
  <c r="AE188" i="3"/>
  <c r="AF188" i="3" s="1"/>
  <c r="AM188" i="3"/>
  <c r="AN188" i="3"/>
  <c r="AO188" i="3"/>
  <c r="AP188" i="3"/>
  <c r="AQ188" i="3"/>
  <c r="AS188" i="3" s="1"/>
  <c r="AT188" i="3" s="1"/>
  <c r="AW188" i="3"/>
  <c r="AY188" i="3" s="1"/>
  <c r="BD188" i="3"/>
  <c r="BO188" i="3" s="1"/>
  <c r="BF188" i="3"/>
  <c r="BG188" i="3"/>
  <c r="BM188" i="3"/>
  <c r="BQ188" i="3"/>
  <c r="BT188" i="3"/>
  <c r="BU188" i="3"/>
  <c r="BW188" i="3"/>
  <c r="CA188" i="3"/>
  <c r="CB188" i="3"/>
  <c r="L189" i="3"/>
  <c r="O189" i="3" s="1"/>
  <c r="W189" i="3"/>
  <c r="AA189" i="3"/>
  <c r="AL189" i="3" s="1"/>
  <c r="AE189" i="3"/>
  <c r="AM189" i="3"/>
  <c r="AN189" i="3"/>
  <c r="AO189" i="3"/>
  <c r="AP189" i="3"/>
  <c r="AQ189" i="3"/>
  <c r="AS189" i="3" s="1"/>
  <c r="AT189" i="3" s="1"/>
  <c r="AW189" i="3"/>
  <c r="AY189" i="3" s="1"/>
  <c r="BD189" i="3"/>
  <c r="BO189" i="3" s="1"/>
  <c r="BF189" i="3"/>
  <c r="BG189" i="3"/>
  <c r="BM189" i="3"/>
  <c r="BQ189" i="3"/>
  <c r="BT189" i="3"/>
  <c r="BU189" i="3"/>
  <c r="BW189" i="3"/>
  <c r="CA189" i="3"/>
  <c r="CB189" i="3"/>
  <c r="L190" i="3"/>
  <c r="O190" i="3" s="1"/>
  <c r="W190" i="3"/>
  <c r="AA190" i="3"/>
  <c r="AL190" i="3" s="1"/>
  <c r="AE190" i="3"/>
  <c r="AF190" i="3" s="1"/>
  <c r="AM190" i="3"/>
  <c r="AN190" i="3"/>
  <c r="AO190" i="3"/>
  <c r="AP190" i="3"/>
  <c r="AQ190" i="3"/>
  <c r="AS190" i="3" s="1"/>
  <c r="AT190" i="3" s="1"/>
  <c r="AW190" i="3"/>
  <c r="AY190" i="3" s="1"/>
  <c r="BD190" i="3"/>
  <c r="BO190" i="3" s="1"/>
  <c r="BF190" i="3"/>
  <c r="BG190" i="3"/>
  <c r="BM190" i="3"/>
  <c r="BQ190" i="3"/>
  <c r="BT190" i="3"/>
  <c r="BU190" i="3"/>
  <c r="BW190" i="3"/>
  <c r="CA190" i="3"/>
  <c r="CB190" i="3"/>
  <c r="L191" i="3"/>
  <c r="O191" i="3" s="1"/>
  <c r="W191" i="3"/>
  <c r="AA191" i="3"/>
  <c r="AL191" i="3" s="1"/>
  <c r="AE191" i="3"/>
  <c r="AH191" i="3" s="1"/>
  <c r="AM191" i="3"/>
  <c r="AN191" i="3"/>
  <c r="AO191" i="3"/>
  <c r="AP191" i="3"/>
  <c r="AQ191" i="3"/>
  <c r="AW191" i="3"/>
  <c r="AY191" i="3" s="1"/>
  <c r="BD191" i="3"/>
  <c r="BO191" i="3" s="1"/>
  <c r="BF191" i="3"/>
  <c r="BG191" i="3"/>
  <c r="BM191" i="3"/>
  <c r="BQ191" i="3"/>
  <c r="BT191" i="3"/>
  <c r="BU191" i="3"/>
  <c r="BW191" i="3"/>
  <c r="CA191" i="3"/>
  <c r="CB191" i="3"/>
  <c r="L192" i="3"/>
  <c r="O192" i="3" s="1"/>
  <c r="W192" i="3"/>
  <c r="AA192" i="3"/>
  <c r="AL192" i="3" s="1"/>
  <c r="AE192" i="3"/>
  <c r="AF192" i="3" s="1"/>
  <c r="AM192" i="3"/>
  <c r="AN192" i="3"/>
  <c r="AO192" i="3"/>
  <c r="AP192" i="3"/>
  <c r="AQ192" i="3"/>
  <c r="AS192" i="3" s="1"/>
  <c r="AT192" i="3" s="1"/>
  <c r="AW192" i="3"/>
  <c r="AY192" i="3" s="1"/>
  <c r="BD192" i="3"/>
  <c r="BO192" i="3" s="1"/>
  <c r="BF192" i="3"/>
  <c r="BG192" i="3"/>
  <c r="BM192" i="3"/>
  <c r="BQ192" i="3"/>
  <c r="BT192" i="3"/>
  <c r="BU192" i="3"/>
  <c r="BW192" i="3"/>
  <c r="CA192" i="3"/>
  <c r="CB192" i="3"/>
  <c r="L193" i="3"/>
  <c r="O193" i="3" s="1"/>
  <c r="W193" i="3"/>
  <c r="AA193" i="3"/>
  <c r="AL193" i="3" s="1"/>
  <c r="AE193" i="3"/>
  <c r="AM193" i="3"/>
  <c r="AN193" i="3"/>
  <c r="AO193" i="3"/>
  <c r="AP193" i="3"/>
  <c r="AQ193" i="3"/>
  <c r="AS193" i="3" s="1"/>
  <c r="AT193" i="3" s="1"/>
  <c r="AW193" i="3"/>
  <c r="AY193" i="3" s="1"/>
  <c r="BD193" i="3"/>
  <c r="BO193" i="3" s="1"/>
  <c r="BF193" i="3"/>
  <c r="BG193" i="3"/>
  <c r="BM193" i="3"/>
  <c r="BQ193" i="3"/>
  <c r="BT193" i="3"/>
  <c r="BU193" i="3"/>
  <c r="BW193" i="3"/>
  <c r="CA193" i="3"/>
  <c r="CB193" i="3"/>
  <c r="L194" i="3"/>
  <c r="O194" i="3" s="1"/>
  <c r="W194" i="3"/>
  <c r="AA194" i="3"/>
  <c r="AL194" i="3" s="1"/>
  <c r="AE194" i="3"/>
  <c r="AM194" i="3"/>
  <c r="AN194" i="3"/>
  <c r="AO194" i="3"/>
  <c r="AP194" i="3"/>
  <c r="AQ194" i="3"/>
  <c r="AS194" i="3" s="1"/>
  <c r="AT194" i="3" s="1"/>
  <c r="AW194" i="3"/>
  <c r="AY194" i="3" s="1"/>
  <c r="BD194" i="3"/>
  <c r="BO194" i="3" s="1"/>
  <c r="BF194" i="3"/>
  <c r="BG194" i="3"/>
  <c r="BM194" i="3"/>
  <c r="BQ194" i="3"/>
  <c r="BT194" i="3"/>
  <c r="BU194" i="3"/>
  <c r="BW194" i="3"/>
  <c r="CA194" i="3"/>
  <c r="CB194" i="3"/>
  <c r="L195" i="3"/>
  <c r="O195" i="3" s="1"/>
  <c r="W195" i="3"/>
  <c r="AA195" i="3"/>
  <c r="AL195" i="3" s="1"/>
  <c r="AE195" i="3"/>
  <c r="AF195" i="3" s="1"/>
  <c r="AM195" i="3"/>
  <c r="AN195" i="3"/>
  <c r="AO195" i="3"/>
  <c r="AP195" i="3"/>
  <c r="AQ195" i="3"/>
  <c r="AS195" i="3" s="1"/>
  <c r="AT195" i="3" s="1"/>
  <c r="AW195" i="3"/>
  <c r="AY195" i="3" s="1"/>
  <c r="BD195" i="3"/>
  <c r="BO195" i="3" s="1"/>
  <c r="BF195" i="3"/>
  <c r="BG195" i="3"/>
  <c r="BM195" i="3"/>
  <c r="BQ195" i="3"/>
  <c r="BT195" i="3"/>
  <c r="BU195" i="3"/>
  <c r="BW195" i="3"/>
  <c r="CA195" i="3"/>
  <c r="CB195" i="3"/>
  <c r="L196" i="3"/>
  <c r="O196" i="3" s="1"/>
  <c r="W196" i="3"/>
  <c r="AA196" i="3"/>
  <c r="AL196" i="3" s="1"/>
  <c r="AE196" i="3"/>
  <c r="AF196" i="3" s="1"/>
  <c r="AM196" i="3"/>
  <c r="AN196" i="3"/>
  <c r="AO196" i="3"/>
  <c r="AP196" i="3"/>
  <c r="AQ196" i="3"/>
  <c r="AS196" i="3" s="1"/>
  <c r="AT196" i="3" s="1"/>
  <c r="AW196" i="3"/>
  <c r="AY196" i="3" s="1"/>
  <c r="BD196" i="3"/>
  <c r="BO196" i="3" s="1"/>
  <c r="BF196" i="3"/>
  <c r="BG196" i="3"/>
  <c r="BM196" i="3"/>
  <c r="BQ196" i="3"/>
  <c r="BT196" i="3"/>
  <c r="BU196" i="3"/>
  <c r="BW196" i="3"/>
  <c r="CA196" i="3"/>
  <c r="CB196" i="3"/>
  <c r="L162" i="3"/>
  <c r="O162" i="3" s="1"/>
  <c r="W162" i="3"/>
  <c r="AA162" i="3"/>
  <c r="AL162" i="3" s="1"/>
  <c r="AE162" i="3"/>
  <c r="AF162" i="3" s="1"/>
  <c r="AM162" i="3"/>
  <c r="AN162" i="3"/>
  <c r="AO162" i="3"/>
  <c r="AP162" i="3"/>
  <c r="AQ162" i="3"/>
  <c r="AS162" i="3" s="1"/>
  <c r="AT162" i="3" s="1"/>
  <c r="AW162" i="3"/>
  <c r="AY162" i="3" s="1"/>
  <c r="BD162" i="3"/>
  <c r="BO162" i="3" s="1"/>
  <c r="BF162" i="3"/>
  <c r="BG162" i="3"/>
  <c r="BM162" i="3"/>
  <c r="BQ162" i="3"/>
  <c r="BT162" i="3"/>
  <c r="BU162" i="3"/>
  <c r="BW162" i="3"/>
  <c r="CA162" i="3"/>
  <c r="CB162" i="3"/>
  <c r="L163" i="3"/>
  <c r="O163" i="3" s="1"/>
  <c r="W163" i="3"/>
  <c r="AA163" i="3"/>
  <c r="AL163" i="3" s="1"/>
  <c r="AE163" i="3"/>
  <c r="AF163" i="3" s="1"/>
  <c r="AM163" i="3"/>
  <c r="AN163" i="3"/>
  <c r="AO163" i="3"/>
  <c r="AP163" i="3"/>
  <c r="AQ163" i="3"/>
  <c r="AS163" i="3" s="1"/>
  <c r="AT163" i="3" s="1"/>
  <c r="AW163" i="3"/>
  <c r="AY163" i="3" s="1"/>
  <c r="BD163" i="3"/>
  <c r="BO163" i="3" s="1"/>
  <c r="BF163" i="3"/>
  <c r="BG163" i="3"/>
  <c r="BM163" i="3"/>
  <c r="BQ163" i="3"/>
  <c r="BT163" i="3"/>
  <c r="BU163" i="3"/>
  <c r="BW163" i="3"/>
  <c r="CA163" i="3"/>
  <c r="CB163" i="3"/>
  <c r="L164" i="3"/>
  <c r="O164" i="3" s="1"/>
  <c r="W164" i="3"/>
  <c r="AA164" i="3"/>
  <c r="AL164" i="3" s="1"/>
  <c r="AE164" i="3"/>
  <c r="AM164" i="3"/>
  <c r="AN164" i="3"/>
  <c r="AO164" i="3"/>
  <c r="AP164" i="3"/>
  <c r="AQ164" i="3"/>
  <c r="AS164" i="3" s="1"/>
  <c r="AT164" i="3" s="1"/>
  <c r="AW164" i="3"/>
  <c r="AY164" i="3" s="1"/>
  <c r="BD164" i="3"/>
  <c r="BO164" i="3" s="1"/>
  <c r="BF164" i="3"/>
  <c r="BG164" i="3"/>
  <c r="BM164" i="3"/>
  <c r="BQ164" i="3"/>
  <c r="BT164" i="3"/>
  <c r="BU164" i="3"/>
  <c r="BW164" i="3"/>
  <c r="CA164" i="3"/>
  <c r="CB164" i="3"/>
  <c r="L165" i="3"/>
  <c r="O165" i="3" s="1"/>
  <c r="W165" i="3"/>
  <c r="AA165" i="3"/>
  <c r="AL165" i="3" s="1"/>
  <c r="AE165" i="3"/>
  <c r="AF165" i="3" s="1"/>
  <c r="AM165" i="3"/>
  <c r="AN165" i="3"/>
  <c r="AO165" i="3"/>
  <c r="AP165" i="3"/>
  <c r="AQ165" i="3"/>
  <c r="AS165" i="3" s="1"/>
  <c r="AT165" i="3" s="1"/>
  <c r="AW165" i="3"/>
  <c r="AY165" i="3" s="1"/>
  <c r="BD165" i="3"/>
  <c r="BO165" i="3" s="1"/>
  <c r="BF165" i="3"/>
  <c r="BG165" i="3"/>
  <c r="BM165" i="3"/>
  <c r="BQ165" i="3"/>
  <c r="BT165" i="3"/>
  <c r="BU165" i="3"/>
  <c r="BW165" i="3"/>
  <c r="CA165" i="3"/>
  <c r="CB165" i="3"/>
  <c r="L166" i="3"/>
  <c r="O166" i="3" s="1"/>
  <c r="W166" i="3"/>
  <c r="AA166" i="3"/>
  <c r="AL166" i="3" s="1"/>
  <c r="AE166" i="3"/>
  <c r="AF166" i="3" s="1"/>
  <c r="AM166" i="3"/>
  <c r="AN166" i="3"/>
  <c r="AO166" i="3"/>
  <c r="AP166" i="3"/>
  <c r="AQ166" i="3"/>
  <c r="AS166" i="3" s="1"/>
  <c r="AT166" i="3" s="1"/>
  <c r="AW166" i="3"/>
  <c r="AY166" i="3" s="1"/>
  <c r="BD166" i="3"/>
  <c r="BO166" i="3" s="1"/>
  <c r="BF166" i="3"/>
  <c r="BG166" i="3"/>
  <c r="BM166" i="3"/>
  <c r="BQ166" i="3"/>
  <c r="BT166" i="3"/>
  <c r="BU166" i="3"/>
  <c r="BW166" i="3"/>
  <c r="CA166" i="3"/>
  <c r="CB166" i="3"/>
  <c r="L167" i="3"/>
  <c r="O167" i="3" s="1"/>
  <c r="W167" i="3"/>
  <c r="AA167" i="3"/>
  <c r="AL167" i="3" s="1"/>
  <c r="AE167" i="3"/>
  <c r="AF167" i="3" s="1"/>
  <c r="AM167" i="3"/>
  <c r="AN167" i="3"/>
  <c r="AO167" i="3"/>
  <c r="AP167" i="3"/>
  <c r="AQ167" i="3"/>
  <c r="AS167" i="3" s="1"/>
  <c r="AT167" i="3" s="1"/>
  <c r="AW167" i="3"/>
  <c r="AY167" i="3" s="1"/>
  <c r="BD167" i="3"/>
  <c r="BO167" i="3" s="1"/>
  <c r="BF167" i="3"/>
  <c r="BG167" i="3"/>
  <c r="BM167" i="3"/>
  <c r="BQ167" i="3"/>
  <c r="BT167" i="3"/>
  <c r="BU167" i="3"/>
  <c r="BW167" i="3"/>
  <c r="CA167" i="3"/>
  <c r="CB167" i="3"/>
  <c r="L168" i="3"/>
  <c r="O168" i="3" s="1"/>
  <c r="W168" i="3"/>
  <c r="AA168" i="3"/>
  <c r="AL168" i="3" s="1"/>
  <c r="AE168" i="3"/>
  <c r="AF168" i="3" s="1"/>
  <c r="AM168" i="3"/>
  <c r="AN168" i="3"/>
  <c r="AO168" i="3"/>
  <c r="AP168" i="3"/>
  <c r="AQ168" i="3"/>
  <c r="AS168" i="3" s="1"/>
  <c r="AT168" i="3" s="1"/>
  <c r="AW168" i="3"/>
  <c r="AY168" i="3" s="1"/>
  <c r="BD168" i="3"/>
  <c r="BO168" i="3" s="1"/>
  <c r="BF168" i="3"/>
  <c r="BG168" i="3"/>
  <c r="BM168" i="3"/>
  <c r="BQ168" i="3"/>
  <c r="BT168" i="3"/>
  <c r="BU168" i="3"/>
  <c r="BW168" i="3"/>
  <c r="CA168" i="3"/>
  <c r="CB168" i="3"/>
  <c r="L169" i="3"/>
  <c r="O169" i="3" s="1"/>
  <c r="W169" i="3"/>
  <c r="AA169" i="3"/>
  <c r="AL169" i="3" s="1"/>
  <c r="AE169" i="3"/>
  <c r="AM169" i="3"/>
  <c r="AN169" i="3"/>
  <c r="AO169" i="3"/>
  <c r="AP169" i="3"/>
  <c r="AQ169" i="3"/>
  <c r="AS169" i="3" s="1"/>
  <c r="AT169" i="3" s="1"/>
  <c r="AW169" i="3"/>
  <c r="AY169" i="3" s="1"/>
  <c r="BD169" i="3"/>
  <c r="BO169" i="3" s="1"/>
  <c r="BF169" i="3"/>
  <c r="BG169" i="3"/>
  <c r="BM169" i="3"/>
  <c r="BQ169" i="3"/>
  <c r="BT169" i="3"/>
  <c r="BU169" i="3"/>
  <c r="BW169" i="3"/>
  <c r="CA169" i="3"/>
  <c r="CB169" i="3"/>
  <c r="L170" i="3"/>
  <c r="O170" i="3" s="1"/>
  <c r="W170" i="3"/>
  <c r="AA170" i="3"/>
  <c r="AL170" i="3" s="1"/>
  <c r="AE170" i="3"/>
  <c r="AF170" i="3" s="1"/>
  <c r="AM170" i="3"/>
  <c r="AN170" i="3"/>
  <c r="AO170" i="3"/>
  <c r="AP170" i="3"/>
  <c r="AQ170" i="3"/>
  <c r="AS170" i="3" s="1"/>
  <c r="AT170" i="3" s="1"/>
  <c r="AW170" i="3"/>
  <c r="AY170" i="3" s="1"/>
  <c r="BD170" i="3"/>
  <c r="BO170" i="3" s="1"/>
  <c r="BF170" i="3"/>
  <c r="BG170" i="3"/>
  <c r="BM170" i="3"/>
  <c r="BQ170" i="3"/>
  <c r="BT170" i="3"/>
  <c r="BU170" i="3"/>
  <c r="BW170" i="3"/>
  <c r="CA170" i="3"/>
  <c r="CB170" i="3"/>
  <c r="L171" i="3"/>
  <c r="O171" i="3" s="1"/>
  <c r="W171" i="3"/>
  <c r="AA171" i="3"/>
  <c r="AL171" i="3" s="1"/>
  <c r="AE171" i="3"/>
  <c r="AM171" i="3"/>
  <c r="AN171" i="3"/>
  <c r="AO171" i="3"/>
  <c r="AP171" i="3"/>
  <c r="AQ171" i="3"/>
  <c r="AS171" i="3" s="1"/>
  <c r="AT171" i="3" s="1"/>
  <c r="AW171" i="3"/>
  <c r="AY171" i="3" s="1"/>
  <c r="BD171" i="3"/>
  <c r="BO171" i="3" s="1"/>
  <c r="BF171" i="3"/>
  <c r="BG171" i="3"/>
  <c r="BM171" i="3"/>
  <c r="BQ171" i="3"/>
  <c r="BT171" i="3"/>
  <c r="BU171" i="3"/>
  <c r="BW171" i="3"/>
  <c r="CA171" i="3"/>
  <c r="CB171" i="3"/>
  <c r="L172" i="3"/>
  <c r="O172" i="3" s="1"/>
  <c r="W172" i="3"/>
  <c r="AA172" i="3"/>
  <c r="AL172" i="3" s="1"/>
  <c r="AE172" i="3"/>
  <c r="AH172" i="3" s="1"/>
  <c r="AM172" i="3"/>
  <c r="AN172" i="3"/>
  <c r="AO172" i="3"/>
  <c r="AP172" i="3"/>
  <c r="AQ172" i="3"/>
  <c r="AS172" i="3" s="1"/>
  <c r="AT172" i="3" s="1"/>
  <c r="AW172" i="3"/>
  <c r="AY172" i="3" s="1"/>
  <c r="BD172" i="3"/>
  <c r="BO172" i="3" s="1"/>
  <c r="BF172" i="3"/>
  <c r="BG172" i="3"/>
  <c r="BM172" i="3"/>
  <c r="BQ172" i="3"/>
  <c r="BT172" i="3"/>
  <c r="BU172" i="3"/>
  <c r="BW172" i="3"/>
  <c r="CA172" i="3"/>
  <c r="CB172" i="3"/>
  <c r="L173" i="3"/>
  <c r="O173" i="3" s="1"/>
  <c r="W173" i="3"/>
  <c r="AA173" i="3"/>
  <c r="AL173" i="3" s="1"/>
  <c r="AE173" i="3"/>
  <c r="AH173" i="3" s="1"/>
  <c r="AM173" i="3"/>
  <c r="AN173" i="3"/>
  <c r="AO173" i="3"/>
  <c r="AP173" i="3"/>
  <c r="AQ173" i="3"/>
  <c r="AS173" i="3" s="1"/>
  <c r="AT173" i="3" s="1"/>
  <c r="AW173" i="3"/>
  <c r="AY173" i="3" s="1"/>
  <c r="BD173" i="3"/>
  <c r="BO173" i="3" s="1"/>
  <c r="BF173" i="3"/>
  <c r="BG173" i="3"/>
  <c r="BM173" i="3"/>
  <c r="BQ173" i="3"/>
  <c r="BT173" i="3"/>
  <c r="BU173" i="3"/>
  <c r="BW173" i="3"/>
  <c r="CA173" i="3"/>
  <c r="CB173" i="3"/>
  <c r="L174" i="3"/>
  <c r="O174" i="3" s="1"/>
  <c r="W174" i="3"/>
  <c r="AA174" i="3"/>
  <c r="AL174" i="3" s="1"/>
  <c r="AE174" i="3"/>
  <c r="AF174" i="3" s="1"/>
  <c r="AM174" i="3"/>
  <c r="AN174" i="3"/>
  <c r="AO174" i="3"/>
  <c r="AP174" i="3"/>
  <c r="AQ174" i="3"/>
  <c r="AS174" i="3" s="1"/>
  <c r="AT174" i="3" s="1"/>
  <c r="AW174" i="3"/>
  <c r="AY174" i="3" s="1"/>
  <c r="BD174" i="3"/>
  <c r="BO174" i="3" s="1"/>
  <c r="BF174" i="3"/>
  <c r="BG174" i="3"/>
  <c r="BM174" i="3"/>
  <c r="BQ174" i="3"/>
  <c r="BT174" i="3"/>
  <c r="BU174" i="3"/>
  <c r="BW174" i="3"/>
  <c r="CA174" i="3"/>
  <c r="CB174" i="3"/>
  <c r="L175" i="3"/>
  <c r="O175" i="3" s="1"/>
  <c r="W175" i="3"/>
  <c r="AA175" i="3"/>
  <c r="AL175" i="3" s="1"/>
  <c r="AE175" i="3"/>
  <c r="AF175" i="3" s="1"/>
  <c r="AM175" i="3"/>
  <c r="AN175" i="3"/>
  <c r="AO175" i="3"/>
  <c r="AP175" i="3"/>
  <c r="AQ175" i="3"/>
  <c r="AS175" i="3" s="1"/>
  <c r="AT175" i="3" s="1"/>
  <c r="AW175" i="3"/>
  <c r="AY175" i="3" s="1"/>
  <c r="BD175" i="3"/>
  <c r="BO175" i="3" s="1"/>
  <c r="BF175" i="3"/>
  <c r="BG175" i="3"/>
  <c r="BM175" i="3"/>
  <c r="BQ175" i="3"/>
  <c r="BT175" i="3"/>
  <c r="BU175" i="3"/>
  <c r="BW175" i="3"/>
  <c r="CA175" i="3"/>
  <c r="CB175" i="3"/>
  <c r="L176" i="3"/>
  <c r="O176" i="3" s="1"/>
  <c r="W176" i="3"/>
  <c r="AA176" i="3"/>
  <c r="AL176" i="3" s="1"/>
  <c r="AE176" i="3"/>
  <c r="AF176" i="3" s="1"/>
  <c r="AM176" i="3"/>
  <c r="AN176" i="3"/>
  <c r="AO176" i="3"/>
  <c r="AP176" i="3"/>
  <c r="AQ176" i="3"/>
  <c r="AS176" i="3" s="1"/>
  <c r="AT176" i="3" s="1"/>
  <c r="AW176" i="3"/>
  <c r="AY176" i="3" s="1"/>
  <c r="BD176" i="3"/>
  <c r="BO176" i="3" s="1"/>
  <c r="BF176" i="3"/>
  <c r="BG176" i="3"/>
  <c r="BM176" i="3"/>
  <c r="BQ176" i="3"/>
  <c r="BT176" i="3"/>
  <c r="BU176" i="3"/>
  <c r="BW176" i="3"/>
  <c r="CA176" i="3"/>
  <c r="CB176" i="3"/>
  <c r="L177" i="3"/>
  <c r="O177" i="3" s="1"/>
  <c r="W177" i="3"/>
  <c r="AA177" i="3"/>
  <c r="AL177" i="3" s="1"/>
  <c r="AE177" i="3"/>
  <c r="AH177" i="3" s="1"/>
  <c r="AM177" i="3"/>
  <c r="AN177" i="3"/>
  <c r="AO177" i="3"/>
  <c r="AP177" i="3"/>
  <c r="AQ177" i="3"/>
  <c r="AS177" i="3" s="1"/>
  <c r="AT177" i="3" s="1"/>
  <c r="AW177" i="3"/>
  <c r="AY177" i="3" s="1"/>
  <c r="BD177" i="3"/>
  <c r="BO177" i="3" s="1"/>
  <c r="BF177" i="3"/>
  <c r="BG177" i="3"/>
  <c r="BM177" i="3"/>
  <c r="BQ177" i="3"/>
  <c r="BT177" i="3"/>
  <c r="BU177" i="3"/>
  <c r="BW177" i="3"/>
  <c r="CA177" i="3"/>
  <c r="CB177" i="3"/>
  <c r="L178" i="3"/>
  <c r="O178" i="3" s="1"/>
  <c r="W178" i="3"/>
  <c r="AA178" i="3"/>
  <c r="AL178" i="3" s="1"/>
  <c r="AE178" i="3"/>
  <c r="AF178" i="3" s="1"/>
  <c r="AM178" i="3"/>
  <c r="AN178" i="3"/>
  <c r="AO178" i="3"/>
  <c r="AP178" i="3"/>
  <c r="AQ178" i="3"/>
  <c r="AS178" i="3" s="1"/>
  <c r="AT178" i="3" s="1"/>
  <c r="AW178" i="3"/>
  <c r="AY178" i="3" s="1"/>
  <c r="BD178" i="3"/>
  <c r="BO178" i="3" s="1"/>
  <c r="BF178" i="3"/>
  <c r="BG178" i="3"/>
  <c r="BM178" i="3"/>
  <c r="BQ178" i="3"/>
  <c r="BT178" i="3"/>
  <c r="BU178" i="3"/>
  <c r="BW178" i="3"/>
  <c r="CA178" i="3"/>
  <c r="CB178" i="3"/>
  <c r="L144" i="3"/>
  <c r="O144" i="3" s="1"/>
  <c r="W144" i="3"/>
  <c r="AA144" i="3"/>
  <c r="AL144" i="3" s="1"/>
  <c r="AE144" i="3"/>
  <c r="AF144" i="3" s="1"/>
  <c r="AM144" i="3"/>
  <c r="AN144" i="3"/>
  <c r="AO144" i="3"/>
  <c r="AP144" i="3"/>
  <c r="AQ144" i="3"/>
  <c r="AS144" i="3" s="1"/>
  <c r="AT144" i="3" s="1"/>
  <c r="AW144" i="3"/>
  <c r="AY144" i="3" s="1"/>
  <c r="BD144" i="3"/>
  <c r="BO144" i="3" s="1"/>
  <c r="BF144" i="3"/>
  <c r="BG144" i="3"/>
  <c r="BM144" i="3"/>
  <c r="BQ144" i="3"/>
  <c r="BT144" i="3"/>
  <c r="BU144" i="3"/>
  <c r="BW144" i="3"/>
  <c r="CA144" i="3"/>
  <c r="CB144" i="3"/>
  <c r="L145" i="3"/>
  <c r="O145" i="3" s="1"/>
  <c r="W145" i="3"/>
  <c r="AA145" i="3"/>
  <c r="AL145" i="3" s="1"/>
  <c r="AE145" i="3"/>
  <c r="AF145" i="3" s="1"/>
  <c r="AM145" i="3"/>
  <c r="AN145" i="3"/>
  <c r="AO145" i="3"/>
  <c r="AP145" i="3"/>
  <c r="AQ145" i="3"/>
  <c r="AS145" i="3" s="1"/>
  <c r="AT145" i="3" s="1"/>
  <c r="AW145" i="3"/>
  <c r="AY145" i="3" s="1"/>
  <c r="BD145" i="3"/>
  <c r="BO145" i="3" s="1"/>
  <c r="BF145" i="3"/>
  <c r="BG145" i="3"/>
  <c r="BM145" i="3"/>
  <c r="BQ145" i="3"/>
  <c r="BT145" i="3"/>
  <c r="BU145" i="3"/>
  <c r="BW145" i="3"/>
  <c r="CA145" i="3"/>
  <c r="CB145" i="3"/>
  <c r="L146" i="3"/>
  <c r="O146" i="3" s="1"/>
  <c r="W146" i="3"/>
  <c r="AA146" i="3"/>
  <c r="AL146" i="3" s="1"/>
  <c r="AE146" i="3"/>
  <c r="AF146" i="3" s="1"/>
  <c r="AM146" i="3"/>
  <c r="AN146" i="3"/>
  <c r="AO146" i="3"/>
  <c r="AP146" i="3"/>
  <c r="AQ146" i="3"/>
  <c r="AS146" i="3" s="1"/>
  <c r="AT146" i="3" s="1"/>
  <c r="AW146" i="3"/>
  <c r="AY146" i="3" s="1"/>
  <c r="BD146" i="3"/>
  <c r="BO146" i="3" s="1"/>
  <c r="BF146" i="3"/>
  <c r="BG146" i="3"/>
  <c r="BM146" i="3"/>
  <c r="BQ146" i="3"/>
  <c r="BT146" i="3"/>
  <c r="BU146" i="3"/>
  <c r="BW146" i="3"/>
  <c r="CA146" i="3"/>
  <c r="CB146" i="3"/>
  <c r="L147" i="3"/>
  <c r="O147" i="3" s="1"/>
  <c r="W147" i="3"/>
  <c r="AA147" i="3"/>
  <c r="AL147" i="3" s="1"/>
  <c r="AE147" i="3"/>
  <c r="AF147" i="3" s="1"/>
  <c r="AM147" i="3"/>
  <c r="AN147" i="3"/>
  <c r="AO147" i="3"/>
  <c r="AP147" i="3"/>
  <c r="AQ147" i="3"/>
  <c r="AS147" i="3" s="1"/>
  <c r="AT147" i="3" s="1"/>
  <c r="AW147" i="3"/>
  <c r="AY147" i="3" s="1"/>
  <c r="BD147" i="3"/>
  <c r="BO147" i="3" s="1"/>
  <c r="BF147" i="3"/>
  <c r="BG147" i="3"/>
  <c r="BM147" i="3"/>
  <c r="BQ147" i="3"/>
  <c r="BT147" i="3"/>
  <c r="BU147" i="3"/>
  <c r="BW147" i="3"/>
  <c r="CA147" i="3"/>
  <c r="CB147" i="3"/>
  <c r="L148" i="3"/>
  <c r="O148" i="3" s="1"/>
  <c r="W148" i="3"/>
  <c r="AA148" i="3"/>
  <c r="AL148" i="3" s="1"/>
  <c r="AE148" i="3"/>
  <c r="AF148" i="3" s="1"/>
  <c r="AM148" i="3"/>
  <c r="AN148" i="3"/>
  <c r="AO148" i="3"/>
  <c r="AP148" i="3"/>
  <c r="AQ148" i="3"/>
  <c r="AS148" i="3" s="1"/>
  <c r="AT148" i="3" s="1"/>
  <c r="AW148" i="3"/>
  <c r="AY148" i="3" s="1"/>
  <c r="BD148" i="3"/>
  <c r="BO148" i="3" s="1"/>
  <c r="BF148" i="3"/>
  <c r="BG148" i="3"/>
  <c r="BM148" i="3"/>
  <c r="BQ148" i="3"/>
  <c r="BT148" i="3"/>
  <c r="BU148" i="3"/>
  <c r="BW148" i="3"/>
  <c r="CA148" i="3"/>
  <c r="CB148" i="3"/>
  <c r="L149" i="3"/>
  <c r="O149" i="3" s="1"/>
  <c r="W149" i="3"/>
  <c r="AA149" i="3"/>
  <c r="AL149" i="3" s="1"/>
  <c r="AE149" i="3"/>
  <c r="AF149" i="3" s="1"/>
  <c r="AM149" i="3"/>
  <c r="AN149" i="3"/>
  <c r="AO149" i="3"/>
  <c r="AP149" i="3"/>
  <c r="AQ149" i="3"/>
  <c r="AS149" i="3" s="1"/>
  <c r="AT149" i="3" s="1"/>
  <c r="AW149" i="3"/>
  <c r="AY149" i="3" s="1"/>
  <c r="BD149" i="3"/>
  <c r="BO149" i="3" s="1"/>
  <c r="BF149" i="3"/>
  <c r="BG149" i="3"/>
  <c r="BM149" i="3"/>
  <c r="BQ149" i="3"/>
  <c r="BT149" i="3"/>
  <c r="BU149" i="3"/>
  <c r="BW149" i="3"/>
  <c r="CA149" i="3"/>
  <c r="CB149" i="3"/>
  <c r="L150" i="3"/>
  <c r="O150" i="3" s="1"/>
  <c r="W150" i="3"/>
  <c r="AA150" i="3"/>
  <c r="AL150" i="3" s="1"/>
  <c r="AE150" i="3"/>
  <c r="AF150" i="3" s="1"/>
  <c r="AM150" i="3"/>
  <c r="AN150" i="3"/>
  <c r="AO150" i="3"/>
  <c r="AP150" i="3"/>
  <c r="AQ150" i="3"/>
  <c r="AS150" i="3" s="1"/>
  <c r="AT150" i="3" s="1"/>
  <c r="AW150" i="3"/>
  <c r="AY150" i="3" s="1"/>
  <c r="BD150" i="3"/>
  <c r="BO150" i="3" s="1"/>
  <c r="BF150" i="3"/>
  <c r="BG150" i="3"/>
  <c r="BM150" i="3"/>
  <c r="BQ150" i="3"/>
  <c r="BT150" i="3"/>
  <c r="BU150" i="3"/>
  <c r="BW150" i="3"/>
  <c r="CA150" i="3"/>
  <c r="CB150" i="3"/>
  <c r="L151" i="3"/>
  <c r="O151" i="3" s="1"/>
  <c r="W151" i="3"/>
  <c r="AA151" i="3"/>
  <c r="AL151" i="3" s="1"/>
  <c r="AE151" i="3"/>
  <c r="AH151" i="3" s="1"/>
  <c r="AM151" i="3"/>
  <c r="AN151" i="3"/>
  <c r="AO151" i="3"/>
  <c r="AP151" i="3"/>
  <c r="AQ151" i="3"/>
  <c r="AS151" i="3" s="1"/>
  <c r="AT151" i="3" s="1"/>
  <c r="AW151" i="3"/>
  <c r="AY151" i="3" s="1"/>
  <c r="BD151" i="3"/>
  <c r="BO151" i="3" s="1"/>
  <c r="BF151" i="3"/>
  <c r="BG151" i="3"/>
  <c r="BM151" i="3"/>
  <c r="BQ151" i="3"/>
  <c r="BT151" i="3"/>
  <c r="BU151" i="3"/>
  <c r="BW151" i="3"/>
  <c r="CA151" i="3"/>
  <c r="CB151" i="3"/>
  <c r="L152" i="3"/>
  <c r="O152" i="3" s="1"/>
  <c r="W152" i="3"/>
  <c r="AA152" i="3"/>
  <c r="AL152" i="3" s="1"/>
  <c r="AE152" i="3"/>
  <c r="AH152" i="3" s="1"/>
  <c r="AM152" i="3"/>
  <c r="AN152" i="3"/>
  <c r="AO152" i="3"/>
  <c r="AP152" i="3"/>
  <c r="AQ152" i="3"/>
  <c r="AS152" i="3" s="1"/>
  <c r="AT152" i="3" s="1"/>
  <c r="AW152" i="3"/>
  <c r="AY152" i="3" s="1"/>
  <c r="BD152" i="3"/>
  <c r="BO152" i="3" s="1"/>
  <c r="BF152" i="3"/>
  <c r="BG152" i="3"/>
  <c r="BM152" i="3"/>
  <c r="BQ152" i="3"/>
  <c r="BT152" i="3"/>
  <c r="BU152" i="3"/>
  <c r="BW152" i="3"/>
  <c r="CA152" i="3"/>
  <c r="CB152" i="3"/>
  <c r="L153" i="3"/>
  <c r="O153" i="3" s="1"/>
  <c r="W153" i="3"/>
  <c r="AA153" i="3"/>
  <c r="AL153" i="3" s="1"/>
  <c r="AE153" i="3"/>
  <c r="AM153" i="3"/>
  <c r="AN153" i="3"/>
  <c r="AO153" i="3"/>
  <c r="AP153" i="3"/>
  <c r="AQ153" i="3"/>
  <c r="AS153" i="3" s="1"/>
  <c r="AT153" i="3" s="1"/>
  <c r="AW153" i="3"/>
  <c r="AY153" i="3" s="1"/>
  <c r="BD153" i="3"/>
  <c r="BO153" i="3" s="1"/>
  <c r="BF153" i="3"/>
  <c r="BG153" i="3"/>
  <c r="BM153" i="3"/>
  <c r="BQ153" i="3"/>
  <c r="BT153" i="3"/>
  <c r="BU153" i="3"/>
  <c r="BW153" i="3"/>
  <c r="CA153" i="3"/>
  <c r="CB153" i="3"/>
  <c r="L154" i="3"/>
  <c r="O154" i="3" s="1"/>
  <c r="W154" i="3"/>
  <c r="AA154" i="3"/>
  <c r="AL154" i="3" s="1"/>
  <c r="AE154" i="3"/>
  <c r="AF154" i="3" s="1"/>
  <c r="AM154" i="3"/>
  <c r="AN154" i="3"/>
  <c r="AO154" i="3"/>
  <c r="AP154" i="3"/>
  <c r="AQ154" i="3"/>
  <c r="AS154" i="3" s="1"/>
  <c r="AT154" i="3" s="1"/>
  <c r="AW154" i="3"/>
  <c r="AY154" i="3" s="1"/>
  <c r="BD154" i="3"/>
  <c r="BO154" i="3" s="1"/>
  <c r="BF154" i="3"/>
  <c r="BG154" i="3"/>
  <c r="BM154" i="3"/>
  <c r="BQ154" i="3"/>
  <c r="BT154" i="3"/>
  <c r="BU154" i="3"/>
  <c r="BW154" i="3"/>
  <c r="CA154" i="3"/>
  <c r="CB154" i="3"/>
  <c r="L155" i="3"/>
  <c r="O155" i="3" s="1"/>
  <c r="W155" i="3"/>
  <c r="AA155" i="3"/>
  <c r="AL155" i="3" s="1"/>
  <c r="AE155" i="3"/>
  <c r="AH155" i="3" s="1"/>
  <c r="AM155" i="3"/>
  <c r="AN155" i="3"/>
  <c r="AO155" i="3"/>
  <c r="AP155" i="3"/>
  <c r="AQ155" i="3"/>
  <c r="AS155" i="3" s="1"/>
  <c r="AT155" i="3" s="1"/>
  <c r="AW155" i="3"/>
  <c r="AY155" i="3" s="1"/>
  <c r="BD155" i="3"/>
  <c r="BO155" i="3" s="1"/>
  <c r="BF155" i="3"/>
  <c r="BG155" i="3"/>
  <c r="BM155" i="3"/>
  <c r="BQ155" i="3"/>
  <c r="BT155" i="3"/>
  <c r="BU155" i="3"/>
  <c r="BW155" i="3"/>
  <c r="CA155" i="3"/>
  <c r="CB155" i="3"/>
  <c r="L156" i="3"/>
  <c r="O156" i="3" s="1"/>
  <c r="W156" i="3"/>
  <c r="AA156" i="3"/>
  <c r="AL156" i="3" s="1"/>
  <c r="AE156" i="3"/>
  <c r="AH156" i="3" s="1"/>
  <c r="AM156" i="3"/>
  <c r="AN156" i="3"/>
  <c r="AO156" i="3"/>
  <c r="AP156" i="3"/>
  <c r="AQ156" i="3"/>
  <c r="AS156" i="3" s="1"/>
  <c r="AT156" i="3" s="1"/>
  <c r="AW156" i="3"/>
  <c r="AY156" i="3" s="1"/>
  <c r="BD156" i="3"/>
  <c r="BO156" i="3" s="1"/>
  <c r="BF156" i="3"/>
  <c r="BG156" i="3"/>
  <c r="BM156" i="3"/>
  <c r="BQ156" i="3"/>
  <c r="BT156" i="3"/>
  <c r="BU156" i="3"/>
  <c r="BW156" i="3"/>
  <c r="CA156" i="3"/>
  <c r="CB156" i="3"/>
  <c r="L157" i="3"/>
  <c r="O157" i="3" s="1"/>
  <c r="W157" i="3"/>
  <c r="AA157" i="3"/>
  <c r="AL157" i="3" s="1"/>
  <c r="AE157" i="3"/>
  <c r="AM157" i="3"/>
  <c r="AN157" i="3"/>
  <c r="AO157" i="3"/>
  <c r="AP157" i="3"/>
  <c r="AQ157" i="3"/>
  <c r="AW157" i="3"/>
  <c r="AY157" i="3" s="1"/>
  <c r="BD157" i="3"/>
  <c r="BO157" i="3" s="1"/>
  <c r="BF157" i="3"/>
  <c r="BG157" i="3"/>
  <c r="BM157" i="3"/>
  <c r="BQ157" i="3"/>
  <c r="BT157" i="3"/>
  <c r="BU157" i="3"/>
  <c r="BW157" i="3"/>
  <c r="CA157" i="3"/>
  <c r="CB157" i="3"/>
  <c r="L158" i="3"/>
  <c r="O158" i="3" s="1"/>
  <c r="W158" i="3"/>
  <c r="AA158" i="3"/>
  <c r="AL158" i="3" s="1"/>
  <c r="AE158" i="3"/>
  <c r="AF158" i="3" s="1"/>
  <c r="AM158" i="3"/>
  <c r="AN158" i="3"/>
  <c r="AO158" i="3"/>
  <c r="AP158" i="3"/>
  <c r="AQ158" i="3"/>
  <c r="AS158" i="3" s="1"/>
  <c r="AT158" i="3" s="1"/>
  <c r="AW158" i="3"/>
  <c r="AY158" i="3" s="1"/>
  <c r="BD158" i="3"/>
  <c r="BO158" i="3" s="1"/>
  <c r="BF158" i="3"/>
  <c r="BG158" i="3"/>
  <c r="BM158" i="3"/>
  <c r="BQ158" i="3"/>
  <c r="BT158" i="3"/>
  <c r="BU158" i="3"/>
  <c r="BW158" i="3"/>
  <c r="CA158" i="3"/>
  <c r="CB158" i="3"/>
  <c r="L159" i="3"/>
  <c r="O159" i="3" s="1"/>
  <c r="W159" i="3"/>
  <c r="AA159" i="3"/>
  <c r="AL159" i="3" s="1"/>
  <c r="AE159" i="3"/>
  <c r="AF159" i="3" s="1"/>
  <c r="AM159" i="3"/>
  <c r="AN159" i="3"/>
  <c r="AO159" i="3"/>
  <c r="AP159" i="3"/>
  <c r="AQ159" i="3"/>
  <c r="AS159" i="3" s="1"/>
  <c r="AT159" i="3" s="1"/>
  <c r="AW159" i="3"/>
  <c r="AY159" i="3" s="1"/>
  <c r="BD159" i="3"/>
  <c r="BO159" i="3" s="1"/>
  <c r="BF159" i="3"/>
  <c r="BG159" i="3"/>
  <c r="BM159" i="3"/>
  <c r="BQ159" i="3"/>
  <c r="BT159" i="3"/>
  <c r="BU159" i="3"/>
  <c r="BW159" i="3"/>
  <c r="CA159" i="3"/>
  <c r="CB159" i="3"/>
  <c r="L160" i="3"/>
  <c r="O160" i="3" s="1"/>
  <c r="W160" i="3"/>
  <c r="AA160" i="3"/>
  <c r="AL160" i="3" s="1"/>
  <c r="AE160" i="3"/>
  <c r="AM160" i="3"/>
  <c r="AN160" i="3"/>
  <c r="AO160" i="3"/>
  <c r="AP160" i="3"/>
  <c r="AQ160" i="3"/>
  <c r="AS160" i="3" s="1"/>
  <c r="AT160" i="3" s="1"/>
  <c r="AW160" i="3"/>
  <c r="AY160" i="3" s="1"/>
  <c r="BD160" i="3"/>
  <c r="BO160" i="3" s="1"/>
  <c r="BF160" i="3"/>
  <c r="BG160" i="3"/>
  <c r="BM160" i="3"/>
  <c r="BQ160" i="3"/>
  <c r="BT160" i="3"/>
  <c r="BU160" i="3"/>
  <c r="BW160" i="3"/>
  <c r="CA160" i="3"/>
  <c r="CB160" i="3"/>
  <c r="L126" i="3"/>
  <c r="O126" i="3" s="1"/>
  <c r="W126" i="3"/>
  <c r="AA126" i="3"/>
  <c r="AL126" i="3" s="1"/>
  <c r="AE126" i="3"/>
  <c r="AH126" i="3" s="1"/>
  <c r="AM126" i="3"/>
  <c r="AN126" i="3"/>
  <c r="AO126" i="3"/>
  <c r="AP126" i="3"/>
  <c r="AQ126" i="3"/>
  <c r="AS126" i="3" s="1"/>
  <c r="AT126" i="3" s="1"/>
  <c r="AW126" i="3"/>
  <c r="AY126" i="3" s="1"/>
  <c r="BD126" i="3"/>
  <c r="BO126" i="3" s="1"/>
  <c r="BF126" i="3"/>
  <c r="BG126" i="3"/>
  <c r="BM126" i="3"/>
  <c r="BQ126" i="3"/>
  <c r="BT126" i="3"/>
  <c r="BU126" i="3"/>
  <c r="BW126" i="3"/>
  <c r="CA126" i="3"/>
  <c r="CB126" i="3"/>
  <c r="L127" i="3"/>
  <c r="O127" i="3" s="1"/>
  <c r="W127" i="3"/>
  <c r="AA127" i="3"/>
  <c r="AL127" i="3" s="1"/>
  <c r="AE127" i="3"/>
  <c r="AF127" i="3" s="1"/>
  <c r="AM127" i="3"/>
  <c r="AN127" i="3"/>
  <c r="AO127" i="3"/>
  <c r="AP127" i="3"/>
  <c r="AQ127" i="3"/>
  <c r="AS127" i="3" s="1"/>
  <c r="AT127" i="3" s="1"/>
  <c r="AW127" i="3"/>
  <c r="AY127" i="3" s="1"/>
  <c r="BD127" i="3"/>
  <c r="BO127" i="3" s="1"/>
  <c r="BF127" i="3"/>
  <c r="BG127" i="3"/>
  <c r="BM127" i="3"/>
  <c r="BQ127" i="3"/>
  <c r="BT127" i="3"/>
  <c r="BU127" i="3"/>
  <c r="BW127" i="3"/>
  <c r="CA127" i="3"/>
  <c r="CB127" i="3"/>
  <c r="L128" i="3"/>
  <c r="O128" i="3" s="1"/>
  <c r="W128" i="3"/>
  <c r="AA128" i="3"/>
  <c r="AL128" i="3" s="1"/>
  <c r="AE128" i="3"/>
  <c r="AM128" i="3"/>
  <c r="AN128" i="3"/>
  <c r="AO128" i="3"/>
  <c r="AP128" i="3"/>
  <c r="AQ128" i="3"/>
  <c r="AS128" i="3" s="1"/>
  <c r="AT128" i="3" s="1"/>
  <c r="AW128" i="3"/>
  <c r="AY128" i="3" s="1"/>
  <c r="BD128" i="3"/>
  <c r="BO128" i="3" s="1"/>
  <c r="BF128" i="3"/>
  <c r="BG128" i="3"/>
  <c r="BM128" i="3"/>
  <c r="BQ128" i="3"/>
  <c r="BT128" i="3"/>
  <c r="BU128" i="3"/>
  <c r="BW128" i="3"/>
  <c r="CA128" i="3"/>
  <c r="CB128" i="3"/>
  <c r="L129" i="3"/>
  <c r="O129" i="3" s="1"/>
  <c r="W129" i="3"/>
  <c r="AA129" i="3"/>
  <c r="AL129" i="3" s="1"/>
  <c r="AE129" i="3"/>
  <c r="AF129" i="3" s="1"/>
  <c r="AM129" i="3"/>
  <c r="AN129" i="3"/>
  <c r="AO129" i="3"/>
  <c r="AP129" i="3"/>
  <c r="AQ129" i="3"/>
  <c r="AS129" i="3" s="1"/>
  <c r="AT129" i="3" s="1"/>
  <c r="AW129" i="3"/>
  <c r="AY129" i="3" s="1"/>
  <c r="BD129" i="3"/>
  <c r="BO129" i="3" s="1"/>
  <c r="BF129" i="3"/>
  <c r="BG129" i="3"/>
  <c r="BM129" i="3"/>
  <c r="BQ129" i="3"/>
  <c r="BT129" i="3"/>
  <c r="BU129" i="3"/>
  <c r="BW129" i="3"/>
  <c r="CA129" i="3"/>
  <c r="CB129" i="3"/>
  <c r="L130" i="3"/>
  <c r="O130" i="3" s="1"/>
  <c r="W130" i="3"/>
  <c r="AA130" i="3"/>
  <c r="AL130" i="3" s="1"/>
  <c r="AE130" i="3"/>
  <c r="AM130" i="3"/>
  <c r="AN130" i="3"/>
  <c r="AO130" i="3"/>
  <c r="AP130" i="3"/>
  <c r="AQ130" i="3"/>
  <c r="AS130" i="3" s="1"/>
  <c r="AT130" i="3" s="1"/>
  <c r="AW130" i="3"/>
  <c r="AY130" i="3" s="1"/>
  <c r="BD130" i="3"/>
  <c r="BO130" i="3" s="1"/>
  <c r="BF130" i="3"/>
  <c r="BG130" i="3"/>
  <c r="BM130" i="3"/>
  <c r="BQ130" i="3"/>
  <c r="BT130" i="3"/>
  <c r="BU130" i="3"/>
  <c r="BW130" i="3"/>
  <c r="CA130" i="3"/>
  <c r="CB130" i="3"/>
  <c r="L131" i="3"/>
  <c r="O131" i="3" s="1"/>
  <c r="W131" i="3"/>
  <c r="AA131" i="3"/>
  <c r="AL131" i="3" s="1"/>
  <c r="AE131" i="3"/>
  <c r="AF131" i="3" s="1"/>
  <c r="AM131" i="3"/>
  <c r="AN131" i="3"/>
  <c r="AO131" i="3"/>
  <c r="AP131" i="3"/>
  <c r="AQ131" i="3"/>
  <c r="AS131" i="3" s="1"/>
  <c r="AT131" i="3" s="1"/>
  <c r="AW131" i="3"/>
  <c r="AY131" i="3" s="1"/>
  <c r="BD131" i="3"/>
  <c r="BO131" i="3" s="1"/>
  <c r="BF131" i="3"/>
  <c r="BG131" i="3"/>
  <c r="BM131" i="3"/>
  <c r="BQ131" i="3"/>
  <c r="BT131" i="3"/>
  <c r="BU131" i="3"/>
  <c r="BW131" i="3"/>
  <c r="CA131" i="3"/>
  <c r="CB131" i="3"/>
  <c r="L132" i="3"/>
  <c r="O132" i="3" s="1"/>
  <c r="W132" i="3"/>
  <c r="AA132" i="3"/>
  <c r="AL132" i="3" s="1"/>
  <c r="AE132" i="3"/>
  <c r="AF132" i="3" s="1"/>
  <c r="AM132" i="3"/>
  <c r="AN132" i="3"/>
  <c r="AO132" i="3"/>
  <c r="AP132" i="3"/>
  <c r="AQ132" i="3"/>
  <c r="AS132" i="3" s="1"/>
  <c r="AT132" i="3" s="1"/>
  <c r="AW132" i="3"/>
  <c r="AY132" i="3" s="1"/>
  <c r="BD132" i="3"/>
  <c r="BO132" i="3" s="1"/>
  <c r="BF132" i="3"/>
  <c r="BG132" i="3"/>
  <c r="BM132" i="3"/>
  <c r="BQ132" i="3"/>
  <c r="BT132" i="3"/>
  <c r="BU132" i="3"/>
  <c r="BW132" i="3"/>
  <c r="CA132" i="3"/>
  <c r="CB132" i="3"/>
  <c r="L133" i="3"/>
  <c r="O133" i="3" s="1"/>
  <c r="W133" i="3"/>
  <c r="AA133" i="3"/>
  <c r="AL133" i="3" s="1"/>
  <c r="AE133" i="3"/>
  <c r="AF133" i="3" s="1"/>
  <c r="AM133" i="3"/>
  <c r="AN133" i="3"/>
  <c r="AO133" i="3"/>
  <c r="AP133" i="3"/>
  <c r="AQ133" i="3"/>
  <c r="AS133" i="3" s="1"/>
  <c r="AT133" i="3" s="1"/>
  <c r="AW133" i="3"/>
  <c r="AY133" i="3" s="1"/>
  <c r="BD133" i="3"/>
  <c r="BO133" i="3" s="1"/>
  <c r="BF133" i="3"/>
  <c r="BG133" i="3"/>
  <c r="BM133" i="3"/>
  <c r="BQ133" i="3"/>
  <c r="BT133" i="3"/>
  <c r="BU133" i="3"/>
  <c r="BW133" i="3"/>
  <c r="CA133" i="3"/>
  <c r="CB133" i="3"/>
  <c r="L134" i="3"/>
  <c r="O134" i="3" s="1"/>
  <c r="W134" i="3"/>
  <c r="AA134" i="3"/>
  <c r="AL134" i="3" s="1"/>
  <c r="AE134" i="3"/>
  <c r="AM134" i="3"/>
  <c r="AN134" i="3"/>
  <c r="AO134" i="3"/>
  <c r="AP134" i="3"/>
  <c r="AQ134" i="3"/>
  <c r="AS134" i="3" s="1"/>
  <c r="AT134" i="3" s="1"/>
  <c r="AW134" i="3"/>
  <c r="AY134" i="3" s="1"/>
  <c r="BD134" i="3"/>
  <c r="BO134" i="3" s="1"/>
  <c r="BF134" i="3"/>
  <c r="BG134" i="3"/>
  <c r="BM134" i="3"/>
  <c r="BQ134" i="3"/>
  <c r="BT134" i="3"/>
  <c r="BU134" i="3"/>
  <c r="BW134" i="3"/>
  <c r="CA134" i="3"/>
  <c r="CB134" i="3"/>
  <c r="L135" i="3"/>
  <c r="O135" i="3" s="1"/>
  <c r="W135" i="3"/>
  <c r="AA135" i="3"/>
  <c r="AL135" i="3" s="1"/>
  <c r="AE135" i="3"/>
  <c r="AH135" i="3" s="1"/>
  <c r="AM135" i="3"/>
  <c r="AN135" i="3"/>
  <c r="AO135" i="3"/>
  <c r="AP135" i="3"/>
  <c r="AQ135" i="3"/>
  <c r="AS135" i="3" s="1"/>
  <c r="AT135" i="3" s="1"/>
  <c r="AW135" i="3"/>
  <c r="AY135" i="3" s="1"/>
  <c r="BD135" i="3"/>
  <c r="BO135" i="3" s="1"/>
  <c r="BF135" i="3"/>
  <c r="BG135" i="3"/>
  <c r="BM135" i="3"/>
  <c r="BQ135" i="3"/>
  <c r="BT135" i="3"/>
  <c r="BU135" i="3"/>
  <c r="BW135" i="3"/>
  <c r="CA135" i="3"/>
  <c r="CB135" i="3"/>
  <c r="L136" i="3"/>
  <c r="O136" i="3" s="1"/>
  <c r="W136" i="3"/>
  <c r="AA136" i="3"/>
  <c r="AL136" i="3" s="1"/>
  <c r="AE136" i="3"/>
  <c r="AF136" i="3" s="1"/>
  <c r="AM136" i="3"/>
  <c r="AN136" i="3"/>
  <c r="AO136" i="3"/>
  <c r="AP136" i="3"/>
  <c r="AQ136" i="3"/>
  <c r="AS136" i="3" s="1"/>
  <c r="AT136" i="3" s="1"/>
  <c r="AW136" i="3"/>
  <c r="AY136" i="3" s="1"/>
  <c r="BD136" i="3"/>
  <c r="BO136" i="3" s="1"/>
  <c r="BF136" i="3"/>
  <c r="BG136" i="3"/>
  <c r="BM136" i="3"/>
  <c r="BQ136" i="3"/>
  <c r="BT136" i="3"/>
  <c r="BU136" i="3"/>
  <c r="BW136" i="3"/>
  <c r="CA136" i="3"/>
  <c r="CB136" i="3"/>
  <c r="L137" i="3"/>
  <c r="O137" i="3" s="1"/>
  <c r="W137" i="3"/>
  <c r="AA137" i="3"/>
  <c r="AL137" i="3" s="1"/>
  <c r="AE137" i="3"/>
  <c r="AM137" i="3"/>
  <c r="AN137" i="3"/>
  <c r="AO137" i="3"/>
  <c r="AP137" i="3"/>
  <c r="AQ137" i="3"/>
  <c r="AS137" i="3" s="1"/>
  <c r="AT137" i="3" s="1"/>
  <c r="AW137" i="3"/>
  <c r="AY137" i="3" s="1"/>
  <c r="BD137" i="3"/>
  <c r="BO137" i="3" s="1"/>
  <c r="BF137" i="3"/>
  <c r="BG137" i="3"/>
  <c r="BM137" i="3"/>
  <c r="BQ137" i="3"/>
  <c r="BT137" i="3"/>
  <c r="BU137" i="3"/>
  <c r="BW137" i="3"/>
  <c r="CA137" i="3"/>
  <c r="CB137" i="3"/>
  <c r="L138" i="3"/>
  <c r="O138" i="3" s="1"/>
  <c r="W138" i="3"/>
  <c r="AA138" i="3"/>
  <c r="AL138" i="3" s="1"/>
  <c r="AE138" i="3"/>
  <c r="AF138" i="3" s="1"/>
  <c r="AM138" i="3"/>
  <c r="AN138" i="3"/>
  <c r="AO138" i="3"/>
  <c r="AP138" i="3"/>
  <c r="AQ138" i="3"/>
  <c r="AS138" i="3" s="1"/>
  <c r="AT138" i="3" s="1"/>
  <c r="AW138" i="3"/>
  <c r="AY138" i="3" s="1"/>
  <c r="BD138" i="3"/>
  <c r="BO138" i="3" s="1"/>
  <c r="BF138" i="3"/>
  <c r="BG138" i="3"/>
  <c r="BM138" i="3"/>
  <c r="BQ138" i="3"/>
  <c r="BT138" i="3"/>
  <c r="BU138" i="3"/>
  <c r="BW138" i="3"/>
  <c r="CA138" i="3"/>
  <c r="CB138" i="3"/>
  <c r="L139" i="3"/>
  <c r="O139" i="3" s="1"/>
  <c r="W139" i="3"/>
  <c r="AA139" i="3"/>
  <c r="AL139" i="3" s="1"/>
  <c r="AE139" i="3"/>
  <c r="AF139" i="3" s="1"/>
  <c r="AM139" i="3"/>
  <c r="AN139" i="3"/>
  <c r="AO139" i="3"/>
  <c r="AP139" i="3"/>
  <c r="AQ139" i="3"/>
  <c r="AS139" i="3" s="1"/>
  <c r="AT139" i="3" s="1"/>
  <c r="AW139" i="3"/>
  <c r="AY139" i="3" s="1"/>
  <c r="BD139" i="3"/>
  <c r="BO139" i="3" s="1"/>
  <c r="BF139" i="3"/>
  <c r="BG139" i="3"/>
  <c r="BM139" i="3"/>
  <c r="BQ139" i="3"/>
  <c r="BT139" i="3"/>
  <c r="BU139" i="3"/>
  <c r="BW139" i="3"/>
  <c r="CA139" i="3"/>
  <c r="CB139" i="3"/>
  <c r="L140" i="3"/>
  <c r="O140" i="3" s="1"/>
  <c r="W140" i="3"/>
  <c r="AA140" i="3"/>
  <c r="AL140" i="3" s="1"/>
  <c r="AE140" i="3"/>
  <c r="AF140" i="3" s="1"/>
  <c r="AM140" i="3"/>
  <c r="AN140" i="3"/>
  <c r="AO140" i="3"/>
  <c r="AP140" i="3"/>
  <c r="AQ140" i="3"/>
  <c r="AS140" i="3" s="1"/>
  <c r="AT140" i="3" s="1"/>
  <c r="AW140" i="3"/>
  <c r="AY140" i="3" s="1"/>
  <c r="BD140" i="3"/>
  <c r="BO140" i="3" s="1"/>
  <c r="BF140" i="3"/>
  <c r="BG140" i="3"/>
  <c r="BM140" i="3"/>
  <c r="BQ140" i="3"/>
  <c r="BT140" i="3"/>
  <c r="BU140" i="3"/>
  <c r="BW140" i="3"/>
  <c r="CA140" i="3"/>
  <c r="CB140" i="3"/>
  <c r="L141" i="3"/>
  <c r="O141" i="3" s="1"/>
  <c r="W141" i="3"/>
  <c r="AA141" i="3"/>
  <c r="AL141" i="3" s="1"/>
  <c r="AE141" i="3"/>
  <c r="AF141" i="3" s="1"/>
  <c r="AM141" i="3"/>
  <c r="AN141" i="3"/>
  <c r="AO141" i="3"/>
  <c r="AP141" i="3"/>
  <c r="AQ141" i="3"/>
  <c r="AS141" i="3" s="1"/>
  <c r="AT141" i="3" s="1"/>
  <c r="AW141" i="3"/>
  <c r="AY141" i="3" s="1"/>
  <c r="BD141" i="3"/>
  <c r="BO141" i="3" s="1"/>
  <c r="BF141" i="3"/>
  <c r="BG141" i="3"/>
  <c r="BM141" i="3"/>
  <c r="BQ141" i="3"/>
  <c r="BT141" i="3"/>
  <c r="BU141" i="3"/>
  <c r="BW141" i="3"/>
  <c r="CA141" i="3"/>
  <c r="CB141" i="3"/>
  <c r="L142" i="3"/>
  <c r="O142" i="3" s="1"/>
  <c r="W142" i="3"/>
  <c r="AA142" i="3"/>
  <c r="AL142" i="3" s="1"/>
  <c r="AE142" i="3"/>
  <c r="AH142" i="3" s="1"/>
  <c r="AM142" i="3"/>
  <c r="AN142" i="3"/>
  <c r="AO142" i="3"/>
  <c r="AP142" i="3"/>
  <c r="AQ142" i="3"/>
  <c r="AS142" i="3" s="1"/>
  <c r="AT142" i="3" s="1"/>
  <c r="AW142" i="3"/>
  <c r="AY142" i="3" s="1"/>
  <c r="BD142" i="3"/>
  <c r="BO142" i="3" s="1"/>
  <c r="BF142" i="3"/>
  <c r="BG142" i="3"/>
  <c r="BM142" i="3"/>
  <c r="BQ142" i="3"/>
  <c r="BT142" i="3"/>
  <c r="BU142" i="3"/>
  <c r="BW142" i="3"/>
  <c r="CA142" i="3"/>
  <c r="CB142" i="3"/>
  <c r="L108" i="3"/>
  <c r="O108" i="3" s="1"/>
  <c r="W108" i="3"/>
  <c r="AA108" i="3"/>
  <c r="AL108" i="3" s="1"/>
  <c r="AE108" i="3"/>
  <c r="AF108" i="3" s="1"/>
  <c r="AM108" i="3"/>
  <c r="AN108" i="3"/>
  <c r="AO108" i="3"/>
  <c r="AP108" i="3"/>
  <c r="AQ108" i="3"/>
  <c r="AS108" i="3" s="1"/>
  <c r="AT108" i="3" s="1"/>
  <c r="AW108" i="3"/>
  <c r="AY108" i="3" s="1"/>
  <c r="BD108" i="3"/>
  <c r="BO108" i="3" s="1"/>
  <c r="BF108" i="3"/>
  <c r="BG108" i="3"/>
  <c r="BM108" i="3"/>
  <c r="BQ108" i="3"/>
  <c r="BT108" i="3"/>
  <c r="BU108" i="3"/>
  <c r="BW108" i="3"/>
  <c r="CA108" i="3"/>
  <c r="CB108" i="3"/>
  <c r="L109" i="3"/>
  <c r="O109" i="3" s="1"/>
  <c r="W109" i="3"/>
  <c r="AA109" i="3"/>
  <c r="AL109" i="3" s="1"/>
  <c r="AE109" i="3"/>
  <c r="AF109" i="3" s="1"/>
  <c r="AM109" i="3"/>
  <c r="AN109" i="3"/>
  <c r="AO109" i="3"/>
  <c r="AP109" i="3"/>
  <c r="AQ109" i="3"/>
  <c r="AS109" i="3" s="1"/>
  <c r="AT109" i="3" s="1"/>
  <c r="AW109" i="3"/>
  <c r="AY109" i="3" s="1"/>
  <c r="BD109" i="3"/>
  <c r="BO109" i="3" s="1"/>
  <c r="BF109" i="3"/>
  <c r="BG109" i="3"/>
  <c r="BM109" i="3"/>
  <c r="BQ109" i="3"/>
  <c r="BT109" i="3"/>
  <c r="BU109" i="3"/>
  <c r="BW109" i="3"/>
  <c r="CA109" i="3"/>
  <c r="CB109" i="3"/>
  <c r="L110" i="3"/>
  <c r="O110" i="3" s="1"/>
  <c r="W110" i="3"/>
  <c r="AA110" i="3"/>
  <c r="AL110" i="3" s="1"/>
  <c r="AE110" i="3"/>
  <c r="AF110" i="3" s="1"/>
  <c r="AM110" i="3"/>
  <c r="AN110" i="3"/>
  <c r="AO110" i="3"/>
  <c r="AP110" i="3"/>
  <c r="AQ110" i="3"/>
  <c r="AS110" i="3" s="1"/>
  <c r="AT110" i="3" s="1"/>
  <c r="AW110" i="3"/>
  <c r="AY110" i="3" s="1"/>
  <c r="BD110" i="3"/>
  <c r="BO110" i="3" s="1"/>
  <c r="BF110" i="3"/>
  <c r="BG110" i="3"/>
  <c r="BM110" i="3"/>
  <c r="BQ110" i="3"/>
  <c r="BT110" i="3"/>
  <c r="BU110" i="3"/>
  <c r="BW110" i="3"/>
  <c r="CA110" i="3"/>
  <c r="CB110" i="3"/>
  <c r="L111" i="3"/>
  <c r="O111" i="3" s="1"/>
  <c r="W111" i="3"/>
  <c r="AA111" i="3"/>
  <c r="AL111" i="3" s="1"/>
  <c r="AE111" i="3"/>
  <c r="AM111" i="3"/>
  <c r="AN111" i="3"/>
  <c r="AO111" i="3"/>
  <c r="AP111" i="3"/>
  <c r="AQ111" i="3"/>
  <c r="AS111" i="3" s="1"/>
  <c r="AT111" i="3" s="1"/>
  <c r="AW111" i="3"/>
  <c r="AY111" i="3" s="1"/>
  <c r="BD111" i="3"/>
  <c r="BO111" i="3" s="1"/>
  <c r="BF111" i="3"/>
  <c r="BG111" i="3"/>
  <c r="BM111" i="3"/>
  <c r="BQ111" i="3"/>
  <c r="BT111" i="3"/>
  <c r="BU111" i="3"/>
  <c r="BW111" i="3"/>
  <c r="CA111" i="3"/>
  <c r="CB111" i="3"/>
  <c r="L112" i="3"/>
  <c r="O112" i="3" s="1"/>
  <c r="W112" i="3"/>
  <c r="AA112" i="3"/>
  <c r="AL112" i="3" s="1"/>
  <c r="AE112" i="3"/>
  <c r="AF112" i="3" s="1"/>
  <c r="AM112" i="3"/>
  <c r="AN112" i="3"/>
  <c r="AO112" i="3"/>
  <c r="AP112" i="3"/>
  <c r="AQ112" i="3"/>
  <c r="AS112" i="3" s="1"/>
  <c r="AT112" i="3" s="1"/>
  <c r="AW112" i="3"/>
  <c r="AY112" i="3" s="1"/>
  <c r="BD112" i="3"/>
  <c r="BO112" i="3" s="1"/>
  <c r="BF112" i="3"/>
  <c r="BG112" i="3"/>
  <c r="BM112" i="3"/>
  <c r="BQ112" i="3"/>
  <c r="BT112" i="3"/>
  <c r="BU112" i="3"/>
  <c r="BW112" i="3"/>
  <c r="CA112" i="3"/>
  <c r="CB112" i="3"/>
  <c r="L113" i="3"/>
  <c r="O113" i="3" s="1"/>
  <c r="W113" i="3"/>
  <c r="AA113" i="3"/>
  <c r="AL113" i="3" s="1"/>
  <c r="AE113" i="3"/>
  <c r="AF113" i="3" s="1"/>
  <c r="AM113" i="3"/>
  <c r="AN113" i="3"/>
  <c r="AO113" i="3"/>
  <c r="AP113" i="3"/>
  <c r="AQ113" i="3"/>
  <c r="AS113" i="3" s="1"/>
  <c r="AT113" i="3" s="1"/>
  <c r="AW113" i="3"/>
  <c r="AY113" i="3" s="1"/>
  <c r="BD113" i="3"/>
  <c r="BO113" i="3" s="1"/>
  <c r="BF113" i="3"/>
  <c r="BG113" i="3"/>
  <c r="BM113" i="3"/>
  <c r="BQ113" i="3"/>
  <c r="BT113" i="3"/>
  <c r="BU113" i="3"/>
  <c r="BW113" i="3"/>
  <c r="CA113" i="3"/>
  <c r="CB113" i="3"/>
  <c r="L114" i="3"/>
  <c r="O114" i="3" s="1"/>
  <c r="W114" i="3"/>
  <c r="AA114" i="3"/>
  <c r="AL114" i="3" s="1"/>
  <c r="AE114" i="3"/>
  <c r="AF114" i="3" s="1"/>
  <c r="AM114" i="3"/>
  <c r="AN114" i="3"/>
  <c r="AO114" i="3"/>
  <c r="AP114" i="3"/>
  <c r="AQ114" i="3"/>
  <c r="AS114" i="3" s="1"/>
  <c r="AT114" i="3" s="1"/>
  <c r="AW114" i="3"/>
  <c r="AY114" i="3" s="1"/>
  <c r="BD114" i="3"/>
  <c r="BO114" i="3" s="1"/>
  <c r="BF114" i="3"/>
  <c r="BG114" i="3"/>
  <c r="BM114" i="3"/>
  <c r="BQ114" i="3"/>
  <c r="BT114" i="3"/>
  <c r="BU114" i="3"/>
  <c r="BW114" i="3"/>
  <c r="CA114" i="3"/>
  <c r="CB114" i="3"/>
  <c r="L115" i="3"/>
  <c r="O115" i="3" s="1"/>
  <c r="W115" i="3"/>
  <c r="AA115" i="3"/>
  <c r="AL115" i="3" s="1"/>
  <c r="AE115" i="3"/>
  <c r="AF115" i="3" s="1"/>
  <c r="AM115" i="3"/>
  <c r="AN115" i="3"/>
  <c r="AO115" i="3"/>
  <c r="AP115" i="3"/>
  <c r="AQ115" i="3"/>
  <c r="AS115" i="3" s="1"/>
  <c r="AT115" i="3" s="1"/>
  <c r="AW115" i="3"/>
  <c r="AY115" i="3" s="1"/>
  <c r="BD115" i="3"/>
  <c r="BO115" i="3" s="1"/>
  <c r="BF115" i="3"/>
  <c r="BG115" i="3"/>
  <c r="BM115" i="3"/>
  <c r="BQ115" i="3"/>
  <c r="BT115" i="3"/>
  <c r="BU115" i="3"/>
  <c r="BW115" i="3"/>
  <c r="CA115" i="3"/>
  <c r="CB115" i="3"/>
  <c r="L116" i="3"/>
  <c r="O116" i="3" s="1"/>
  <c r="W116" i="3"/>
  <c r="AA116" i="3"/>
  <c r="AL116" i="3" s="1"/>
  <c r="AE116" i="3"/>
  <c r="AH116" i="3" s="1"/>
  <c r="AM116" i="3"/>
  <c r="AN116" i="3"/>
  <c r="AO116" i="3"/>
  <c r="AP116" i="3"/>
  <c r="AQ116" i="3"/>
  <c r="AS116" i="3" s="1"/>
  <c r="AT116" i="3" s="1"/>
  <c r="AW116" i="3"/>
  <c r="AY116" i="3" s="1"/>
  <c r="BD116" i="3"/>
  <c r="BO116" i="3" s="1"/>
  <c r="BF116" i="3"/>
  <c r="BG116" i="3"/>
  <c r="BM116" i="3"/>
  <c r="BQ116" i="3"/>
  <c r="BT116" i="3"/>
  <c r="BU116" i="3"/>
  <c r="BW116" i="3"/>
  <c r="CA116" i="3"/>
  <c r="CB116" i="3"/>
  <c r="L117" i="3"/>
  <c r="O117" i="3" s="1"/>
  <c r="W117" i="3"/>
  <c r="AA117" i="3"/>
  <c r="AL117" i="3" s="1"/>
  <c r="AE117" i="3"/>
  <c r="AM117" i="3"/>
  <c r="AN117" i="3"/>
  <c r="AO117" i="3"/>
  <c r="AP117" i="3"/>
  <c r="AQ117" i="3"/>
  <c r="AS117" i="3" s="1"/>
  <c r="AT117" i="3" s="1"/>
  <c r="AW117" i="3"/>
  <c r="AY117" i="3" s="1"/>
  <c r="BD117" i="3"/>
  <c r="BO117" i="3" s="1"/>
  <c r="BF117" i="3"/>
  <c r="BG117" i="3"/>
  <c r="BM117" i="3"/>
  <c r="BQ117" i="3"/>
  <c r="BT117" i="3"/>
  <c r="BU117" i="3"/>
  <c r="BW117" i="3"/>
  <c r="CA117" i="3"/>
  <c r="CB117" i="3"/>
  <c r="L118" i="3"/>
  <c r="O118" i="3" s="1"/>
  <c r="W118" i="3"/>
  <c r="AA118" i="3"/>
  <c r="AL118" i="3" s="1"/>
  <c r="AE118" i="3"/>
  <c r="AH118" i="3" s="1"/>
  <c r="AM118" i="3"/>
  <c r="AN118" i="3"/>
  <c r="AO118" i="3"/>
  <c r="AP118" i="3"/>
  <c r="AQ118" i="3"/>
  <c r="AS118" i="3" s="1"/>
  <c r="AT118" i="3" s="1"/>
  <c r="AW118" i="3"/>
  <c r="AY118" i="3" s="1"/>
  <c r="BD118" i="3"/>
  <c r="BO118" i="3" s="1"/>
  <c r="BF118" i="3"/>
  <c r="BG118" i="3"/>
  <c r="BM118" i="3"/>
  <c r="BQ118" i="3"/>
  <c r="BT118" i="3"/>
  <c r="BU118" i="3"/>
  <c r="BW118" i="3"/>
  <c r="CA118" i="3"/>
  <c r="CB118" i="3"/>
  <c r="L119" i="3"/>
  <c r="O119" i="3" s="1"/>
  <c r="W119" i="3"/>
  <c r="AA119" i="3"/>
  <c r="AL119" i="3" s="1"/>
  <c r="AE119" i="3"/>
  <c r="AH119" i="3" s="1"/>
  <c r="AM119" i="3"/>
  <c r="AN119" i="3"/>
  <c r="AO119" i="3"/>
  <c r="AP119" i="3"/>
  <c r="AQ119" i="3"/>
  <c r="AS119" i="3" s="1"/>
  <c r="AT119" i="3" s="1"/>
  <c r="AW119" i="3"/>
  <c r="AY119" i="3" s="1"/>
  <c r="BD119" i="3"/>
  <c r="BO119" i="3" s="1"/>
  <c r="BF119" i="3"/>
  <c r="BG119" i="3"/>
  <c r="BM119" i="3"/>
  <c r="BQ119" i="3"/>
  <c r="BT119" i="3"/>
  <c r="BU119" i="3"/>
  <c r="BW119" i="3"/>
  <c r="CA119" i="3"/>
  <c r="CB119" i="3"/>
  <c r="L120" i="3"/>
  <c r="O120" i="3" s="1"/>
  <c r="W120" i="3"/>
  <c r="AA120" i="3"/>
  <c r="AL120" i="3" s="1"/>
  <c r="AE120" i="3"/>
  <c r="AF120" i="3" s="1"/>
  <c r="AM120" i="3"/>
  <c r="AN120" i="3"/>
  <c r="AO120" i="3"/>
  <c r="AP120" i="3"/>
  <c r="AQ120" i="3"/>
  <c r="AS120" i="3" s="1"/>
  <c r="AT120" i="3" s="1"/>
  <c r="AW120" i="3"/>
  <c r="AY120" i="3" s="1"/>
  <c r="BD120" i="3"/>
  <c r="BO120" i="3" s="1"/>
  <c r="BF120" i="3"/>
  <c r="BG120" i="3"/>
  <c r="BM120" i="3"/>
  <c r="BQ120" i="3"/>
  <c r="BT120" i="3"/>
  <c r="BU120" i="3"/>
  <c r="BW120" i="3"/>
  <c r="CA120" i="3"/>
  <c r="CB120" i="3"/>
  <c r="L121" i="3"/>
  <c r="O121" i="3" s="1"/>
  <c r="W121" i="3"/>
  <c r="AA121" i="3"/>
  <c r="AL121" i="3" s="1"/>
  <c r="AE121" i="3"/>
  <c r="AF121" i="3" s="1"/>
  <c r="AM121" i="3"/>
  <c r="AN121" i="3"/>
  <c r="AO121" i="3"/>
  <c r="AP121" i="3"/>
  <c r="AQ121" i="3"/>
  <c r="AS121" i="3" s="1"/>
  <c r="AT121" i="3" s="1"/>
  <c r="AW121" i="3"/>
  <c r="AY121" i="3" s="1"/>
  <c r="BD121" i="3"/>
  <c r="BO121" i="3" s="1"/>
  <c r="BF121" i="3"/>
  <c r="BG121" i="3"/>
  <c r="BM121" i="3"/>
  <c r="BQ121" i="3"/>
  <c r="BT121" i="3"/>
  <c r="BU121" i="3"/>
  <c r="BW121" i="3"/>
  <c r="CA121" i="3"/>
  <c r="CB121" i="3"/>
  <c r="L122" i="3"/>
  <c r="O122" i="3" s="1"/>
  <c r="W122" i="3"/>
  <c r="AA122" i="3"/>
  <c r="AL122" i="3" s="1"/>
  <c r="AE122" i="3"/>
  <c r="AF122" i="3" s="1"/>
  <c r="AM122" i="3"/>
  <c r="AN122" i="3"/>
  <c r="AO122" i="3"/>
  <c r="AP122" i="3"/>
  <c r="AQ122" i="3"/>
  <c r="AS122" i="3" s="1"/>
  <c r="AT122" i="3" s="1"/>
  <c r="AW122" i="3"/>
  <c r="AY122" i="3" s="1"/>
  <c r="BD122" i="3"/>
  <c r="BO122" i="3" s="1"/>
  <c r="BF122" i="3"/>
  <c r="BG122" i="3"/>
  <c r="BM122" i="3"/>
  <c r="BQ122" i="3"/>
  <c r="BT122" i="3"/>
  <c r="BU122" i="3"/>
  <c r="BW122" i="3"/>
  <c r="CA122" i="3"/>
  <c r="CB122" i="3"/>
  <c r="L123" i="3"/>
  <c r="O123" i="3" s="1"/>
  <c r="W123" i="3"/>
  <c r="AA123" i="3"/>
  <c r="AL123" i="3" s="1"/>
  <c r="AE123" i="3"/>
  <c r="AF123" i="3" s="1"/>
  <c r="AM123" i="3"/>
  <c r="AN123" i="3"/>
  <c r="AO123" i="3"/>
  <c r="AP123" i="3"/>
  <c r="AQ123" i="3"/>
  <c r="AS123" i="3" s="1"/>
  <c r="AT123" i="3" s="1"/>
  <c r="AW123" i="3"/>
  <c r="AY123" i="3" s="1"/>
  <c r="BD123" i="3"/>
  <c r="BO123" i="3" s="1"/>
  <c r="BF123" i="3"/>
  <c r="BG123" i="3"/>
  <c r="BM123" i="3"/>
  <c r="BQ123" i="3"/>
  <c r="BT123" i="3"/>
  <c r="BU123" i="3"/>
  <c r="BW123" i="3"/>
  <c r="CA123" i="3"/>
  <c r="CB123" i="3"/>
  <c r="L124" i="3"/>
  <c r="O124" i="3" s="1"/>
  <c r="W124" i="3"/>
  <c r="AA124" i="3"/>
  <c r="AL124" i="3" s="1"/>
  <c r="AE124" i="3"/>
  <c r="AM124" i="3"/>
  <c r="AN124" i="3"/>
  <c r="AO124" i="3"/>
  <c r="AP124" i="3"/>
  <c r="AQ124" i="3"/>
  <c r="AS124" i="3" s="1"/>
  <c r="AT124" i="3" s="1"/>
  <c r="AW124" i="3"/>
  <c r="AY124" i="3" s="1"/>
  <c r="BD124" i="3"/>
  <c r="BO124" i="3" s="1"/>
  <c r="BF124" i="3"/>
  <c r="BG124" i="3"/>
  <c r="BM124" i="3"/>
  <c r="BQ124" i="3"/>
  <c r="BT124" i="3"/>
  <c r="BU124" i="3"/>
  <c r="BW124" i="3"/>
  <c r="CA124" i="3"/>
  <c r="CB124" i="3"/>
  <c r="L90" i="3"/>
  <c r="O90" i="3" s="1"/>
  <c r="W90" i="3"/>
  <c r="AA90" i="3"/>
  <c r="AL90" i="3" s="1"/>
  <c r="AE90" i="3"/>
  <c r="AF90" i="3" s="1"/>
  <c r="AM90" i="3"/>
  <c r="AN90" i="3"/>
  <c r="AO90" i="3"/>
  <c r="AP90" i="3"/>
  <c r="AQ90" i="3"/>
  <c r="AS90" i="3" s="1"/>
  <c r="AT90" i="3" s="1"/>
  <c r="AW90" i="3"/>
  <c r="AY90" i="3" s="1"/>
  <c r="BD90" i="3"/>
  <c r="BO90" i="3" s="1"/>
  <c r="BF90" i="3"/>
  <c r="BG90" i="3"/>
  <c r="BM90" i="3"/>
  <c r="BQ90" i="3"/>
  <c r="BT90" i="3"/>
  <c r="BU90" i="3"/>
  <c r="BW90" i="3"/>
  <c r="CA90" i="3"/>
  <c r="CB90" i="3"/>
  <c r="L91" i="3"/>
  <c r="O91" i="3" s="1"/>
  <c r="W91" i="3"/>
  <c r="AA91" i="3"/>
  <c r="AL91" i="3" s="1"/>
  <c r="AE91" i="3"/>
  <c r="AH91" i="3" s="1"/>
  <c r="AM91" i="3"/>
  <c r="AN91" i="3"/>
  <c r="AO91" i="3"/>
  <c r="AP91" i="3"/>
  <c r="AQ91" i="3"/>
  <c r="AS91" i="3" s="1"/>
  <c r="AT91" i="3" s="1"/>
  <c r="AW91" i="3"/>
  <c r="AY91" i="3" s="1"/>
  <c r="BD91" i="3"/>
  <c r="BO91" i="3" s="1"/>
  <c r="BF91" i="3"/>
  <c r="BG91" i="3"/>
  <c r="BM91" i="3"/>
  <c r="BQ91" i="3"/>
  <c r="BT91" i="3"/>
  <c r="BU91" i="3"/>
  <c r="BW91" i="3"/>
  <c r="CA91" i="3"/>
  <c r="CB91" i="3"/>
  <c r="L92" i="3"/>
  <c r="O92" i="3" s="1"/>
  <c r="W92" i="3"/>
  <c r="AA92" i="3"/>
  <c r="AL92" i="3" s="1"/>
  <c r="AE92" i="3"/>
  <c r="AM92" i="3"/>
  <c r="AN92" i="3"/>
  <c r="AO92" i="3"/>
  <c r="AP92" i="3"/>
  <c r="AQ92" i="3"/>
  <c r="AS92" i="3" s="1"/>
  <c r="AT92" i="3" s="1"/>
  <c r="AW92" i="3"/>
  <c r="AY92" i="3" s="1"/>
  <c r="BD92" i="3"/>
  <c r="BO92" i="3" s="1"/>
  <c r="BF92" i="3"/>
  <c r="BG92" i="3"/>
  <c r="BM92" i="3"/>
  <c r="BQ92" i="3"/>
  <c r="BT92" i="3"/>
  <c r="BU92" i="3"/>
  <c r="BW92" i="3"/>
  <c r="CA92" i="3"/>
  <c r="CB92" i="3"/>
  <c r="L93" i="3"/>
  <c r="O93" i="3" s="1"/>
  <c r="W93" i="3"/>
  <c r="AA93" i="3"/>
  <c r="AL93" i="3" s="1"/>
  <c r="AE93" i="3"/>
  <c r="AM93" i="3"/>
  <c r="AN93" i="3"/>
  <c r="AO93" i="3"/>
  <c r="AP93" i="3"/>
  <c r="AQ93" i="3"/>
  <c r="AS93" i="3" s="1"/>
  <c r="AT93" i="3" s="1"/>
  <c r="AW93" i="3"/>
  <c r="AY93" i="3" s="1"/>
  <c r="BD93" i="3"/>
  <c r="BO93" i="3" s="1"/>
  <c r="BF93" i="3"/>
  <c r="BG93" i="3"/>
  <c r="BM93" i="3"/>
  <c r="BQ93" i="3"/>
  <c r="BT93" i="3"/>
  <c r="BU93" i="3"/>
  <c r="BW93" i="3"/>
  <c r="CA93" i="3"/>
  <c r="CB93" i="3"/>
  <c r="L94" i="3"/>
  <c r="O94" i="3" s="1"/>
  <c r="W94" i="3"/>
  <c r="AA94" i="3"/>
  <c r="AL94" i="3" s="1"/>
  <c r="AE94" i="3"/>
  <c r="AH94" i="3" s="1"/>
  <c r="AM94" i="3"/>
  <c r="AN94" i="3"/>
  <c r="AO94" i="3"/>
  <c r="AP94" i="3"/>
  <c r="AQ94" i="3"/>
  <c r="AS94" i="3" s="1"/>
  <c r="AT94" i="3" s="1"/>
  <c r="AW94" i="3"/>
  <c r="AY94" i="3" s="1"/>
  <c r="BD94" i="3"/>
  <c r="BO94" i="3" s="1"/>
  <c r="BF94" i="3"/>
  <c r="BG94" i="3"/>
  <c r="BM94" i="3"/>
  <c r="BQ94" i="3"/>
  <c r="BT94" i="3"/>
  <c r="BU94" i="3"/>
  <c r="BW94" i="3"/>
  <c r="CA94" i="3"/>
  <c r="CB94" i="3"/>
  <c r="L95" i="3"/>
  <c r="O95" i="3" s="1"/>
  <c r="W95" i="3"/>
  <c r="AA95" i="3"/>
  <c r="AL95" i="3" s="1"/>
  <c r="AE95" i="3"/>
  <c r="AF95" i="3" s="1"/>
  <c r="AM95" i="3"/>
  <c r="AN95" i="3"/>
  <c r="AO95" i="3"/>
  <c r="AP95" i="3"/>
  <c r="AQ95" i="3"/>
  <c r="AS95" i="3" s="1"/>
  <c r="AT95" i="3" s="1"/>
  <c r="AW95" i="3"/>
  <c r="AY95" i="3" s="1"/>
  <c r="BD95" i="3"/>
  <c r="BO95" i="3" s="1"/>
  <c r="BF95" i="3"/>
  <c r="BG95" i="3"/>
  <c r="BM95" i="3"/>
  <c r="BQ95" i="3"/>
  <c r="BT95" i="3"/>
  <c r="BU95" i="3"/>
  <c r="BW95" i="3"/>
  <c r="CA95" i="3"/>
  <c r="CB95" i="3"/>
  <c r="L96" i="3"/>
  <c r="O96" i="3" s="1"/>
  <c r="W96" i="3"/>
  <c r="AA96" i="3"/>
  <c r="AL96" i="3" s="1"/>
  <c r="AE96" i="3"/>
  <c r="AF96" i="3" s="1"/>
  <c r="AM96" i="3"/>
  <c r="AN96" i="3"/>
  <c r="AO96" i="3"/>
  <c r="AP96" i="3"/>
  <c r="AQ96" i="3"/>
  <c r="AS96" i="3" s="1"/>
  <c r="AT96" i="3" s="1"/>
  <c r="AW96" i="3"/>
  <c r="AY96" i="3" s="1"/>
  <c r="BD96" i="3"/>
  <c r="BO96" i="3" s="1"/>
  <c r="BF96" i="3"/>
  <c r="BG96" i="3"/>
  <c r="BM96" i="3"/>
  <c r="BQ96" i="3"/>
  <c r="BT96" i="3"/>
  <c r="BU96" i="3"/>
  <c r="BW96" i="3"/>
  <c r="CA96" i="3"/>
  <c r="CB96" i="3"/>
  <c r="L97" i="3"/>
  <c r="O97" i="3" s="1"/>
  <c r="W97" i="3"/>
  <c r="AA97" i="3"/>
  <c r="AL97" i="3" s="1"/>
  <c r="AE97" i="3"/>
  <c r="AF97" i="3" s="1"/>
  <c r="AM97" i="3"/>
  <c r="AN97" i="3"/>
  <c r="AO97" i="3"/>
  <c r="AP97" i="3"/>
  <c r="AQ97" i="3"/>
  <c r="AS97" i="3" s="1"/>
  <c r="AT97" i="3" s="1"/>
  <c r="AW97" i="3"/>
  <c r="AY97" i="3" s="1"/>
  <c r="BD97" i="3"/>
  <c r="BO97" i="3" s="1"/>
  <c r="BF97" i="3"/>
  <c r="BG97" i="3"/>
  <c r="BM97" i="3"/>
  <c r="BQ97" i="3"/>
  <c r="BT97" i="3"/>
  <c r="BU97" i="3"/>
  <c r="BW97" i="3"/>
  <c r="CA97" i="3"/>
  <c r="CB97" i="3"/>
  <c r="L98" i="3"/>
  <c r="O98" i="3" s="1"/>
  <c r="W98" i="3"/>
  <c r="AA98" i="3"/>
  <c r="AL98" i="3" s="1"/>
  <c r="AE98" i="3"/>
  <c r="AF98" i="3" s="1"/>
  <c r="AM98" i="3"/>
  <c r="AN98" i="3"/>
  <c r="AO98" i="3"/>
  <c r="AP98" i="3"/>
  <c r="AQ98" i="3"/>
  <c r="AS98" i="3" s="1"/>
  <c r="AT98" i="3" s="1"/>
  <c r="AW98" i="3"/>
  <c r="AY98" i="3" s="1"/>
  <c r="BD98" i="3"/>
  <c r="BO98" i="3" s="1"/>
  <c r="BF98" i="3"/>
  <c r="BG98" i="3"/>
  <c r="BM98" i="3"/>
  <c r="BQ98" i="3"/>
  <c r="BT98" i="3"/>
  <c r="BU98" i="3"/>
  <c r="BW98" i="3"/>
  <c r="CA98" i="3"/>
  <c r="CB98" i="3"/>
  <c r="L99" i="3"/>
  <c r="O99" i="3" s="1"/>
  <c r="W99" i="3"/>
  <c r="AA99" i="3"/>
  <c r="AL99" i="3" s="1"/>
  <c r="AE99" i="3"/>
  <c r="AF99" i="3" s="1"/>
  <c r="AM99" i="3"/>
  <c r="AN99" i="3"/>
  <c r="AO99" i="3"/>
  <c r="AP99" i="3"/>
  <c r="AQ99" i="3"/>
  <c r="AS99" i="3" s="1"/>
  <c r="AT99" i="3" s="1"/>
  <c r="AW99" i="3"/>
  <c r="AY99" i="3" s="1"/>
  <c r="BD99" i="3"/>
  <c r="BO99" i="3" s="1"/>
  <c r="BF99" i="3"/>
  <c r="BG99" i="3"/>
  <c r="BM99" i="3"/>
  <c r="BQ99" i="3"/>
  <c r="BT99" i="3"/>
  <c r="BU99" i="3"/>
  <c r="BW99" i="3"/>
  <c r="CA99" i="3"/>
  <c r="CB99" i="3"/>
  <c r="L100" i="3"/>
  <c r="O100" i="3" s="1"/>
  <c r="W100" i="3"/>
  <c r="AA100" i="3"/>
  <c r="AL100" i="3" s="1"/>
  <c r="AE100" i="3"/>
  <c r="AM100" i="3"/>
  <c r="AN100" i="3"/>
  <c r="AO100" i="3"/>
  <c r="AP100" i="3"/>
  <c r="AQ100" i="3"/>
  <c r="AS100" i="3" s="1"/>
  <c r="AT100" i="3" s="1"/>
  <c r="AW100" i="3"/>
  <c r="AY100" i="3" s="1"/>
  <c r="BD100" i="3"/>
  <c r="BO100" i="3" s="1"/>
  <c r="BF100" i="3"/>
  <c r="BG100" i="3"/>
  <c r="BM100" i="3"/>
  <c r="BQ100" i="3"/>
  <c r="BT100" i="3"/>
  <c r="BU100" i="3"/>
  <c r="BW100" i="3"/>
  <c r="CA100" i="3"/>
  <c r="CB100" i="3"/>
  <c r="L101" i="3"/>
  <c r="O101" i="3" s="1"/>
  <c r="W101" i="3"/>
  <c r="AA101" i="3"/>
  <c r="AL101" i="3" s="1"/>
  <c r="AE101" i="3"/>
  <c r="AH101" i="3" s="1"/>
  <c r="AM101" i="3"/>
  <c r="AN101" i="3"/>
  <c r="AO101" i="3"/>
  <c r="AP101" i="3"/>
  <c r="AQ101" i="3"/>
  <c r="AS101" i="3" s="1"/>
  <c r="AT101" i="3" s="1"/>
  <c r="AW101" i="3"/>
  <c r="AY101" i="3" s="1"/>
  <c r="BD101" i="3"/>
  <c r="BO101" i="3" s="1"/>
  <c r="BF101" i="3"/>
  <c r="BG101" i="3"/>
  <c r="BM101" i="3"/>
  <c r="BQ101" i="3"/>
  <c r="BT101" i="3"/>
  <c r="BU101" i="3"/>
  <c r="BW101" i="3"/>
  <c r="CA101" i="3"/>
  <c r="CB101" i="3"/>
  <c r="L102" i="3"/>
  <c r="O102" i="3" s="1"/>
  <c r="W102" i="3"/>
  <c r="AA102" i="3"/>
  <c r="AL102" i="3" s="1"/>
  <c r="AE102" i="3"/>
  <c r="AF102" i="3" s="1"/>
  <c r="AM102" i="3"/>
  <c r="AN102" i="3"/>
  <c r="AO102" i="3"/>
  <c r="AP102" i="3"/>
  <c r="AQ102" i="3"/>
  <c r="AS102" i="3" s="1"/>
  <c r="AT102" i="3" s="1"/>
  <c r="AW102" i="3"/>
  <c r="AY102" i="3" s="1"/>
  <c r="BD102" i="3"/>
  <c r="BO102" i="3" s="1"/>
  <c r="BF102" i="3"/>
  <c r="BG102" i="3"/>
  <c r="BM102" i="3"/>
  <c r="BQ102" i="3"/>
  <c r="BT102" i="3"/>
  <c r="BU102" i="3"/>
  <c r="BW102" i="3"/>
  <c r="CA102" i="3"/>
  <c r="CB102" i="3"/>
  <c r="L103" i="3"/>
  <c r="O103" i="3" s="1"/>
  <c r="W103" i="3"/>
  <c r="AA103" i="3"/>
  <c r="AL103" i="3" s="1"/>
  <c r="AE103" i="3"/>
  <c r="AF103" i="3" s="1"/>
  <c r="AM103" i="3"/>
  <c r="AN103" i="3"/>
  <c r="AO103" i="3"/>
  <c r="AP103" i="3"/>
  <c r="AQ103" i="3"/>
  <c r="AS103" i="3" s="1"/>
  <c r="AT103" i="3" s="1"/>
  <c r="AW103" i="3"/>
  <c r="AY103" i="3" s="1"/>
  <c r="BD103" i="3"/>
  <c r="BO103" i="3" s="1"/>
  <c r="BF103" i="3"/>
  <c r="BG103" i="3"/>
  <c r="BM103" i="3"/>
  <c r="BQ103" i="3"/>
  <c r="BT103" i="3"/>
  <c r="BU103" i="3"/>
  <c r="BW103" i="3"/>
  <c r="CA103" i="3"/>
  <c r="CB103" i="3"/>
  <c r="L104" i="3"/>
  <c r="O104" i="3" s="1"/>
  <c r="W104" i="3"/>
  <c r="AA104" i="3"/>
  <c r="AL104" i="3" s="1"/>
  <c r="AE104" i="3"/>
  <c r="AH104" i="3" s="1"/>
  <c r="AM104" i="3"/>
  <c r="AN104" i="3"/>
  <c r="AO104" i="3"/>
  <c r="AP104" i="3"/>
  <c r="AQ104" i="3"/>
  <c r="AS104" i="3" s="1"/>
  <c r="AT104" i="3" s="1"/>
  <c r="AW104" i="3"/>
  <c r="AY104" i="3" s="1"/>
  <c r="BD104" i="3"/>
  <c r="BO104" i="3" s="1"/>
  <c r="BF104" i="3"/>
  <c r="BG104" i="3"/>
  <c r="BM104" i="3"/>
  <c r="BQ104" i="3"/>
  <c r="BT104" i="3"/>
  <c r="BU104" i="3"/>
  <c r="BW104" i="3"/>
  <c r="CA104" i="3"/>
  <c r="CB104" i="3"/>
  <c r="L105" i="3"/>
  <c r="O105" i="3" s="1"/>
  <c r="W105" i="3"/>
  <c r="AA105" i="3"/>
  <c r="AL105" i="3" s="1"/>
  <c r="AE105" i="3"/>
  <c r="AF105" i="3" s="1"/>
  <c r="AM105" i="3"/>
  <c r="AN105" i="3"/>
  <c r="AO105" i="3"/>
  <c r="AP105" i="3"/>
  <c r="AQ105" i="3"/>
  <c r="AS105" i="3" s="1"/>
  <c r="AT105" i="3" s="1"/>
  <c r="AW105" i="3"/>
  <c r="AY105" i="3" s="1"/>
  <c r="BD105" i="3"/>
  <c r="BO105" i="3" s="1"/>
  <c r="BF105" i="3"/>
  <c r="BG105" i="3"/>
  <c r="BM105" i="3"/>
  <c r="BQ105" i="3"/>
  <c r="BT105" i="3"/>
  <c r="BU105" i="3"/>
  <c r="BW105" i="3"/>
  <c r="CA105" i="3"/>
  <c r="CB105" i="3"/>
  <c r="L106" i="3"/>
  <c r="O106" i="3" s="1"/>
  <c r="W106" i="3"/>
  <c r="AA106" i="3"/>
  <c r="AL106" i="3" s="1"/>
  <c r="AE106" i="3"/>
  <c r="AM106" i="3"/>
  <c r="AN106" i="3"/>
  <c r="AO106" i="3"/>
  <c r="AP106" i="3"/>
  <c r="AQ106" i="3"/>
  <c r="AS106" i="3" s="1"/>
  <c r="AT106" i="3" s="1"/>
  <c r="AU106" i="3" s="1"/>
  <c r="AW106" i="3"/>
  <c r="AY106" i="3" s="1"/>
  <c r="BD106" i="3"/>
  <c r="BO106" i="3" s="1"/>
  <c r="BF106" i="3"/>
  <c r="BG106" i="3"/>
  <c r="BM106" i="3"/>
  <c r="BQ106" i="3"/>
  <c r="BT106" i="3"/>
  <c r="BU106" i="3"/>
  <c r="BW106" i="3"/>
  <c r="CA106" i="3"/>
  <c r="CB106" i="3"/>
  <c r="L72" i="3"/>
  <c r="O72" i="3" s="1"/>
  <c r="W72" i="3"/>
  <c r="AA72" i="3"/>
  <c r="AL72" i="3" s="1"/>
  <c r="AE72" i="3"/>
  <c r="AH72" i="3" s="1"/>
  <c r="AM72" i="3"/>
  <c r="AN72" i="3"/>
  <c r="AO72" i="3"/>
  <c r="AP72" i="3"/>
  <c r="AQ72" i="3"/>
  <c r="AS72" i="3" s="1"/>
  <c r="AT72" i="3" s="1"/>
  <c r="AW72" i="3"/>
  <c r="AY72" i="3" s="1"/>
  <c r="BD72" i="3"/>
  <c r="BO72" i="3" s="1"/>
  <c r="BF72" i="3"/>
  <c r="BG72" i="3"/>
  <c r="BM72" i="3"/>
  <c r="BQ72" i="3"/>
  <c r="BT72" i="3"/>
  <c r="BU72" i="3"/>
  <c r="BW72" i="3"/>
  <c r="CA72" i="3"/>
  <c r="CB72" i="3"/>
  <c r="L73" i="3"/>
  <c r="O73" i="3" s="1"/>
  <c r="W73" i="3"/>
  <c r="AA73" i="3"/>
  <c r="AL73" i="3" s="1"/>
  <c r="AE73" i="3"/>
  <c r="AF73" i="3" s="1"/>
  <c r="AM73" i="3"/>
  <c r="AN73" i="3"/>
  <c r="AO73" i="3"/>
  <c r="AP73" i="3"/>
  <c r="AQ73" i="3"/>
  <c r="AS73" i="3" s="1"/>
  <c r="AT73" i="3" s="1"/>
  <c r="AW73" i="3"/>
  <c r="AY73" i="3" s="1"/>
  <c r="BD73" i="3"/>
  <c r="BO73" i="3" s="1"/>
  <c r="BF73" i="3"/>
  <c r="BG73" i="3"/>
  <c r="BM73" i="3"/>
  <c r="BQ73" i="3"/>
  <c r="BT73" i="3"/>
  <c r="BU73" i="3"/>
  <c r="BW73" i="3"/>
  <c r="CA73" i="3"/>
  <c r="CB73" i="3"/>
  <c r="L74" i="3"/>
  <c r="O74" i="3" s="1"/>
  <c r="W74" i="3"/>
  <c r="AA74" i="3"/>
  <c r="AL74" i="3" s="1"/>
  <c r="AE74" i="3"/>
  <c r="AH74" i="3" s="1"/>
  <c r="AM74" i="3"/>
  <c r="AN74" i="3"/>
  <c r="AO74" i="3"/>
  <c r="AP74" i="3"/>
  <c r="AQ74" i="3"/>
  <c r="AS74" i="3" s="1"/>
  <c r="AT74" i="3" s="1"/>
  <c r="AW74" i="3"/>
  <c r="AY74" i="3" s="1"/>
  <c r="BD74" i="3"/>
  <c r="BO74" i="3" s="1"/>
  <c r="BF74" i="3"/>
  <c r="BG74" i="3"/>
  <c r="BM74" i="3"/>
  <c r="BQ74" i="3"/>
  <c r="BT74" i="3"/>
  <c r="BU74" i="3"/>
  <c r="BW74" i="3"/>
  <c r="CA74" i="3"/>
  <c r="CB74" i="3"/>
  <c r="L75" i="3"/>
  <c r="O75" i="3" s="1"/>
  <c r="W75" i="3"/>
  <c r="AA75" i="3"/>
  <c r="AL75" i="3" s="1"/>
  <c r="AE75" i="3"/>
  <c r="AH75" i="3" s="1"/>
  <c r="AM75" i="3"/>
  <c r="AN75" i="3"/>
  <c r="AO75" i="3"/>
  <c r="AP75" i="3"/>
  <c r="AQ75" i="3"/>
  <c r="AS75" i="3" s="1"/>
  <c r="AT75" i="3" s="1"/>
  <c r="AW75" i="3"/>
  <c r="AY75" i="3" s="1"/>
  <c r="BD75" i="3"/>
  <c r="BO75" i="3" s="1"/>
  <c r="BF75" i="3"/>
  <c r="BG75" i="3"/>
  <c r="BM75" i="3"/>
  <c r="BQ75" i="3"/>
  <c r="BT75" i="3"/>
  <c r="BU75" i="3"/>
  <c r="BW75" i="3"/>
  <c r="CA75" i="3"/>
  <c r="CB75" i="3"/>
  <c r="L76" i="3"/>
  <c r="O76" i="3" s="1"/>
  <c r="W76" i="3"/>
  <c r="AA76" i="3"/>
  <c r="AL76" i="3" s="1"/>
  <c r="AE76" i="3"/>
  <c r="AM76" i="3"/>
  <c r="AN76" i="3"/>
  <c r="AO76" i="3"/>
  <c r="AP76" i="3"/>
  <c r="AQ76" i="3"/>
  <c r="AS76" i="3" s="1"/>
  <c r="AT76" i="3" s="1"/>
  <c r="AW76" i="3"/>
  <c r="AY76" i="3" s="1"/>
  <c r="BD76" i="3"/>
  <c r="BO76" i="3" s="1"/>
  <c r="BF76" i="3"/>
  <c r="BG76" i="3"/>
  <c r="BM76" i="3"/>
  <c r="BQ76" i="3"/>
  <c r="BT76" i="3"/>
  <c r="BU76" i="3"/>
  <c r="BW76" i="3"/>
  <c r="CA76" i="3"/>
  <c r="CB76" i="3"/>
  <c r="L77" i="3"/>
  <c r="O77" i="3" s="1"/>
  <c r="W77" i="3"/>
  <c r="AA77" i="3"/>
  <c r="AL77" i="3" s="1"/>
  <c r="AE77" i="3"/>
  <c r="AM77" i="3"/>
  <c r="AN77" i="3"/>
  <c r="AO77" i="3"/>
  <c r="AP77" i="3"/>
  <c r="AQ77" i="3"/>
  <c r="AW77" i="3"/>
  <c r="AY77" i="3" s="1"/>
  <c r="BD77" i="3"/>
  <c r="BO77" i="3" s="1"/>
  <c r="BF77" i="3"/>
  <c r="BG77" i="3"/>
  <c r="BM77" i="3"/>
  <c r="BQ77" i="3"/>
  <c r="BT77" i="3"/>
  <c r="BU77" i="3"/>
  <c r="BW77" i="3"/>
  <c r="CA77" i="3"/>
  <c r="CB77" i="3"/>
  <c r="L78" i="3"/>
  <c r="O78" i="3" s="1"/>
  <c r="W78" i="3"/>
  <c r="AA78" i="3"/>
  <c r="AL78" i="3" s="1"/>
  <c r="AE78" i="3"/>
  <c r="AF78" i="3" s="1"/>
  <c r="AM78" i="3"/>
  <c r="AN78" i="3"/>
  <c r="AO78" i="3"/>
  <c r="AP78" i="3"/>
  <c r="AQ78" i="3"/>
  <c r="AS78" i="3" s="1"/>
  <c r="AT78" i="3" s="1"/>
  <c r="AW78" i="3"/>
  <c r="AY78" i="3" s="1"/>
  <c r="BD78" i="3"/>
  <c r="BO78" i="3" s="1"/>
  <c r="BF78" i="3"/>
  <c r="BG78" i="3"/>
  <c r="BM78" i="3"/>
  <c r="BQ78" i="3"/>
  <c r="BT78" i="3"/>
  <c r="BU78" i="3"/>
  <c r="BW78" i="3"/>
  <c r="CA78" i="3"/>
  <c r="CB78" i="3"/>
  <c r="L79" i="3"/>
  <c r="O79" i="3" s="1"/>
  <c r="W79" i="3"/>
  <c r="AA79" i="3"/>
  <c r="AL79" i="3" s="1"/>
  <c r="AE79" i="3"/>
  <c r="AM79" i="3"/>
  <c r="AN79" i="3"/>
  <c r="AO79" i="3"/>
  <c r="AP79" i="3"/>
  <c r="AQ79" i="3"/>
  <c r="AS79" i="3" s="1"/>
  <c r="AT79" i="3" s="1"/>
  <c r="AW79" i="3"/>
  <c r="AY79" i="3" s="1"/>
  <c r="BD79" i="3"/>
  <c r="BO79" i="3" s="1"/>
  <c r="BF79" i="3"/>
  <c r="BG79" i="3"/>
  <c r="BM79" i="3"/>
  <c r="BQ79" i="3"/>
  <c r="BT79" i="3"/>
  <c r="BU79" i="3"/>
  <c r="BW79" i="3"/>
  <c r="CA79" i="3"/>
  <c r="CB79" i="3"/>
  <c r="L80" i="3"/>
  <c r="O80" i="3" s="1"/>
  <c r="W80" i="3"/>
  <c r="AA80" i="3"/>
  <c r="AL80" i="3" s="1"/>
  <c r="AE80" i="3"/>
  <c r="AF80" i="3" s="1"/>
  <c r="AM80" i="3"/>
  <c r="AN80" i="3"/>
  <c r="AO80" i="3"/>
  <c r="AP80" i="3"/>
  <c r="AQ80" i="3"/>
  <c r="AS80" i="3" s="1"/>
  <c r="AT80" i="3" s="1"/>
  <c r="AW80" i="3"/>
  <c r="AY80" i="3" s="1"/>
  <c r="BD80" i="3"/>
  <c r="BO80" i="3" s="1"/>
  <c r="BF80" i="3"/>
  <c r="BG80" i="3"/>
  <c r="BM80" i="3"/>
  <c r="BQ80" i="3"/>
  <c r="BT80" i="3"/>
  <c r="BU80" i="3"/>
  <c r="BW80" i="3"/>
  <c r="CA80" i="3"/>
  <c r="CB80" i="3"/>
  <c r="L81" i="3"/>
  <c r="O81" i="3" s="1"/>
  <c r="W81" i="3"/>
  <c r="AA81" i="3"/>
  <c r="AL81" i="3" s="1"/>
  <c r="AE81" i="3"/>
  <c r="AF81" i="3" s="1"/>
  <c r="AM81" i="3"/>
  <c r="AN81" i="3"/>
  <c r="AO81" i="3"/>
  <c r="AP81" i="3"/>
  <c r="AQ81" i="3"/>
  <c r="AW81" i="3"/>
  <c r="AY81" i="3" s="1"/>
  <c r="BD81" i="3"/>
  <c r="BO81" i="3" s="1"/>
  <c r="BF81" i="3"/>
  <c r="BG81" i="3"/>
  <c r="BM81" i="3"/>
  <c r="BQ81" i="3"/>
  <c r="BT81" i="3"/>
  <c r="BU81" i="3"/>
  <c r="BW81" i="3"/>
  <c r="CA81" i="3"/>
  <c r="CB81" i="3"/>
  <c r="L82" i="3"/>
  <c r="O82" i="3" s="1"/>
  <c r="W82" i="3"/>
  <c r="AA82" i="3"/>
  <c r="AL82" i="3" s="1"/>
  <c r="AE82" i="3"/>
  <c r="AM82" i="3"/>
  <c r="AN82" i="3"/>
  <c r="AO82" i="3"/>
  <c r="AP82" i="3"/>
  <c r="AQ82" i="3"/>
  <c r="AS82" i="3" s="1"/>
  <c r="AT82" i="3" s="1"/>
  <c r="AW82" i="3"/>
  <c r="AY82" i="3" s="1"/>
  <c r="BD82" i="3"/>
  <c r="BO82" i="3" s="1"/>
  <c r="BF82" i="3"/>
  <c r="BG82" i="3"/>
  <c r="BM82" i="3"/>
  <c r="BQ82" i="3"/>
  <c r="BT82" i="3"/>
  <c r="BU82" i="3"/>
  <c r="BW82" i="3"/>
  <c r="CA82" i="3"/>
  <c r="CB82" i="3"/>
  <c r="L83" i="3"/>
  <c r="O83" i="3" s="1"/>
  <c r="W83" i="3"/>
  <c r="AA83" i="3"/>
  <c r="AL83" i="3" s="1"/>
  <c r="AE83" i="3"/>
  <c r="AH83" i="3" s="1"/>
  <c r="AM83" i="3"/>
  <c r="AN83" i="3"/>
  <c r="AO83" i="3"/>
  <c r="AP83" i="3"/>
  <c r="AQ83" i="3"/>
  <c r="AS83" i="3" s="1"/>
  <c r="AT83" i="3" s="1"/>
  <c r="AW83" i="3"/>
  <c r="AY83" i="3" s="1"/>
  <c r="BD83" i="3"/>
  <c r="BO83" i="3" s="1"/>
  <c r="BF83" i="3"/>
  <c r="BG83" i="3"/>
  <c r="BM83" i="3"/>
  <c r="BQ83" i="3"/>
  <c r="BT83" i="3"/>
  <c r="BU83" i="3"/>
  <c r="BW83" i="3"/>
  <c r="CA83" i="3"/>
  <c r="CB83" i="3"/>
  <c r="L84" i="3"/>
  <c r="O84" i="3" s="1"/>
  <c r="W84" i="3"/>
  <c r="AA84" i="3"/>
  <c r="AL84" i="3" s="1"/>
  <c r="AE84" i="3"/>
  <c r="AH84" i="3" s="1"/>
  <c r="AM84" i="3"/>
  <c r="AN84" i="3"/>
  <c r="AO84" i="3"/>
  <c r="AP84" i="3"/>
  <c r="AQ84" i="3"/>
  <c r="AS84" i="3" s="1"/>
  <c r="AT84" i="3" s="1"/>
  <c r="AW84" i="3"/>
  <c r="AY84" i="3" s="1"/>
  <c r="BD84" i="3"/>
  <c r="BO84" i="3" s="1"/>
  <c r="BF84" i="3"/>
  <c r="BG84" i="3"/>
  <c r="BM84" i="3"/>
  <c r="BQ84" i="3"/>
  <c r="BT84" i="3"/>
  <c r="BU84" i="3"/>
  <c r="BW84" i="3"/>
  <c r="CA84" i="3"/>
  <c r="CB84" i="3"/>
  <c r="L85" i="3"/>
  <c r="O85" i="3" s="1"/>
  <c r="W85" i="3"/>
  <c r="AA85" i="3"/>
  <c r="AL85" i="3" s="1"/>
  <c r="AE85" i="3"/>
  <c r="AH85" i="3" s="1"/>
  <c r="AM85" i="3"/>
  <c r="AN85" i="3"/>
  <c r="AO85" i="3"/>
  <c r="AP85" i="3"/>
  <c r="AQ85" i="3"/>
  <c r="AS85" i="3" s="1"/>
  <c r="AT85" i="3" s="1"/>
  <c r="AW85" i="3"/>
  <c r="AY85" i="3" s="1"/>
  <c r="BD85" i="3"/>
  <c r="BO85" i="3" s="1"/>
  <c r="BF85" i="3"/>
  <c r="BG85" i="3"/>
  <c r="BM85" i="3"/>
  <c r="BQ85" i="3"/>
  <c r="BT85" i="3"/>
  <c r="BU85" i="3"/>
  <c r="BW85" i="3"/>
  <c r="CA85" i="3"/>
  <c r="CB85" i="3"/>
  <c r="L86" i="3"/>
  <c r="O86" i="3" s="1"/>
  <c r="W86" i="3"/>
  <c r="AA86" i="3"/>
  <c r="AL86" i="3" s="1"/>
  <c r="AE86" i="3"/>
  <c r="AH86" i="3" s="1"/>
  <c r="AM86" i="3"/>
  <c r="AN86" i="3"/>
  <c r="AO86" i="3"/>
  <c r="AP86" i="3"/>
  <c r="AQ86" i="3"/>
  <c r="AS86" i="3" s="1"/>
  <c r="AT86" i="3" s="1"/>
  <c r="AW86" i="3"/>
  <c r="AY86" i="3" s="1"/>
  <c r="BD86" i="3"/>
  <c r="BO86" i="3" s="1"/>
  <c r="BF86" i="3"/>
  <c r="BG86" i="3"/>
  <c r="BM86" i="3"/>
  <c r="BQ86" i="3"/>
  <c r="BT86" i="3"/>
  <c r="BU86" i="3"/>
  <c r="BW86" i="3"/>
  <c r="CA86" i="3"/>
  <c r="CB86" i="3"/>
  <c r="L87" i="3"/>
  <c r="O87" i="3" s="1"/>
  <c r="W87" i="3"/>
  <c r="AA87" i="3"/>
  <c r="AL87" i="3" s="1"/>
  <c r="AE87" i="3"/>
  <c r="AH87" i="3" s="1"/>
  <c r="AM87" i="3"/>
  <c r="AN87" i="3"/>
  <c r="AO87" i="3"/>
  <c r="AP87" i="3"/>
  <c r="AQ87" i="3"/>
  <c r="AS87" i="3" s="1"/>
  <c r="AT87" i="3" s="1"/>
  <c r="AW87" i="3"/>
  <c r="AY87" i="3" s="1"/>
  <c r="BD87" i="3"/>
  <c r="BO87" i="3" s="1"/>
  <c r="BF87" i="3"/>
  <c r="BG87" i="3"/>
  <c r="BM87" i="3"/>
  <c r="BQ87" i="3"/>
  <c r="BT87" i="3"/>
  <c r="BU87" i="3"/>
  <c r="BW87" i="3"/>
  <c r="CA87" i="3"/>
  <c r="CB87" i="3"/>
  <c r="L88" i="3"/>
  <c r="O88" i="3" s="1"/>
  <c r="W88" i="3"/>
  <c r="AA88" i="3"/>
  <c r="AL88" i="3" s="1"/>
  <c r="AE88" i="3"/>
  <c r="AF88" i="3" s="1"/>
  <c r="AM88" i="3"/>
  <c r="AN88" i="3"/>
  <c r="AO88" i="3"/>
  <c r="AP88" i="3"/>
  <c r="AQ88" i="3"/>
  <c r="AS88" i="3" s="1"/>
  <c r="AT88" i="3" s="1"/>
  <c r="AW88" i="3"/>
  <c r="AY88" i="3" s="1"/>
  <c r="BD88" i="3"/>
  <c r="BO88" i="3" s="1"/>
  <c r="BF88" i="3"/>
  <c r="BG88" i="3"/>
  <c r="BM88" i="3"/>
  <c r="BQ88" i="3"/>
  <c r="BT88" i="3"/>
  <c r="BU88" i="3"/>
  <c r="BW88" i="3"/>
  <c r="CA88" i="3"/>
  <c r="CB88" i="3"/>
  <c r="L54" i="3"/>
  <c r="O54" i="3" s="1"/>
  <c r="W54" i="3"/>
  <c r="AA54" i="3"/>
  <c r="AL54" i="3" s="1"/>
  <c r="AE54" i="3"/>
  <c r="AM54" i="3"/>
  <c r="AN54" i="3"/>
  <c r="AO54" i="3"/>
  <c r="AP54" i="3"/>
  <c r="AQ54" i="3"/>
  <c r="AS54" i="3" s="1"/>
  <c r="AT54" i="3" s="1"/>
  <c r="AW54" i="3"/>
  <c r="AY54" i="3" s="1"/>
  <c r="BD54" i="3"/>
  <c r="BO54" i="3" s="1"/>
  <c r="BF54" i="3"/>
  <c r="BG54" i="3"/>
  <c r="BM54" i="3"/>
  <c r="BQ54" i="3"/>
  <c r="BT54" i="3"/>
  <c r="BU54" i="3"/>
  <c r="BW54" i="3"/>
  <c r="CA54" i="3"/>
  <c r="CB54" i="3"/>
  <c r="L55" i="3"/>
  <c r="O55" i="3" s="1"/>
  <c r="W55" i="3"/>
  <c r="AA55" i="3"/>
  <c r="AL55" i="3" s="1"/>
  <c r="AE55" i="3"/>
  <c r="AF55" i="3" s="1"/>
  <c r="AM55" i="3"/>
  <c r="AN55" i="3"/>
  <c r="AO55" i="3"/>
  <c r="AP55" i="3"/>
  <c r="AQ55" i="3"/>
  <c r="AS55" i="3" s="1"/>
  <c r="AT55" i="3" s="1"/>
  <c r="AW55" i="3"/>
  <c r="AY55" i="3" s="1"/>
  <c r="BD55" i="3"/>
  <c r="BO55" i="3" s="1"/>
  <c r="BF55" i="3"/>
  <c r="BG55" i="3"/>
  <c r="BM55" i="3"/>
  <c r="BQ55" i="3"/>
  <c r="BT55" i="3"/>
  <c r="BU55" i="3"/>
  <c r="BW55" i="3"/>
  <c r="CA55" i="3"/>
  <c r="CB55" i="3"/>
  <c r="L56" i="3"/>
  <c r="O56" i="3" s="1"/>
  <c r="W56" i="3"/>
  <c r="AA56" i="3"/>
  <c r="AL56" i="3" s="1"/>
  <c r="AE56" i="3"/>
  <c r="AM56" i="3"/>
  <c r="AN56" i="3"/>
  <c r="AO56" i="3"/>
  <c r="AP56" i="3"/>
  <c r="AQ56" i="3"/>
  <c r="AS56" i="3" s="1"/>
  <c r="AT56" i="3" s="1"/>
  <c r="AW56" i="3"/>
  <c r="AY56" i="3" s="1"/>
  <c r="BD56" i="3"/>
  <c r="BO56" i="3" s="1"/>
  <c r="BF56" i="3"/>
  <c r="BG56" i="3"/>
  <c r="BM56" i="3"/>
  <c r="BQ56" i="3"/>
  <c r="BT56" i="3"/>
  <c r="BU56" i="3"/>
  <c r="BW56" i="3"/>
  <c r="CA56" i="3"/>
  <c r="CB56" i="3"/>
  <c r="L57" i="3"/>
  <c r="O57" i="3" s="1"/>
  <c r="W57" i="3"/>
  <c r="AA57" i="3"/>
  <c r="AL57" i="3" s="1"/>
  <c r="AE57" i="3"/>
  <c r="AF57" i="3" s="1"/>
  <c r="AM57" i="3"/>
  <c r="AN57" i="3"/>
  <c r="AO57" i="3"/>
  <c r="AP57" i="3"/>
  <c r="AQ57" i="3"/>
  <c r="AS57" i="3" s="1"/>
  <c r="AT57" i="3" s="1"/>
  <c r="AW57" i="3"/>
  <c r="AY57" i="3" s="1"/>
  <c r="BD57" i="3"/>
  <c r="BO57" i="3" s="1"/>
  <c r="BF57" i="3"/>
  <c r="BG57" i="3"/>
  <c r="BM57" i="3"/>
  <c r="BQ57" i="3"/>
  <c r="BT57" i="3"/>
  <c r="BU57" i="3"/>
  <c r="BW57" i="3"/>
  <c r="CA57" i="3"/>
  <c r="CB57" i="3"/>
  <c r="L58" i="3"/>
  <c r="O58" i="3" s="1"/>
  <c r="W58" i="3"/>
  <c r="AA58" i="3"/>
  <c r="AL58" i="3" s="1"/>
  <c r="AE58" i="3"/>
  <c r="AF58" i="3" s="1"/>
  <c r="AM58" i="3"/>
  <c r="AN58" i="3"/>
  <c r="AO58" i="3"/>
  <c r="AP58" i="3"/>
  <c r="AQ58" i="3"/>
  <c r="AS58" i="3" s="1"/>
  <c r="AT58" i="3" s="1"/>
  <c r="AW58" i="3"/>
  <c r="AY58" i="3" s="1"/>
  <c r="BD58" i="3"/>
  <c r="BO58" i="3" s="1"/>
  <c r="BF58" i="3"/>
  <c r="BG58" i="3"/>
  <c r="BM58" i="3"/>
  <c r="BQ58" i="3"/>
  <c r="BT58" i="3"/>
  <c r="BU58" i="3"/>
  <c r="BW58" i="3"/>
  <c r="CA58" i="3"/>
  <c r="CB58" i="3"/>
  <c r="L59" i="3"/>
  <c r="O59" i="3" s="1"/>
  <c r="W59" i="3"/>
  <c r="AA59" i="3"/>
  <c r="AL59" i="3" s="1"/>
  <c r="AE59" i="3"/>
  <c r="AF59" i="3" s="1"/>
  <c r="AM59" i="3"/>
  <c r="AN59" i="3"/>
  <c r="AO59" i="3"/>
  <c r="AP59" i="3"/>
  <c r="AQ59" i="3"/>
  <c r="AS59" i="3" s="1"/>
  <c r="AT59" i="3" s="1"/>
  <c r="AW59" i="3"/>
  <c r="AY59" i="3" s="1"/>
  <c r="BD59" i="3"/>
  <c r="BO59" i="3" s="1"/>
  <c r="BF59" i="3"/>
  <c r="BG59" i="3"/>
  <c r="BM59" i="3"/>
  <c r="BQ59" i="3"/>
  <c r="BT59" i="3"/>
  <c r="BU59" i="3"/>
  <c r="BW59" i="3"/>
  <c r="CA59" i="3"/>
  <c r="CB59" i="3"/>
  <c r="L60" i="3"/>
  <c r="O60" i="3" s="1"/>
  <c r="W60" i="3"/>
  <c r="AA60" i="3"/>
  <c r="AL60" i="3" s="1"/>
  <c r="AE60" i="3"/>
  <c r="AF60" i="3" s="1"/>
  <c r="AM60" i="3"/>
  <c r="AN60" i="3"/>
  <c r="AO60" i="3"/>
  <c r="AP60" i="3"/>
  <c r="AQ60" i="3"/>
  <c r="AW60" i="3"/>
  <c r="AY60" i="3" s="1"/>
  <c r="BD60" i="3"/>
  <c r="BO60" i="3" s="1"/>
  <c r="BF60" i="3"/>
  <c r="BG60" i="3"/>
  <c r="BM60" i="3"/>
  <c r="BQ60" i="3"/>
  <c r="BT60" i="3"/>
  <c r="BU60" i="3"/>
  <c r="BW60" i="3"/>
  <c r="CA60" i="3"/>
  <c r="CB60" i="3"/>
  <c r="L61" i="3"/>
  <c r="O61" i="3" s="1"/>
  <c r="W61" i="3"/>
  <c r="AA61" i="3"/>
  <c r="AL61" i="3" s="1"/>
  <c r="AE61" i="3"/>
  <c r="AF61" i="3" s="1"/>
  <c r="AM61" i="3"/>
  <c r="AN61" i="3"/>
  <c r="AO61" i="3"/>
  <c r="AP61" i="3"/>
  <c r="AQ61" i="3"/>
  <c r="AS61" i="3" s="1"/>
  <c r="AT61" i="3" s="1"/>
  <c r="AW61" i="3"/>
  <c r="AY61" i="3" s="1"/>
  <c r="BD61" i="3"/>
  <c r="BO61" i="3" s="1"/>
  <c r="BF61" i="3"/>
  <c r="BG61" i="3"/>
  <c r="BM61" i="3"/>
  <c r="BQ61" i="3"/>
  <c r="BT61" i="3"/>
  <c r="BU61" i="3"/>
  <c r="BW61" i="3"/>
  <c r="CA61" i="3"/>
  <c r="CB61" i="3"/>
  <c r="L62" i="3"/>
  <c r="O62" i="3" s="1"/>
  <c r="W62" i="3"/>
  <c r="AA62" i="3"/>
  <c r="AL62" i="3" s="1"/>
  <c r="AE62" i="3"/>
  <c r="AF62" i="3" s="1"/>
  <c r="AM62" i="3"/>
  <c r="AN62" i="3"/>
  <c r="AO62" i="3"/>
  <c r="AP62" i="3"/>
  <c r="AQ62" i="3"/>
  <c r="AS62" i="3" s="1"/>
  <c r="AT62" i="3" s="1"/>
  <c r="AW62" i="3"/>
  <c r="AY62" i="3" s="1"/>
  <c r="BD62" i="3"/>
  <c r="BO62" i="3" s="1"/>
  <c r="BF62" i="3"/>
  <c r="BG62" i="3"/>
  <c r="BM62" i="3"/>
  <c r="BQ62" i="3"/>
  <c r="BT62" i="3"/>
  <c r="BU62" i="3"/>
  <c r="BW62" i="3"/>
  <c r="CA62" i="3"/>
  <c r="CB62" i="3"/>
  <c r="L63" i="3"/>
  <c r="O63" i="3" s="1"/>
  <c r="W63" i="3"/>
  <c r="AA63" i="3"/>
  <c r="AL63" i="3" s="1"/>
  <c r="AE63" i="3"/>
  <c r="AF63" i="3" s="1"/>
  <c r="AM63" i="3"/>
  <c r="AN63" i="3"/>
  <c r="AO63" i="3"/>
  <c r="AP63" i="3"/>
  <c r="AQ63" i="3"/>
  <c r="AS63" i="3" s="1"/>
  <c r="AT63" i="3" s="1"/>
  <c r="AW63" i="3"/>
  <c r="AY63" i="3" s="1"/>
  <c r="BD63" i="3"/>
  <c r="BO63" i="3" s="1"/>
  <c r="BF63" i="3"/>
  <c r="BG63" i="3"/>
  <c r="BM63" i="3"/>
  <c r="BQ63" i="3"/>
  <c r="BT63" i="3"/>
  <c r="BU63" i="3"/>
  <c r="BW63" i="3"/>
  <c r="CA63" i="3"/>
  <c r="CB63" i="3"/>
  <c r="L64" i="3"/>
  <c r="O64" i="3" s="1"/>
  <c r="W64" i="3"/>
  <c r="AA64" i="3"/>
  <c r="AL64" i="3" s="1"/>
  <c r="AE64" i="3"/>
  <c r="AH64" i="3" s="1"/>
  <c r="AM64" i="3"/>
  <c r="AN64" i="3"/>
  <c r="AO64" i="3"/>
  <c r="AP64" i="3"/>
  <c r="AQ64" i="3"/>
  <c r="AS64" i="3" s="1"/>
  <c r="AT64" i="3" s="1"/>
  <c r="AW64" i="3"/>
  <c r="AY64" i="3" s="1"/>
  <c r="BD64" i="3"/>
  <c r="BO64" i="3" s="1"/>
  <c r="BF64" i="3"/>
  <c r="BG64" i="3"/>
  <c r="BM64" i="3"/>
  <c r="BQ64" i="3"/>
  <c r="BT64" i="3"/>
  <c r="BU64" i="3"/>
  <c r="BW64" i="3"/>
  <c r="CA64" i="3"/>
  <c r="CB64" i="3"/>
  <c r="L65" i="3"/>
  <c r="O65" i="3" s="1"/>
  <c r="W65" i="3"/>
  <c r="AA65" i="3"/>
  <c r="AL65" i="3" s="1"/>
  <c r="AE65" i="3"/>
  <c r="AH65" i="3" s="1"/>
  <c r="AM65" i="3"/>
  <c r="AN65" i="3"/>
  <c r="AO65" i="3"/>
  <c r="AP65" i="3"/>
  <c r="AQ65" i="3"/>
  <c r="AS65" i="3" s="1"/>
  <c r="AT65" i="3" s="1"/>
  <c r="AW65" i="3"/>
  <c r="AY65" i="3" s="1"/>
  <c r="BD65" i="3"/>
  <c r="BO65" i="3" s="1"/>
  <c r="BF65" i="3"/>
  <c r="BG65" i="3"/>
  <c r="BM65" i="3"/>
  <c r="BQ65" i="3"/>
  <c r="BT65" i="3"/>
  <c r="BU65" i="3"/>
  <c r="BW65" i="3"/>
  <c r="CA65" i="3"/>
  <c r="CB65" i="3"/>
  <c r="L66" i="3"/>
  <c r="O66" i="3" s="1"/>
  <c r="W66" i="3"/>
  <c r="AA66" i="3"/>
  <c r="AL66" i="3" s="1"/>
  <c r="AE66" i="3"/>
  <c r="AM66" i="3"/>
  <c r="AN66" i="3"/>
  <c r="AO66" i="3"/>
  <c r="AP66" i="3"/>
  <c r="AQ66" i="3"/>
  <c r="AS66" i="3" s="1"/>
  <c r="AT66" i="3" s="1"/>
  <c r="AW66" i="3"/>
  <c r="AY66" i="3" s="1"/>
  <c r="BD66" i="3"/>
  <c r="BO66" i="3" s="1"/>
  <c r="BF66" i="3"/>
  <c r="BG66" i="3"/>
  <c r="BM66" i="3"/>
  <c r="BQ66" i="3"/>
  <c r="BT66" i="3"/>
  <c r="BU66" i="3"/>
  <c r="BW66" i="3"/>
  <c r="CA66" i="3"/>
  <c r="CB66" i="3"/>
  <c r="L67" i="3"/>
  <c r="O67" i="3" s="1"/>
  <c r="W67" i="3"/>
  <c r="AA67" i="3"/>
  <c r="AL67" i="3" s="1"/>
  <c r="AE67" i="3"/>
  <c r="AF67" i="3" s="1"/>
  <c r="AM67" i="3"/>
  <c r="AN67" i="3"/>
  <c r="AO67" i="3"/>
  <c r="AP67" i="3"/>
  <c r="AQ67" i="3"/>
  <c r="AS67" i="3" s="1"/>
  <c r="AT67" i="3" s="1"/>
  <c r="AW67" i="3"/>
  <c r="AY67" i="3" s="1"/>
  <c r="BD67" i="3"/>
  <c r="BO67" i="3" s="1"/>
  <c r="BF67" i="3"/>
  <c r="BG67" i="3"/>
  <c r="BM67" i="3"/>
  <c r="BQ67" i="3"/>
  <c r="BT67" i="3"/>
  <c r="BU67" i="3"/>
  <c r="BW67" i="3"/>
  <c r="CA67" i="3"/>
  <c r="CB67" i="3"/>
  <c r="L68" i="3"/>
  <c r="O68" i="3" s="1"/>
  <c r="W68" i="3"/>
  <c r="AA68" i="3"/>
  <c r="AL68" i="3" s="1"/>
  <c r="AE68" i="3"/>
  <c r="AH68" i="3" s="1"/>
  <c r="AM68" i="3"/>
  <c r="AN68" i="3"/>
  <c r="AO68" i="3"/>
  <c r="AP68" i="3"/>
  <c r="AQ68" i="3"/>
  <c r="AS68" i="3" s="1"/>
  <c r="AT68" i="3" s="1"/>
  <c r="AW68" i="3"/>
  <c r="AY68" i="3" s="1"/>
  <c r="BD68" i="3"/>
  <c r="BO68" i="3" s="1"/>
  <c r="BF68" i="3"/>
  <c r="BG68" i="3"/>
  <c r="BM68" i="3"/>
  <c r="BQ68" i="3"/>
  <c r="BT68" i="3"/>
  <c r="BU68" i="3"/>
  <c r="BW68" i="3"/>
  <c r="CA68" i="3"/>
  <c r="CB68" i="3"/>
  <c r="L69" i="3"/>
  <c r="O69" i="3" s="1"/>
  <c r="W69" i="3"/>
  <c r="AA69" i="3"/>
  <c r="AL69" i="3" s="1"/>
  <c r="AE69" i="3"/>
  <c r="AF69" i="3" s="1"/>
  <c r="AM69" i="3"/>
  <c r="AN69" i="3"/>
  <c r="AO69" i="3"/>
  <c r="AP69" i="3"/>
  <c r="AQ69" i="3"/>
  <c r="AS69" i="3" s="1"/>
  <c r="AT69" i="3" s="1"/>
  <c r="AW69" i="3"/>
  <c r="AY69" i="3" s="1"/>
  <c r="BD69" i="3"/>
  <c r="BO69" i="3" s="1"/>
  <c r="BF69" i="3"/>
  <c r="BG69" i="3"/>
  <c r="BM69" i="3"/>
  <c r="BQ69" i="3"/>
  <c r="BT69" i="3"/>
  <c r="BU69" i="3"/>
  <c r="BW69" i="3"/>
  <c r="CA69" i="3"/>
  <c r="CB69" i="3"/>
  <c r="L70" i="3"/>
  <c r="O70" i="3" s="1"/>
  <c r="W70" i="3"/>
  <c r="AA70" i="3"/>
  <c r="AL70" i="3" s="1"/>
  <c r="AE70" i="3"/>
  <c r="AF70" i="3" s="1"/>
  <c r="AM70" i="3"/>
  <c r="AN70" i="3"/>
  <c r="AO70" i="3"/>
  <c r="AP70" i="3"/>
  <c r="AQ70" i="3"/>
  <c r="AS70" i="3" s="1"/>
  <c r="AT70" i="3" s="1"/>
  <c r="AW70" i="3"/>
  <c r="AY70" i="3" s="1"/>
  <c r="BD70" i="3"/>
  <c r="BO70" i="3" s="1"/>
  <c r="BF70" i="3"/>
  <c r="BG70" i="3"/>
  <c r="BM70" i="3"/>
  <c r="BQ70" i="3"/>
  <c r="BT70" i="3"/>
  <c r="BU70" i="3"/>
  <c r="BW70" i="3"/>
  <c r="CA70" i="3"/>
  <c r="CB70" i="3"/>
  <c r="L36" i="3"/>
  <c r="O36" i="3" s="1"/>
  <c r="W36" i="3"/>
  <c r="AA36" i="3"/>
  <c r="AL36" i="3" s="1"/>
  <c r="AE36" i="3"/>
  <c r="AF36" i="3" s="1"/>
  <c r="AM36" i="3"/>
  <c r="AN36" i="3"/>
  <c r="AO36" i="3"/>
  <c r="AP36" i="3"/>
  <c r="AQ36" i="3"/>
  <c r="AS36" i="3" s="1"/>
  <c r="AT36" i="3" s="1"/>
  <c r="AW36" i="3"/>
  <c r="AY36" i="3" s="1"/>
  <c r="BD36" i="3"/>
  <c r="BO36" i="3" s="1"/>
  <c r="BF36" i="3"/>
  <c r="BG36" i="3"/>
  <c r="BM36" i="3"/>
  <c r="BQ36" i="3"/>
  <c r="BT36" i="3"/>
  <c r="BU36" i="3"/>
  <c r="BW36" i="3"/>
  <c r="CA36" i="3"/>
  <c r="CB36" i="3"/>
  <c r="L37" i="3"/>
  <c r="O37" i="3" s="1"/>
  <c r="W37" i="3"/>
  <c r="AA37" i="3"/>
  <c r="AL37" i="3" s="1"/>
  <c r="AE37" i="3"/>
  <c r="AM37" i="3"/>
  <c r="AN37" i="3"/>
  <c r="AO37" i="3"/>
  <c r="AP37" i="3"/>
  <c r="AQ37" i="3"/>
  <c r="AS37" i="3" s="1"/>
  <c r="AT37" i="3" s="1"/>
  <c r="AW37" i="3"/>
  <c r="AY37" i="3" s="1"/>
  <c r="BD37" i="3"/>
  <c r="BO37" i="3" s="1"/>
  <c r="BF37" i="3"/>
  <c r="BG37" i="3"/>
  <c r="BM37" i="3"/>
  <c r="BQ37" i="3"/>
  <c r="BT37" i="3"/>
  <c r="BU37" i="3"/>
  <c r="BW37" i="3"/>
  <c r="CA37" i="3"/>
  <c r="CB37" i="3"/>
  <c r="L38" i="3"/>
  <c r="O38" i="3" s="1"/>
  <c r="W38" i="3"/>
  <c r="AA38" i="3"/>
  <c r="AL38" i="3" s="1"/>
  <c r="AE38" i="3"/>
  <c r="AF38" i="3" s="1"/>
  <c r="AM38" i="3"/>
  <c r="AN38" i="3"/>
  <c r="AO38" i="3"/>
  <c r="AP38" i="3"/>
  <c r="AQ38" i="3"/>
  <c r="AS38" i="3" s="1"/>
  <c r="AT38" i="3" s="1"/>
  <c r="AW38" i="3"/>
  <c r="AY38" i="3" s="1"/>
  <c r="BD38" i="3"/>
  <c r="BO38" i="3" s="1"/>
  <c r="BF38" i="3"/>
  <c r="BG38" i="3"/>
  <c r="BM38" i="3"/>
  <c r="BQ38" i="3"/>
  <c r="BT38" i="3"/>
  <c r="BU38" i="3"/>
  <c r="BW38" i="3"/>
  <c r="CA38" i="3"/>
  <c r="CB38" i="3"/>
  <c r="L39" i="3"/>
  <c r="O39" i="3" s="1"/>
  <c r="W39" i="3"/>
  <c r="AA39" i="3"/>
  <c r="AL39" i="3" s="1"/>
  <c r="AE39" i="3"/>
  <c r="AF39" i="3" s="1"/>
  <c r="AM39" i="3"/>
  <c r="AN39" i="3"/>
  <c r="AO39" i="3"/>
  <c r="AP39" i="3"/>
  <c r="AQ39" i="3"/>
  <c r="AS39" i="3" s="1"/>
  <c r="AT39" i="3" s="1"/>
  <c r="AW39" i="3"/>
  <c r="AY39" i="3" s="1"/>
  <c r="BD39" i="3"/>
  <c r="BO39" i="3" s="1"/>
  <c r="BF39" i="3"/>
  <c r="BG39" i="3"/>
  <c r="BM39" i="3"/>
  <c r="BQ39" i="3"/>
  <c r="BT39" i="3"/>
  <c r="BU39" i="3"/>
  <c r="BW39" i="3"/>
  <c r="CA39" i="3"/>
  <c r="CB39" i="3"/>
  <c r="L40" i="3"/>
  <c r="O40" i="3" s="1"/>
  <c r="W40" i="3"/>
  <c r="AA40" i="3"/>
  <c r="AL40" i="3" s="1"/>
  <c r="AE40" i="3"/>
  <c r="AM40" i="3"/>
  <c r="AN40" i="3"/>
  <c r="AO40" i="3"/>
  <c r="AP40" i="3"/>
  <c r="AQ40" i="3"/>
  <c r="AS40" i="3" s="1"/>
  <c r="AT40" i="3" s="1"/>
  <c r="AW40" i="3"/>
  <c r="AY40" i="3" s="1"/>
  <c r="BD40" i="3"/>
  <c r="BO40" i="3" s="1"/>
  <c r="BF40" i="3"/>
  <c r="BG40" i="3"/>
  <c r="BM40" i="3"/>
  <c r="BQ40" i="3"/>
  <c r="BT40" i="3"/>
  <c r="BU40" i="3"/>
  <c r="BW40" i="3"/>
  <c r="CA40" i="3"/>
  <c r="CB40" i="3"/>
  <c r="L41" i="3"/>
  <c r="O41" i="3" s="1"/>
  <c r="W41" i="3"/>
  <c r="AA41" i="3"/>
  <c r="AL41" i="3" s="1"/>
  <c r="AE41" i="3"/>
  <c r="AF41" i="3" s="1"/>
  <c r="AM41" i="3"/>
  <c r="AN41" i="3"/>
  <c r="AO41" i="3"/>
  <c r="AP41" i="3"/>
  <c r="AQ41" i="3"/>
  <c r="AS41" i="3" s="1"/>
  <c r="AT41" i="3" s="1"/>
  <c r="AW41" i="3"/>
  <c r="AY41" i="3" s="1"/>
  <c r="BD41" i="3"/>
  <c r="BO41" i="3" s="1"/>
  <c r="BF41" i="3"/>
  <c r="BG41" i="3"/>
  <c r="BM41" i="3"/>
  <c r="BQ41" i="3"/>
  <c r="BT41" i="3"/>
  <c r="BU41" i="3"/>
  <c r="BW41" i="3"/>
  <c r="CA41" i="3"/>
  <c r="CB41" i="3"/>
  <c r="L42" i="3"/>
  <c r="O42" i="3" s="1"/>
  <c r="W42" i="3"/>
  <c r="AA42" i="3"/>
  <c r="AL42" i="3" s="1"/>
  <c r="AE42" i="3"/>
  <c r="AF42" i="3" s="1"/>
  <c r="AM42" i="3"/>
  <c r="AN42" i="3"/>
  <c r="AO42" i="3"/>
  <c r="AP42" i="3"/>
  <c r="AQ42" i="3"/>
  <c r="AW42" i="3"/>
  <c r="AY42" i="3" s="1"/>
  <c r="BD42" i="3"/>
  <c r="BO42" i="3" s="1"/>
  <c r="BF42" i="3"/>
  <c r="BG42" i="3"/>
  <c r="BM42" i="3"/>
  <c r="BQ42" i="3"/>
  <c r="BT42" i="3"/>
  <c r="BU42" i="3"/>
  <c r="BW42" i="3"/>
  <c r="CA42" i="3"/>
  <c r="CB42" i="3"/>
  <c r="L43" i="3"/>
  <c r="O43" i="3" s="1"/>
  <c r="W43" i="3"/>
  <c r="AA43" i="3"/>
  <c r="AL43" i="3" s="1"/>
  <c r="AE43" i="3"/>
  <c r="AF43" i="3" s="1"/>
  <c r="AM43" i="3"/>
  <c r="AN43" i="3"/>
  <c r="AO43" i="3"/>
  <c r="AP43" i="3"/>
  <c r="AQ43" i="3"/>
  <c r="AS43" i="3" s="1"/>
  <c r="AT43" i="3" s="1"/>
  <c r="AW43" i="3"/>
  <c r="AY43" i="3" s="1"/>
  <c r="BD43" i="3"/>
  <c r="BO43" i="3" s="1"/>
  <c r="BF43" i="3"/>
  <c r="BG43" i="3"/>
  <c r="BM43" i="3"/>
  <c r="BQ43" i="3"/>
  <c r="BT43" i="3"/>
  <c r="BU43" i="3"/>
  <c r="BW43" i="3"/>
  <c r="CA43" i="3"/>
  <c r="CB43" i="3"/>
  <c r="L44" i="3"/>
  <c r="O44" i="3" s="1"/>
  <c r="W44" i="3"/>
  <c r="AA44" i="3"/>
  <c r="AL44" i="3" s="1"/>
  <c r="AE44" i="3"/>
  <c r="AF44" i="3" s="1"/>
  <c r="AM44" i="3"/>
  <c r="AN44" i="3"/>
  <c r="AO44" i="3"/>
  <c r="AP44" i="3"/>
  <c r="AQ44" i="3"/>
  <c r="AS44" i="3" s="1"/>
  <c r="AT44" i="3" s="1"/>
  <c r="AW44" i="3"/>
  <c r="AY44" i="3" s="1"/>
  <c r="BD44" i="3"/>
  <c r="BO44" i="3" s="1"/>
  <c r="BF44" i="3"/>
  <c r="BG44" i="3"/>
  <c r="BM44" i="3"/>
  <c r="BQ44" i="3"/>
  <c r="BT44" i="3"/>
  <c r="BU44" i="3"/>
  <c r="BW44" i="3"/>
  <c r="CA44" i="3"/>
  <c r="CB44" i="3"/>
  <c r="L45" i="3"/>
  <c r="O45" i="3" s="1"/>
  <c r="W45" i="3"/>
  <c r="AA45" i="3"/>
  <c r="AL45" i="3" s="1"/>
  <c r="AE45" i="3"/>
  <c r="AF45" i="3" s="1"/>
  <c r="AM45" i="3"/>
  <c r="AN45" i="3"/>
  <c r="AO45" i="3"/>
  <c r="AP45" i="3"/>
  <c r="AQ45" i="3"/>
  <c r="AS45" i="3" s="1"/>
  <c r="AT45" i="3" s="1"/>
  <c r="AW45" i="3"/>
  <c r="AY45" i="3" s="1"/>
  <c r="BD45" i="3"/>
  <c r="BO45" i="3" s="1"/>
  <c r="BF45" i="3"/>
  <c r="BG45" i="3"/>
  <c r="BM45" i="3"/>
  <c r="BQ45" i="3"/>
  <c r="BT45" i="3"/>
  <c r="BU45" i="3"/>
  <c r="BW45" i="3"/>
  <c r="CA45" i="3"/>
  <c r="CB45" i="3"/>
  <c r="L46" i="3"/>
  <c r="O46" i="3" s="1"/>
  <c r="W46" i="3"/>
  <c r="AA46" i="3"/>
  <c r="AL46" i="3" s="1"/>
  <c r="AE46" i="3"/>
  <c r="AH46" i="3" s="1"/>
  <c r="AM46" i="3"/>
  <c r="AN46" i="3"/>
  <c r="AO46" i="3"/>
  <c r="AP46" i="3"/>
  <c r="AQ46" i="3"/>
  <c r="AS46" i="3" s="1"/>
  <c r="AT46" i="3" s="1"/>
  <c r="AW46" i="3"/>
  <c r="AY46" i="3" s="1"/>
  <c r="BD46" i="3"/>
  <c r="BO46" i="3" s="1"/>
  <c r="BF46" i="3"/>
  <c r="BG46" i="3"/>
  <c r="BM46" i="3"/>
  <c r="BQ46" i="3"/>
  <c r="BT46" i="3"/>
  <c r="BU46" i="3"/>
  <c r="BW46" i="3"/>
  <c r="CA46" i="3"/>
  <c r="CB46" i="3"/>
  <c r="L47" i="3"/>
  <c r="O47" i="3" s="1"/>
  <c r="W47" i="3"/>
  <c r="AA47" i="3"/>
  <c r="AL47" i="3" s="1"/>
  <c r="AE47" i="3"/>
  <c r="AH47" i="3" s="1"/>
  <c r="AM47" i="3"/>
  <c r="AN47" i="3"/>
  <c r="AO47" i="3"/>
  <c r="AP47" i="3"/>
  <c r="AQ47" i="3"/>
  <c r="AS47" i="3" s="1"/>
  <c r="AT47" i="3" s="1"/>
  <c r="AW47" i="3"/>
  <c r="AY47" i="3" s="1"/>
  <c r="BD47" i="3"/>
  <c r="BO47" i="3" s="1"/>
  <c r="BF47" i="3"/>
  <c r="BG47" i="3"/>
  <c r="BM47" i="3"/>
  <c r="BQ47" i="3"/>
  <c r="BT47" i="3"/>
  <c r="BU47" i="3"/>
  <c r="BW47" i="3"/>
  <c r="CA47" i="3"/>
  <c r="CB47" i="3"/>
  <c r="L48" i="3"/>
  <c r="O48" i="3" s="1"/>
  <c r="W48" i="3"/>
  <c r="AA48" i="3"/>
  <c r="AL48" i="3" s="1"/>
  <c r="AE48" i="3"/>
  <c r="AF48" i="3" s="1"/>
  <c r="AM48" i="3"/>
  <c r="AN48" i="3"/>
  <c r="AO48" i="3"/>
  <c r="AP48" i="3"/>
  <c r="AQ48" i="3"/>
  <c r="AS48" i="3" s="1"/>
  <c r="AT48" i="3" s="1"/>
  <c r="AW48" i="3"/>
  <c r="AY48" i="3" s="1"/>
  <c r="BD48" i="3"/>
  <c r="BO48" i="3" s="1"/>
  <c r="BF48" i="3"/>
  <c r="BG48" i="3"/>
  <c r="BM48" i="3"/>
  <c r="BQ48" i="3"/>
  <c r="BT48" i="3"/>
  <c r="BU48" i="3"/>
  <c r="BW48" i="3"/>
  <c r="CA48" i="3"/>
  <c r="CB48" i="3"/>
  <c r="L49" i="3"/>
  <c r="O49" i="3" s="1"/>
  <c r="W49" i="3"/>
  <c r="AA49" i="3"/>
  <c r="AL49" i="3" s="1"/>
  <c r="AE49" i="3"/>
  <c r="AF49" i="3" s="1"/>
  <c r="AM49" i="3"/>
  <c r="AN49" i="3"/>
  <c r="AO49" i="3"/>
  <c r="AP49" i="3"/>
  <c r="AQ49" i="3"/>
  <c r="AS49" i="3" s="1"/>
  <c r="AT49" i="3" s="1"/>
  <c r="AW49" i="3"/>
  <c r="AY49" i="3" s="1"/>
  <c r="BD49" i="3"/>
  <c r="BO49" i="3" s="1"/>
  <c r="BF49" i="3"/>
  <c r="BG49" i="3"/>
  <c r="BM49" i="3"/>
  <c r="BQ49" i="3"/>
  <c r="BT49" i="3"/>
  <c r="BU49" i="3"/>
  <c r="BW49" i="3"/>
  <c r="CA49" i="3"/>
  <c r="CB49" i="3"/>
  <c r="L50" i="3"/>
  <c r="O50" i="3" s="1"/>
  <c r="W50" i="3"/>
  <c r="AA50" i="3"/>
  <c r="AL50" i="3" s="1"/>
  <c r="AE50" i="3"/>
  <c r="AM50" i="3"/>
  <c r="AN50" i="3"/>
  <c r="AO50" i="3"/>
  <c r="AP50" i="3"/>
  <c r="AQ50" i="3"/>
  <c r="AS50" i="3" s="1"/>
  <c r="AT50" i="3" s="1"/>
  <c r="AW50" i="3"/>
  <c r="AY50" i="3" s="1"/>
  <c r="BD50" i="3"/>
  <c r="BO50" i="3" s="1"/>
  <c r="BF50" i="3"/>
  <c r="BG50" i="3"/>
  <c r="BM50" i="3"/>
  <c r="BQ50" i="3"/>
  <c r="BT50" i="3"/>
  <c r="BU50" i="3"/>
  <c r="BW50" i="3"/>
  <c r="CA50" i="3"/>
  <c r="CB50" i="3"/>
  <c r="L51" i="3"/>
  <c r="O51" i="3" s="1"/>
  <c r="W51" i="3"/>
  <c r="AA51" i="3"/>
  <c r="AL51" i="3" s="1"/>
  <c r="AE51" i="3"/>
  <c r="AF51" i="3" s="1"/>
  <c r="AM51" i="3"/>
  <c r="AN51" i="3"/>
  <c r="AO51" i="3"/>
  <c r="AP51" i="3"/>
  <c r="AQ51" i="3"/>
  <c r="AS51" i="3" s="1"/>
  <c r="AT51" i="3" s="1"/>
  <c r="AW51" i="3"/>
  <c r="AY51" i="3" s="1"/>
  <c r="BD51" i="3"/>
  <c r="BO51" i="3" s="1"/>
  <c r="BF51" i="3"/>
  <c r="BG51" i="3"/>
  <c r="BM51" i="3"/>
  <c r="BQ51" i="3"/>
  <c r="BT51" i="3"/>
  <c r="BU51" i="3"/>
  <c r="BW51" i="3"/>
  <c r="CA51" i="3"/>
  <c r="CB51" i="3"/>
  <c r="L52" i="3"/>
  <c r="O52" i="3" s="1"/>
  <c r="W52" i="3"/>
  <c r="AA52" i="3"/>
  <c r="AL52" i="3" s="1"/>
  <c r="AE52" i="3"/>
  <c r="AH52" i="3" s="1"/>
  <c r="AM52" i="3"/>
  <c r="AN52" i="3"/>
  <c r="AO52" i="3"/>
  <c r="AP52" i="3"/>
  <c r="AQ52" i="3"/>
  <c r="AS52" i="3" s="1"/>
  <c r="AT52" i="3" s="1"/>
  <c r="AW52" i="3"/>
  <c r="AY52" i="3" s="1"/>
  <c r="BD52" i="3"/>
  <c r="BO52" i="3" s="1"/>
  <c r="BF52" i="3"/>
  <c r="BG52" i="3"/>
  <c r="BM52" i="3"/>
  <c r="BQ52" i="3"/>
  <c r="BT52" i="3"/>
  <c r="BU52" i="3"/>
  <c r="BW52" i="3"/>
  <c r="CA52" i="3"/>
  <c r="CB52" i="3"/>
  <c r="AS682" i="3"/>
  <c r="AT682" i="3" s="1"/>
  <c r="AY666" i="3"/>
  <c r="AY667" i="3"/>
  <c r="AY668" i="3"/>
  <c r="AY669" i="3"/>
  <c r="AY670" i="3"/>
  <c r="AY671" i="3"/>
  <c r="AZ671" i="3" s="1"/>
  <c r="BA671" i="3" s="1"/>
  <c r="BB671" i="3" s="1"/>
  <c r="AY672" i="3"/>
  <c r="AY673" i="3"/>
  <c r="AY675" i="3"/>
  <c r="AZ675" i="3" s="1"/>
  <c r="BA675" i="3" s="1"/>
  <c r="BB675" i="3" s="1"/>
  <c r="AY676" i="3"/>
  <c r="AY677" i="3"/>
  <c r="AY678" i="3"/>
  <c r="AY679" i="3"/>
  <c r="AY681" i="3"/>
  <c r="AY682" i="3"/>
  <c r="AY674" i="3"/>
  <c r="AY680" i="3"/>
  <c r="BD666" i="3"/>
  <c r="BO666" i="3" s="1"/>
  <c r="BP666" i="3" s="1"/>
  <c r="BD667" i="3"/>
  <c r="BO667" i="3" s="1"/>
  <c r="BP667" i="3" s="1"/>
  <c r="BD668" i="3"/>
  <c r="BO668" i="3" s="1"/>
  <c r="BP668" i="3" s="1"/>
  <c r="BD669" i="3"/>
  <c r="BO669" i="3" s="1"/>
  <c r="BP669" i="3" s="1"/>
  <c r="BD670" i="3"/>
  <c r="BO670" i="3" s="1"/>
  <c r="BP670" i="3" s="1"/>
  <c r="BD671" i="3"/>
  <c r="BO671" i="3" s="1"/>
  <c r="BP671" i="3" s="1"/>
  <c r="BD672" i="3"/>
  <c r="BO672" i="3" s="1"/>
  <c r="BP672" i="3" s="1"/>
  <c r="BD673" i="3"/>
  <c r="BO673" i="3" s="1"/>
  <c r="BP673" i="3" s="1"/>
  <c r="BD674" i="3"/>
  <c r="BO674" i="3" s="1"/>
  <c r="BP674" i="3" s="1"/>
  <c r="BD675" i="3"/>
  <c r="BO675" i="3" s="1"/>
  <c r="BP675" i="3" s="1"/>
  <c r="BD676" i="3"/>
  <c r="BO676" i="3" s="1"/>
  <c r="BP676" i="3" s="1"/>
  <c r="BD677" i="3"/>
  <c r="BO677" i="3" s="1"/>
  <c r="BP677" i="3" s="1"/>
  <c r="BD678" i="3"/>
  <c r="BO678" i="3" s="1"/>
  <c r="BP678" i="3" s="1"/>
  <c r="BD679" i="3"/>
  <c r="BO679" i="3" s="1"/>
  <c r="BP679" i="3" s="1"/>
  <c r="BD680" i="3"/>
  <c r="BO680" i="3" s="1"/>
  <c r="BP680" i="3" s="1"/>
  <c r="BD681" i="3"/>
  <c r="BO681" i="3" s="1"/>
  <c r="BP681" i="3" s="1"/>
  <c r="BD682" i="3"/>
  <c r="BO682" i="3" s="1"/>
  <c r="BP682" i="3" s="1"/>
  <c r="BF666" i="3"/>
  <c r="BF667" i="3"/>
  <c r="BF668" i="3"/>
  <c r="BF669" i="3"/>
  <c r="BF670" i="3"/>
  <c r="BF671" i="3"/>
  <c r="BF672" i="3"/>
  <c r="BF673" i="3"/>
  <c r="BF674" i="3"/>
  <c r="BF675" i="3"/>
  <c r="BF676" i="3"/>
  <c r="BF677" i="3"/>
  <c r="BF678" i="3"/>
  <c r="BF679" i="3"/>
  <c r="BF680" i="3"/>
  <c r="BF681" i="3"/>
  <c r="BF682" i="3"/>
  <c r="BG666" i="3"/>
  <c r="BG667" i="3"/>
  <c r="BG668" i="3"/>
  <c r="BG669" i="3"/>
  <c r="BG670" i="3"/>
  <c r="BG671" i="3"/>
  <c r="BG672" i="3"/>
  <c r="BG673" i="3"/>
  <c r="BG674" i="3"/>
  <c r="BG675" i="3"/>
  <c r="BG676" i="3"/>
  <c r="BG677" i="3"/>
  <c r="BG678" i="3"/>
  <c r="BG679" i="3"/>
  <c r="BG680" i="3"/>
  <c r="BG681" i="3"/>
  <c r="BG682" i="3"/>
  <c r="AU671" i="3" l="1"/>
  <c r="AU253" i="3"/>
  <c r="AZ549" i="3"/>
  <c r="BA549" i="3" s="1"/>
  <c r="BB549" i="3" s="1"/>
  <c r="AZ668" i="3"/>
  <c r="BA668" i="3" s="1"/>
  <c r="BB668" i="3" s="1"/>
  <c r="AZ676" i="3"/>
  <c r="BA676" i="3" s="1"/>
  <c r="BB676" i="3" s="1"/>
  <c r="AZ672" i="3"/>
  <c r="BA672" i="3" s="1"/>
  <c r="BB672" i="3" s="1"/>
  <c r="BM217" i="3"/>
  <c r="BP217" i="3" s="1"/>
  <c r="BV69" i="3"/>
  <c r="AU64" i="3"/>
  <c r="AU61" i="3"/>
  <c r="BP90" i="3"/>
  <c r="CC651" i="3"/>
  <c r="CD651" i="3" s="1"/>
  <c r="Y489" i="3"/>
  <c r="Y486" i="3"/>
  <c r="AU230" i="3"/>
  <c r="BY114" i="3"/>
  <c r="BV404" i="3"/>
  <c r="CC132" i="3"/>
  <c r="CD132" i="3" s="1"/>
  <c r="AZ681" i="3"/>
  <c r="BA681" i="3" s="1"/>
  <c r="BB681" i="3" s="1"/>
  <c r="BP77" i="3"/>
  <c r="BY556" i="3"/>
  <c r="Y460" i="3"/>
  <c r="AU315" i="3"/>
  <c r="AU329" i="3"/>
  <c r="BP524" i="3"/>
  <c r="Y393" i="3"/>
  <c r="Y250" i="3"/>
  <c r="AH679" i="3"/>
  <c r="AJ679" i="3" s="1"/>
  <c r="AK679" i="3" s="1"/>
  <c r="Y266" i="3"/>
  <c r="AU682" i="3"/>
  <c r="AZ311" i="3"/>
  <c r="BA311" i="3" s="1"/>
  <c r="BB311" i="3" s="1"/>
  <c r="AZ407" i="3"/>
  <c r="BA407" i="3" s="1"/>
  <c r="BB407" i="3" s="1"/>
  <c r="AZ398" i="3"/>
  <c r="BA398" i="3" s="1"/>
  <c r="BB398" i="3" s="1"/>
  <c r="Y453" i="3"/>
  <c r="AZ187" i="3"/>
  <c r="BA187" i="3" s="1"/>
  <c r="BB187" i="3" s="1"/>
  <c r="AZ100" i="3"/>
  <c r="BA100" i="3" s="1"/>
  <c r="BB100" i="3" s="1"/>
  <c r="BY116" i="3"/>
  <c r="AU187" i="3"/>
  <c r="AZ411" i="3"/>
  <c r="BA411" i="3" s="1"/>
  <c r="BB411" i="3" s="1"/>
  <c r="AO424" i="3"/>
  <c r="AP424" i="3" s="1"/>
  <c r="BV306" i="3"/>
  <c r="AF673" i="3"/>
  <c r="AJ673" i="3" s="1"/>
  <c r="AK673" i="3" s="1"/>
  <c r="AF662" i="3"/>
  <c r="BP610" i="3"/>
  <c r="BY400" i="3"/>
  <c r="BV572" i="3"/>
  <c r="BP160" i="3"/>
  <c r="AU555" i="3"/>
  <c r="AZ204" i="3"/>
  <c r="BA204" i="3" s="1"/>
  <c r="BB204" i="3" s="1"/>
  <c r="AZ200" i="3"/>
  <c r="BA200" i="3" s="1"/>
  <c r="BB200" i="3" s="1"/>
  <c r="BV336" i="3"/>
  <c r="AO429" i="3"/>
  <c r="AP429" i="3" s="1"/>
  <c r="AU429" i="3" s="1"/>
  <c r="AZ173" i="3"/>
  <c r="BA173" i="3" s="1"/>
  <c r="BB173" i="3" s="1"/>
  <c r="Y346" i="3"/>
  <c r="Y66" i="3"/>
  <c r="BV117" i="3"/>
  <c r="BP472" i="3"/>
  <c r="AU497" i="3"/>
  <c r="AZ643" i="3"/>
  <c r="BA643" i="3" s="1"/>
  <c r="BB643" i="3" s="1"/>
  <c r="AU668" i="3"/>
  <c r="AU141" i="3"/>
  <c r="BY192" i="3"/>
  <c r="AZ175" i="3"/>
  <c r="BA175" i="3" s="1"/>
  <c r="BB175" i="3" s="1"/>
  <c r="AZ495" i="3"/>
  <c r="BA495" i="3" s="1"/>
  <c r="BB495" i="3" s="1"/>
  <c r="AH115" i="3"/>
  <c r="AJ115" i="3" s="1"/>
  <c r="AK115" i="3" s="1"/>
  <c r="BP262" i="3"/>
  <c r="AZ261" i="3"/>
  <c r="BA261" i="3" s="1"/>
  <c r="BB261" i="3" s="1"/>
  <c r="BY299" i="3"/>
  <c r="BP371" i="3"/>
  <c r="CC662" i="3"/>
  <c r="CD662" i="3" s="1"/>
  <c r="AZ61" i="3"/>
  <c r="BA61" i="3" s="1"/>
  <c r="BB61" i="3" s="1"/>
  <c r="BC61" i="3" s="1"/>
  <c r="BY57" i="3"/>
  <c r="AU117" i="3"/>
  <c r="AH270" i="3"/>
  <c r="AJ270" i="3" s="1"/>
  <c r="AK270" i="3" s="1"/>
  <c r="BV537" i="3"/>
  <c r="AZ101" i="3"/>
  <c r="BA101" i="3" s="1"/>
  <c r="BB101" i="3" s="1"/>
  <c r="BV122" i="3"/>
  <c r="BY193" i="3"/>
  <c r="BV183" i="3"/>
  <c r="BP340" i="3"/>
  <c r="BP337" i="3"/>
  <c r="BV436" i="3"/>
  <c r="AZ582" i="3"/>
  <c r="BA582" i="3" s="1"/>
  <c r="BB582" i="3" s="1"/>
  <c r="Y508" i="3"/>
  <c r="BY483" i="3"/>
  <c r="BV394" i="3"/>
  <c r="CC389" i="3"/>
  <c r="CD389" i="3" s="1"/>
  <c r="BV617" i="3"/>
  <c r="AF87" i="3"/>
  <c r="AJ87" i="3" s="1"/>
  <c r="AK87" i="3" s="1"/>
  <c r="BY84" i="3"/>
  <c r="AF91" i="3"/>
  <c r="CC491" i="3"/>
  <c r="CD491" i="3" s="1"/>
  <c r="Y506" i="3"/>
  <c r="AZ569" i="3"/>
  <c r="BA569" i="3" s="1"/>
  <c r="BB569" i="3" s="1"/>
  <c r="BP587" i="3"/>
  <c r="BY579" i="3"/>
  <c r="Y511" i="3"/>
  <c r="AZ96" i="3"/>
  <c r="BA96" i="3" s="1"/>
  <c r="BB96" i="3" s="1"/>
  <c r="BY411" i="3"/>
  <c r="BY523" i="3"/>
  <c r="AZ90" i="3"/>
  <c r="BA90" i="3" s="1"/>
  <c r="BB90" i="3" s="1"/>
  <c r="AZ253" i="3"/>
  <c r="BA253" i="3" s="1"/>
  <c r="BB253" i="3" s="1"/>
  <c r="AU609" i="3"/>
  <c r="BY639" i="3"/>
  <c r="CC128" i="3"/>
  <c r="CD128" i="3" s="1"/>
  <c r="AO204" i="3"/>
  <c r="AP204" i="3" s="1"/>
  <c r="AZ660" i="3"/>
  <c r="BA660" i="3" s="1"/>
  <c r="BB660" i="3" s="1"/>
  <c r="BV518" i="3"/>
  <c r="AU285" i="3"/>
  <c r="AU550" i="3"/>
  <c r="CC600" i="3"/>
  <c r="CD600" i="3" s="1"/>
  <c r="BV357" i="3"/>
  <c r="Y385" i="3"/>
  <c r="Y407" i="3"/>
  <c r="Y438" i="3"/>
  <c r="CC434" i="3"/>
  <c r="CD434" i="3" s="1"/>
  <c r="AU568" i="3"/>
  <c r="BC568" i="3" s="1"/>
  <c r="BY586" i="3"/>
  <c r="Y585" i="3"/>
  <c r="AZ613" i="3"/>
  <c r="BA613" i="3" s="1"/>
  <c r="BB613" i="3" s="1"/>
  <c r="AO630" i="3"/>
  <c r="AP630" i="3" s="1"/>
  <c r="AU630" i="3" s="1"/>
  <c r="CC335" i="3"/>
  <c r="CD335" i="3" s="1"/>
  <c r="BV443" i="3"/>
  <c r="Y61" i="3"/>
  <c r="Y111" i="3"/>
  <c r="Y130" i="3"/>
  <c r="Y207" i="3"/>
  <c r="BP38" i="3"/>
  <c r="CC99" i="3"/>
  <c r="CD99" i="3" s="1"/>
  <c r="BP169" i="3"/>
  <c r="CC250" i="3"/>
  <c r="CD250" i="3" s="1"/>
  <c r="BV237" i="3"/>
  <c r="AF322" i="3"/>
  <c r="AJ322" i="3" s="1"/>
  <c r="AK322" i="3" s="1"/>
  <c r="CC343" i="3"/>
  <c r="CD343" i="3" s="1"/>
  <c r="BV428" i="3"/>
  <c r="CC457" i="3"/>
  <c r="CD457" i="3" s="1"/>
  <c r="Y553" i="3"/>
  <c r="BV605" i="3"/>
  <c r="CC616" i="3"/>
  <c r="CD616" i="3" s="1"/>
  <c r="Y496" i="3"/>
  <c r="Y556" i="3"/>
  <c r="BV101" i="3"/>
  <c r="AZ670" i="3"/>
  <c r="BA670" i="3" s="1"/>
  <c r="BB670" i="3" s="1"/>
  <c r="CC196" i="3"/>
  <c r="CD196" i="3" s="1"/>
  <c r="BY253" i="3"/>
  <c r="BY352" i="3"/>
  <c r="BY371" i="3"/>
  <c r="CC363" i="3"/>
  <c r="CD363" i="3" s="1"/>
  <c r="Y183" i="3"/>
  <c r="Y231" i="3"/>
  <c r="BV465" i="3"/>
  <c r="AU389" i="3"/>
  <c r="AF479" i="3"/>
  <c r="AJ479" i="3" s="1"/>
  <c r="AK479" i="3" s="1"/>
  <c r="AH542" i="3"/>
  <c r="CC577" i="3"/>
  <c r="CD577" i="3" s="1"/>
  <c r="BV131" i="3"/>
  <c r="BY296" i="3"/>
  <c r="Y59" i="3"/>
  <c r="Y480" i="3"/>
  <c r="BV48" i="3"/>
  <c r="Y152" i="3"/>
  <c r="CC144" i="3"/>
  <c r="CD144" i="3" s="1"/>
  <c r="Y273" i="3"/>
  <c r="BY393" i="3"/>
  <c r="AZ194" i="3"/>
  <c r="BA194" i="3" s="1"/>
  <c r="BB194" i="3" s="1"/>
  <c r="Y188" i="3"/>
  <c r="BV260" i="3"/>
  <c r="BV272" i="3"/>
  <c r="Y469" i="3"/>
  <c r="CC490" i="3"/>
  <c r="CD490" i="3" s="1"/>
  <c r="Y548" i="3"/>
  <c r="AZ586" i="3"/>
  <c r="BA586" i="3" s="1"/>
  <c r="BB586" i="3" s="1"/>
  <c r="AH610" i="3"/>
  <c r="Y445" i="3"/>
  <c r="AU51" i="3"/>
  <c r="AU84" i="3"/>
  <c r="AZ75" i="3"/>
  <c r="BA75" i="3" s="1"/>
  <c r="BB75" i="3" s="1"/>
  <c r="AF118" i="3"/>
  <c r="BY136" i="3"/>
  <c r="Y170" i="3"/>
  <c r="CC283" i="3"/>
  <c r="CD283" i="3" s="1"/>
  <c r="AZ296" i="3"/>
  <c r="BA296" i="3" s="1"/>
  <c r="BB296" i="3" s="1"/>
  <c r="BP394" i="3"/>
  <c r="BY427" i="3"/>
  <c r="CC438" i="3"/>
  <c r="CD438" i="3" s="1"/>
  <c r="BV464" i="3"/>
  <c r="AZ459" i="3"/>
  <c r="BA459" i="3" s="1"/>
  <c r="BB459" i="3" s="1"/>
  <c r="BY513" i="3"/>
  <c r="AZ573" i="3"/>
  <c r="BA573" i="3" s="1"/>
  <c r="BB573" i="3" s="1"/>
  <c r="BY171" i="3"/>
  <c r="AZ163" i="3"/>
  <c r="BA163" i="3" s="1"/>
  <c r="BB163" i="3" s="1"/>
  <c r="AU232" i="3"/>
  <c r="BV231" i="3"/>
  <c r="AZ227" i="3"/>
  <c r="BA227" i="3" s="1"/>
  <c r="BB227" i="3" s="1"/>
  <c r="AZ246" i="3"/>
  <c r="BA246" i="3" s="1"/>
  <c r="BB246" i="3" s="1"/>
  <c r="BV264" i="3"/>
  <c r="AZ262" i="3"/>
  <c r="BA262" i="3" s="1"/>
  <c r="BB262" i="3" s="1"/>
  <c r="BV87" i="3"/>
  <c r="CC255" i="3"/>
  <c r="CD255" i="3" s="1"/>
  <c r="BP317" i="3"/>
  <c r="BY315" i="3"/>
  <c r="BY361" i="3"/>
  <c r="CC390" i="3"/>
  <c r="CD390" i="3" s="1"/>
  <c r="AU380" i="3"/>
  <c r="AU456" i="3"/>
  <c r="Y527" i="3"/>
  <c r="BY640" i="3"/>
  <c r="AZ630" i="3"/>
  <c r="BA630" i="3" s="1"/>
  <c r="BB630" i="3" s="1"/>
  <c r="BP95" i="3"/>
  <c r="AU137" i="3"/>
  <c r="AZ153" i="3"/>
  <c r="BA153" i="3" s="1"/>
  <c r="BB153" i="3" s="1"/>
  <c r="BY152" i="3"/>
  <c r="AF177" i="3"/>
  <c r="AJ177" i="3" s="1"/>
  <c r="AK177" i="3" s="1"/>
  <c r="AF185" i="3"/>
  <c r="AO208" i="3"/>
  <c r="AP208" i="3" s="1"/>
  <c r="AU208" i="3" s="1"/>
  <c r="AH252" i="3"/>
  <c r="AJ252" i="3" s="1"/>
  <c r="AK252" i="3" s="1"/>
  <c r="Y330" i="3"/>
  <c r="BV363" i="3"/>
  <c r="AF388" i="3"/>
  <c r="AJ388" i="3" s="1"/>
  <c r="AK388" i="3" s="1"/>
  <c r="CC385" i="3"/>
  <c r="CD385" i="3" s="1"/>
  <c r="BY396" i="3"/>
  <c r="Y459" i="3"/>
  <c r="BY457" i="3"/>
  <c r="AZ455" i="3"/>
  <c r="BA455" i="3" s="1"/>
  <c r="BB455" i="3" s="1"/>
  <c r="AZ477" i="3"/>
  <c r="BA477" i="3" s="1"/>
  <c r="BB477" i="3" s="1"/>
  <c r="AZ474" i="3"/>
  <c r="BA474" i="3" s="1"/>
  <c r="BB474" i="3" s="1"/>
  <c r="BY489" i="3"/>
  <c r="AZ527" i="3"/>
  <c r="BA527" i="3" s="1"/>
  <c r="BB527" i="3" s="1"/>
  <c r="BV609" i="3"/>
  <c r="AZ620" i="3"/>
  <c r="BA620" i="3" s="1"/>
  <c r="BB620" i="3" s="1"/>
  <c r="BY636" i="3"/>
  <c r="BV630" i="3"/>
  <c r="Y681" i="3"/>
  <c r="AF84" i="3"/>
  <c r="BV81" i="3"/>
  <c r="AU239" i="3"/>
  <c r="AU282" i="3"/>
  <c r="AU304" i="3"/>
  <c r="Y289" i="3"/>
  <c r="CC351" i="3"/>
  <c r="CD351" i="3" s="1"/>
  <c r="Y375" i="3"/>
  <c r="AZ362" i="3"/>
  <c r="BA362" i="3" s="1"/>
  <c r="BB362" i="3" s="1"/>
  <c r="BV437" i="3"/>
  <c r="BV451" i="3"/>
  <c r="AU484" i="3"/>
  <c r="Y517" i="3"/>
  <c r="BV204" i="3"/>
  <c r="CC396" i="3"/>
  <c r="CD396" i="3" s="1"/>
  <c r="AF75" i="3"/>
  <c r="AJ75" i="3" s="1"/>
  <c r="AK75" i="3" s="1"/>
  <c r="BV165" i="3"/>
  <c r="BV228" i="3"/>
  <c r="CC304" i="3"/>
  <c r="CD304" i="3" s="1"/>
  <c r="BP302" i="3"/>
  <c r="AF313" i="3"/>
  <c r="AJ313" i="3" s="1"/>
  <c r="AK313" i="3" s="1"/>
  <c r="BV335" i="3"/>
  <c r="BV332" i="3"/>
  <c r="Y406" i="3"/>
  <c r="Y447" i="3"/>
  <c r="BY477" i="3"/>
  <c r="BP489" i="3"/>
  <c r="BY589" i="3"/>
  <c r="BZ589" i="3" s="1"/>
  <c r="AZ621" i="3"/>
  <c r="BA621" i="3" s="1"/>
  <c r="BB621" i="3" s="1"/>
  <c r="AF644" i="3"/>
  <c r="AJ644" i="3" s="1"/>
  <c r="AK644" i="3" s="1"/>
  <c r="BO663" i="3"/>
  <c r="BP663" i="3" s="1"/>
  <c r="BP164" i="3"/>
  <c r="BP306" i="3"/>
  <c r="AZ374" i="3"/>
  <c r="BA374" i="3" s="1"/>
  <c r="BB374" i="3" s="1"/>
  <c r="BP505" i="3"/>
  <c r="BY635" i="3"/>
  <c r="BY664" i="3"/>
  <c r="AU662" i="3"/>
  <c r="CC97" i="3"/>
  <c r="CD97" i="3" s="1"/>
  <c r="AZ126" i="3"/>
  <c r="BA126" i="3" s="1"/>
  <c r="BB126" i="3" s="1"/>
  <c r="BY166" i="3"/>
  <c r="AU185" i="3"/>
  <c r="CC184" i="3"/>
  <c r="CD184" i="3" s="1"/>
  <c r="CC268" i="3"/>
  <c r="CD268" i="3" s="1"/>
  <c r="AZ280" i="3"/>
  <c r="BA280" i="3" s="1"/>
  <c r="BB280" i="3" s="1"/>
  <c r="BP277" i="3"/>
  <c r="BV307" i="3"/>
  <c r="CC352" i="3"/>
  <c r="CD352" i="3" s="1"/>
  <c r="BY368" i="3"/>
  <c r="AU394" i="3"/>
  <c r="BV401" i="3"/>
  <c r="AZ420" i="3"/>
  <c r="BA420" i="3" s="1"/>
  <c r="BB420" i="3" s="1"/>
  <c r="BV519" i="3"/>
  <c r="AF519" i="3"/>
  <c r="AJ519" i="3" s="1"/>
  <c r="AK519" i="3" s="1"/>
  <c r="BV530" i="3"/>
  <c r="CC528" i="3"/>
  <c r="CD528" i="3" s="1"/>
  <c r="AH527" i="3"/>
  <c r="AJ527" i="3" s="1"/>
  <c r="AK527" i="3" s="1"/>
  <c r="Y550" i="3"/>
  <c r="AZ543" i="3"/>
  <c r="BA543" i="3" s="1"/>
  <c r="BB543" i="3" s="1"/>
  <c r="AZ562" i="3"/>
  <c r="BA562" i="3" s="1"/>
  <c r="BB562" i="3" s="1"/>
  <c r="BY561" i="3"/>
  <c r="AF640" i="3"/>
  <c r="AZ139" i="3"/>
  <c r="BA139" i="3" s="1"/>
  <c r="BB139" i="3" s="1"/>
  <c r="BP159" i="3"/>
  <c r="AZ312" i="3"/>
  <c r="BA312" i="3" s="1"/>
  <c r="BB312" i="3" s="1"/>
  <c r="AZ309" i="3"/>
  <c r="BA309" i="3" s="1"/>
  <c r="BB309" i="3" s="1"/>
  <c r="AZ447" i="3"/>
  <c r="BA447" i="3" s="1"/>
  <c r="BB447" i="3" s="1"/>
  <c r="AU460" i="3"/>
  <c r="AU501" i="3"/>
  <c r="AH555" i="3"/>
  <c r="AJ555" i="3" s="1"/>
  <c r="AK555" i="3" s="1"/>
  <c r="AU599" i="3"/>
  <c r="BV661" i="3"/>
  <c r="BY49" i="3"/>
  <c r="BY99" i="3"/>
  <c r="BY154" i="3"/>
  <c r="CC246" i="3"/>
  <c r="CD246" i="3" s="1"/>
  <c r="CC292" i="3"/>
  <c r="CD292" i="3" s="1"/>
  <c r="BV314" i="3"/>
  <c r="BV368" i="3"/>
  <c r="CC482" i="3"/>
  <c r="CD482" i="3" s="1"/>
  <c r="Y582" i="3"/>
  <c r="Y362" i="3"/>
  <c r="AZ682" i="3"/>
  <c r="BA682" i="3" s="1"/>
  <c r="BB682" i="3" s="1"/>
  <c r="AU45" i="3"/>
  <c r="Y43" i="3"/>
  <c r="AU39" i="3"/>
  <c r="CC74" i="3"/>
  <c r="CD74" i="3" s="1"/>
  <c r="Y91" i="3"/>
  <c r="AU130" i="3"/>
  <c r="Y180" i="3"/>
  <c r="BY237" i="3"/>
  <c r="AZ300" i="3"/>
  <c r="BA300" i="3" s="1"/>
  <c r="BB300" i="3" s="1"/>
  <c r="AZ295" i="3"/>
  <c r="BA295" i="3" s="1"/>
  <c r="BB295" i="3" s="1"/>
  <c r="AZ290" i="3"/>
  <c r="BA290" i="3" s="1"/>
  <c r="BB290" i="3" s="1"/>
  <c r="Y307" i="3"/>
  <c r="AZ357" i="3"/>
  <c r="BA357" i="3" s="1"/>
  <c r="BB357" i="3" s="1"/>
  <c r="AU360" i="3"/>
  <c r="AZ461" i="3"/>
  <c r="BA461" i="3" s="1"/>
  <c r="BB461" i="3" s="1"/>
  <c r="BY482" i="3"/>
  <c r="BV556" i="3"/>
  <c r="BZ556" i="3" s="1"/>
  <c r="AU616" i="3"/>
  <c r="CC643" i="3"/>
  <c r="CD643" i="3" s="1"/>
  <c r="CC417" i="3"/>
  <c r="CD417" i="3" s="1"/>
  <c r="Y474" i="3"/>
  <c r="AZ500" i="3"/>
  <c r="BA500" i="3" s="1"/>
  <c r="BB500" i="3" s="1"/>
  <c r="Y513" i="3"/>
  <c r="Y297" i="3"/>
  <c r="AU74" i="3"/>
  <c r="CC127" i="3"/>
  <c r="CD127" i="3" s="1"/>
  <c r="Y194" i="3"/>
  <c r="CC189" i="3"/>
  <c r="CD189" i="3" s="1"/>
  <c r="AO203" i="3"/>
  <c r="AP203" i="3" s="1"/>
  <c r="AU203" i="3" s="1"/>
  <c r="Y228" i="3"/>
  <c r="CC216" i="3"/>
  <c r="CD216" i="3" s="1"/>
  <c r="BV273" i="3"/>
  <c r="BV270" i="3"/>
  <c r="Y340" i="3"/>
  <c r="Y351" i="3"/>
  <c r="BV342" i="3"/>
  <c r="BY442" i="3"/>
  <c r="BV486" i="3"/>
  <c r="Y538" i="3"/>
  <c r="Y598" i="3"/>
  <c r="BY621" i="3"/>
  <c r="CC105" i="3"/>
  <c r="CD105" i="3" s="1"/>
  <c r="BV98" i="3"/>
  <c r="BP52" i="3"/>
  <c r="CC54" i="3"/>
  <c r="CD54" i="3" s="1"/>
  <c r="BP91" i="3"/>
  <c r="BY201" i="3"/>
  <c r="BP272" i="3"/>
  <c r="BV349" i="3"/>
  <c r="BY406" i="3"/>
  <c r="Y514" i="3"/>
  <c r="BY532" i="3"/>
  <c r="AZ540" i="3"/>
  <c r="BA540" i="3" s="1"/>
  <c r="BB540" i="3" s="1"/>
  <c r="CC568" i="3"/>
  <c r="CD568" i="3" s="1"/>
  <c r="BV596" i="3"/>
  <c r="Y620" i="3"/>
  <c r="Y617" i="3"/>
  <c r="BV244" i="3"/>
  <c r="BY54" i="3"/>
  <c r="BP87" i="3"/>
  <c r="CC85" i="3"/>
  <c r="CD85" i="3" s="1"/>
  <c r="AJ84" i="3"/>
  <c r="AK84" i="3" s="1"/>
  <c r="BV120" i="3"/>
  <c r="AU142" i="3"/>
  <c r="AU135" i="3"/>
  <c r="BC135" i="3" s="1"/>
  <c r="BP184" i="3"/>
  <c r="CC261" i="3"/>
  <c r="CD261" i="3" s="1"/>
  <c r="BY257" i="3"/>
  <c r="Y345" i="3"/>
  <c r="AU390" i="3"/>
  <c r="BY448" i="3"/>
  <c r="CC443" i="3"/>
  <c r="CD443" i="3" s="1"/>
  <c r="BP560" i="3"/>
  <c r="AF670" i="3"/>
  <c r="AJ670" i="3" s="1"/>
  <c r="AK670" i="3" s="1"/>
  <c r="CC86" i="3"/>
  <c r="CD86" i="3" s="1"/>
  <c r="BP111" i="3"/>
  <c r="BP207" i="3"/>
  <c r="BV501" i="3"/>
  <c r="CC506" i="3"/>
  <c r="CD506" i="3" s="1"/>
  <c r="CC558" i="3"/>
  <c r="CD558" i="3" s="1"/>
  <c r="CC590" i="3"/>
  <c r="CD590" i="3" s="1"/>
  <c r="AH675" i="3"/>
  <c r="AJ675" i="3" s="1"/>
  <c r="AK675" i="3" s="1"/>
  <c r="Y55" i="3"/>
  <c r="Y379" i="3"/>
  <c r="BV113" i="3"/>
  <c r="BP195" i="3"/>
  <c r="AZ181" i="3"/>
  <c r="BA181" i="3" s="1"/>
  <c r="BB181" i="3" s="1"/>
  <c r="BY268" i="3"/>
  <c r="BP330" i="3"/>
  <c r="AZ363" i="3"/>
  <c r="BA363" i="3" s="1"/>
  <c r="BB363" i="3" s="1"/>
  <c r="Y360" i="3"/>
  <c r="BV385" i="3"/>
  <c r="CC455" i="3"/>
  <c r="CD455" i="3" s="1"/>
  <c r="AH491" i="3"/>
  <c r="AJ491" i="3" s="1"/>
  <c r="AK491" i="3" s="1"/>
  <c r="BY546" i="3"/>
  <c r="AZ595" i="3"/>
  <c r="BA595" i="3" s="1"/>
  <c r="BB595" i="3" s="1"/>
  <c r="BY613" i="3"/>
  <c r="BY641" i="3"/>
  <c r="AH641" i="3"/>
  <c r="AU660" i="3"/>
  <c r="Y97" i="3"/>
  <c r="BV370" i="3"/>
  <c r="CC72" i="3"/>
  <c r="CD72" i="3" s="1"/>
  <c r="BP141" i="3"/>
  <c r="Y182" i="3"/>
  <c r="BY206" i="3"/>
  <c r="Y229" i="3"/>
  <c r="BV219" i="3"/>
  <c r="AZ218" i="3"/>
  <c r="BA218" i="3" s="1"/>
  <c r="BB218" i="3" s="1"/>
  <c r="AZ247" i="3"/>
  <c r="BA247" i="3" s="1"/>
  <c r="BB247" i="3" s="1"/>
  <c r="CC240" i="3"/>
  <c r="CD240" i="3" s="1"/>
  <c r="CC234" i="3"/>
  <c r="CD234" i="3" s="1"/>
  <c r="AU234" i="3"/>
  <c r="AH339" i="3"/>
  <c r="AJ339" i="3" s="1"/>
  <c r="AK339" i="3" s="1"/>
  <c r="CC433" i="3"/>
  <c r="CD433" i="3" s="1"/>
  <c r="AZ456" i="3"/>
  <c r="BA456" i="3" s="1"/>
  <c r="BB456" i="3" s="1"/>
  <c r="CC474" i="3"/>
  <c r="CD474" i="3" s="1"/>
  <c r="BV516" i="3"/>
  <c r="Y589" i="3"/>
  <c r="BP637" i="3"/>
  <c r="AF630" i="3"/>
  <c r="AJ630" i="3" s="1"/>
  <c r="AK630" i="3" s="1"/>
  <c r="BV656" i="3"/>
  <c r="BY654" i="3"/>
  <c r="CC309" i="3"/>
  <c r="CD309" i="3" s="1"/>
  <c r="AF332" i="3"/>
  <c r="AJ332" i="3" s="1"/>
  <c r="AK332" i="3" s="1"/>
  <c r="BP353" i="3"/>
  <c r="AZ352" i="3"/>
  <c r="BA352" i="3" s="1"/>
  <c r="BB352" i="3" s="1"/>
  <c r="BV365" i="3"/>
  <c r="AZ450" i="3"/>
  <c r="BA450" i="3" s="1"/>
  <c r="BB450" i="3" s="1"/>
  <c r="AF502" i="3"/>
  <c r="AJ502" i="3" s="1"/>
  <c r="AK502" i="3" s="1"/>
  <c r="BY520" i="3"/>
  <c r="BV558" i="3"/>
  <c r="AZ40" i="3"/>
  <c r="BA40" i="3" s="1"/>
  <c r="BB40" i="3" s="1"/>
  <c r="AZ86" i="3"/>
  <c r="BA86" i="3" s="1"/>
  <c r="BB86" i="3" s="1"/>
  <c r="BP74" i="3"/>
  <c r="AH97" i="3"/>
  <c r="AJ97" i="3" s="1"/>
  <c r="AK97" i="3" s="1"/>
  <c r="BV114" i="3"/>
  <c r="BZ114" i="3" s="1"/>
  <c r="BV206" i="3"/>
  <c r="AO200" i="3"/>
  <c r="AP200" i="3" s="1"/>
  <c r="AU200" i="3" s="1"/>
  <c r="Y219" i="3"/>
  <c r="BV278" i="3"/>
  <c r="Y296" i="3"/>
  <c r="AZ324" i="3"/>
  <c r="BA324" i="3" s="1"/>
  <c r="BB324" i="3" s="1"/>
  <c r="BP382" i="3"/>
  <c r="BY429" i="3"/>
  <c r="BV484" i="3"/>
  <c r="AH488" i="3"/>
  <c r="Y586" i="3"/>
  <c r="BY609" i="3"/>
  <c r="AZ596" i="3"/>
  <c r="BA596" i="3" s="1"/>
  <c r="BB596" i="3" s="1"/>
  <c r="BY657" i="3"/>
  <c r="CC652" i="3"/>
  <c r="CD652" i="3" s="1"/>
  <c r="BV649" i="3"/>
  <c r="AZ648" i="3"/>
  <c r="BA648" i="3" s="1"/>
  <c r="BB648" i="3" s="1"/>
  <c r="AZ164" i="3"/>
  <c r="BA164" i="3" s="1"/>
  <c r="BB164" i="3" s="1"/>
  <c r="AF52" i="3"/>
  <c r="AJ52" i="3" s="1"/>
  <c r="AK52" i="3" s="1"/>
  <c r="BY76" i="3"/>
  <c r="BY173" i="3"/>
  <c r="Y224" i="3"/>
  <c r="BV333" i="3"/>
  <c r="AF373" i="3"/>
  <c r="AJ373" i="3" s="1"/>
  <c r="AK373" i="3" s="1"/>
  <c r="BY363" i="3"/>
  <c r="CC405" i="3"/>
  <c r="CD405" i="3" s="1"/>
  <c r="Y403" i="3"/>
  <c r="BV429" i="3"/>
  <c r="AF429" i="3"/>
  <c r="AJ429" i="3" s="1"/>
  <c r="AK429" i="3" s="1"/>
  <c r="AU585" i="3"/>
  <c r="AH598" i="3"/>
  <c r="AJ598" i="3" s="1"/>
  <c r="AK598" i="3" s="1"/>
  <c r="BM662" i="3"/>
  <c r="BP662" i="3" s="1"/>
  <c r="AZ56" i="3"/>
  <c r="BA56" i="3" s="1"/>
  <c r="BB56" i="3" s="1"/>
  <c r="AZ273" i="3"/>
  <c r="BA273" i="3" s="1"/>
  <c r="BB273" i="3" s="1"/>
  <c r="BV36" i="3"/>
  <c r="AZ68" i="3"/>
  <c r="BA68" i="3" s="1"/>
  <c r="BB68" i="3" s="1"/>
  <c r="CC56" i="3"/>
  <c r="CD56" i="3" s="1"/>
  <c r="AF72" i="3"/>
  <c r="AJ72" i="3" s="1"/>
  <c r="AK72" i="3" s="1"/>
  <c r="BY177" i="3"/>
  <c r="BV181" i="3"/>
  <c r="CC209" i="3"/>
  <c r="CD209" i="3" s="1"/>
  <c r="BY244" i="3"/>
  <c r="AF286" i="3"/>
  <c r="AJ286" i="3" s="1"/>
  <c r="AK286" i="3" s="1"/>
  <c r="BP296" i="3"/>
  <c r="AU356" i="3"/>
  <c r="BP344" i="3"/>
  <c r="AU364" i="3"/>
  <c r="AU392" i="3"/>
  <c r="Y446" i="3"/>
  <c r="BP461" i="3"/>
  <c r="BY456" i="3"/>
  <c r="CC497" i="3"/>
  <c r="CD497" i="3" s="1"/>
  <c r="Y530" i="3"/>
  <c r="BY548" i="3"/>
  <c r="AU592" i="3"/>
  <c r="BY602" i="3"/>
  <c r="AU615" i="3"/>
  <c r="BP632" i="3"/>
  <c r="AO631" i="3"/>
  <c r="AP631" i="3" s="1"/>
  <c r="Y654" i="3"/>
  <c r="AU653" i="3"/>
  <c r="CC207" i="3"/>
  <c r="CD207" i="3" s="1"/>
  <c r="Y254" i="3"/>
  <c r="Y52" i="3"/>
  <c r="AZ38" i="3"/>
  <c r="BA38" i="3" s="1"/>
  <c r="BB38" i="3" s="1"/>
  <c r="AU63" i="3"/>
  <c r="BY79" i="3"/>
  <c r="AF74" i="3"/>
  <c r="AJ74" i="3" s="1"/>
  <c r="AK74" i="3" s="1"/>
  <c r="Y114" i="3"/>
  <c r="BV160" i="3"/>
  <c r="BV147" i="3"/>
  <c r="Y171" i="3"/>
  <c r="Y196" i="3"/>
  <c r="Y185" i="3"/>
  <c r="BY183" i="3"/>
  <c r="BZ183" i="3" s="1"/>
  <c r="Y181" i="3"/>
  <c r="AO212" i="3"/>
  <c r="AP212" i="3" s="1"/>
  <c r="AU212" i="3" s="1"/>
  <c r="Y244" i="3"/>
  <c r="BV252" i="3"/>
  <c r="CC280" i="3"/>
  <c r="CD280" i="3" s="1"/>
  <c r="AZ271" i="3"/>
  <c r="BA271" i="3" s="1"/>
  <c r="BB271" i="3" s="1"/>
  <c r="AH301" i="3"/>
  <c r="CC298" i="3"/>
  <c r="CD298" i="3" s="1"/>
  <c r="BV310" i="3"/>
  <c r="BY307" i="3"/>
  <c r="CC330" i="3"/>
  <c r="CD330" i="3" s="1"/>
  <c r="BV326" i="3"/>
  <c r="BY402" i="3"/>
  <c r="Y429" i="3"/>
  <c r="CC425" i="3"/>
  <c r="CD425" i="3" s="1"/>
  <c r="CC444" i="3"/>
  <c r="CD444" i="3" s="1"/>
  <c r="BM443" i="3"/>
  <c r="BP443" i="3" s="1"/>
  <c r="BY452" i="3"/>
  <c r="CC517" i="3"/>
  <c r="CD517" i="3" s="1"/>
  <c r="CC507" i="3"/>
  <c r="CD507" i="3" s="1"/>
  <c r="BV506" i="3"/>
  <c r="AH529" i="3"/>
  <c r="AJ529" i="3" s="1"/>
  <c r="AK529" i="3" s="1"/>
  <c r="AH547" i="3"/>
  <c r="AJ547" i="3" s="1"/>
  <c r="AK547" i="3" s="1"/>
  <c r="CC585" i="3"/>
  <c r="CD585" i="3" s="1"/>
  <c r="Y580" i="3"/>
  <c r="AZ578" i="3"/>
  <c r="BA578" i="3" s="1"/>
  <c r="BB578" i="3" s="1"/>
  <c r="BY598" i="3"/>
  <c r="BV642" i="3"/>
  <c r="AO640" i="3"/>
  <c r="AP640" i="3" s="1"/>
  <c r="AU640" i="3" s="1"/>
  <c r="CC660" i="3"/>
  <c r="CD660" i="3" s="1"/>
  <c r="Y131" i="3"/>
  <c r="Y319" i="3"/>
  <c r="Y603" i="3"/>
  <c r="AU670" i="3"/>
  <c r="BP45" i="3"/>
  <c r="BY117" i="3"/>
  <c r="BZ117" i="3" s="1"/>
  <c r="BP108" i="3"/>
  <c r="Y135" i="3"/>
  <c r="CC158" i="3"/>
  <c r="CD158" i="3" s="1"/>
  <c r="BV154" i="3"/>
  <c r="AH154" i="3"/>
  <c r="AJ154" i="3" s="1"/>
  <c r="AK154" i="3" s="1"/>
  <c r="AZ149" i="3"/>
  <c r="BA149" i="3" s="1"/>
  <c r="BB149" i="3" s="1"/>
  <c r="Y175" i="3"/>
  <c r="CC173" i="3"/>
  <c r="CD173" i="3" s="1"/>
  <c r="BV166" i="3"/>
  <c r="BY163" i="3"/>
  <c r="BV214" i="3"/>
  <c r="AF212" i="3"/>
  <c r="AJ212" i="3" s="1"/>
  <c r="AK212" i="3" s="1"/>
  <c r="BY205" i="3"/>
  <c r="Y227" i="3"/>
  <c r="BY249" i="3"/>
  <c r="BY321" i="3"/>
  <c r="BY310" i="3"/>
  <c r="CC338" i="3"/>
  <c r="CD338" i="3" s="1"/>
  <c r="Y336" i="3"/>
  <c r="BY348" i="3"/>
  <c r="BY373" i="3"/>
  <c r="CC362" i="3"/>
  <c r="CD362" i="3" s="1"/>
  <c r="AZ384" i="3"/>
  <c r="BA384" i="3" s="1"/>
  <c r="BB384" i="3" s="1"/>
  <c r="Y412" i="3"/>
  <c r="AZ408" i="3"/>
  <c r="BA408" i="3" s="1"/>
  <c r="BB408" i="3" s="1"/>
  <c r="AZ400" i="3"/>
  <c r="BA400" i="3" s="1"/>
  <c r="BB400" i="3" s="1"/>
  <c r="BV462" i="3"/>
  <c r="Y461" i="3"/>
  <c r="CC459" i="3"/>
  <c r="CD459" i="3" s="1"/>
  <c r="AH476" i="3"/>
  <c r="AJ476" i="3" s="1"/>
  <c r="AK476" i="3" s="1"/>
  <c r="AZ518" i="3"/>
  <c r="BA518" i="3" s="1"/>
  <c r="BB518" i="3" s="1"/>
  <c r="BY507" i="3"/>
  <c r="AF506" i="3"/>
  <c r="AJ506" i="3" s="1"/>
  <c r="AK506" i="3" s="1"/>
  <c r="AU549" i="3"/>
  <c r="BC549" i="3" s="1"/>
  <c r="BP583" i="3"/>
  <c r="CC633" i="3"/>
  <c r="CD633" i="3" s="1"/>
  <c r="CC151" i="3"/>
  <c r="CD151" i="3" s="1"/>
  <c r="CC392" i="3"/>
  <c r="CD392" i="3" s="1"/>
  <c r="CC41" i="3"/>
  <c r="CD41" i="3" s="1"/>
  <c r="Y105" i="3"/>
  <c r="BV96" i="3"/>
  <c r="BP119" i="3"/>
  <c r="BY141" i="3"/>
  <c r="BY158" i="3"/>
  <c r="CC299" i="3"/>
  <c r="CD299" i="3" s="1"/>
  <c r="BP367" i="3"/>
  <c r="AH361" i="3"/>
  <c r="AJ361" i="3" s="1"/>
  <c r="AK361" i="3" s="1"/>
  <c r="BP429" i="3"/>
  <c r="AZ426" i="3"/>
  <c r="BA426" i="3" s="1"/>
  <c r="BB426" i="3" s="1"/>
  <c r="Y414" i="3"/>
  <c r="BP457" i="3"/>
  <c r="BV480" i="3"/>
  <c r="AH469" i="3"/>
  <c r="AU502" i="3"/>
  <c r="Y524" i="3"/>
  <c r="BV645" i="3"/>
  <c r="AO643" i="3"/>
  <c r="AP643" i="3" s="1"/>
  <c r="AU643" i="3" s="1"/>
  <c r="AU661" i="3"/>
  <c r="BV111" i="3"/>
  <c r="Y265" i="3"/>
  <c r="Y258" i="3"/>
  <c r="BV391" i="3"/>
  <c r="CC572" i="3"/>
  <c r="CD572" i="3" s="1"/>
  <c r="BV560" i="3"/>
  <c r="BY407" i="3"/>
  <c r="Y551" i="3"/>
  <c r="BV548" i="3"/>
  <c r="BV544" i="3"/>
  <c r="CC573" i="3"/>
  <c r="CD573" i="3" s="1"/>
  <c r="AH572" i="3"/>
  <c r="AJ572" i="3" s="1"/>
  <c r="AK572" i="3" s="1"/>
  <c r="AF592" i="3"/>
  <c r="AJ592" i="3" s="1"/>
  <c r="AK592" i="3" s="1"/>
  <c r="AZ590" i="3"/>
  <c r="BA590" i="3" s="1"/>
  <c r="BB590" i="3" s="1"/>
  <c r="Y584" i="3"/>
  <c r="Y608" i="3"/>
  <c r="Y601" i="3"/>
  <c r="AU600" i="3"/>
  <c r="Y622" i="3"/>
  <c r="AU650" i="3"/>
  <c r="CC137" i="3"/>
  <c r="CD137" i="3" s="1"/>
  <c r="CC334" i="3"/>
  <c r="CD334" i="3" s="1"/>
  <c r="BV639" i="3"/>
  <c r="BZ639" i="3" s="1"/>
  <c r="BV51" i="3"/>
  <c r="BV41" i="3"/>
  <c r="BY60" i="3"/>
  <c r="BV130" i="3"/>
  <c r="Y144" i="3"/>
  <c r="CC188" i="3"/>
  <c r="CD188" i="3" s="1"/>
  <c r="AZ230" i="3"/>
  <c r="BA230" i="3" s="1"/>
  <c r="BB230" i="3" s="1"/>
  <c r="BY226" i="3"/>
  <c r="Y235" i="3"/>
  <c r="BV277" i="3"/>
  <c r="AH277" i="3"/>
  <c r="AJ277" i="3" s="1"/>
  <c r="AK277" i="3" s="1"/>
  <c r="Y276" i="3"/>
  <c r="BV302" i="3"/>
  <c r="AZ412" i="3"/>
  <c r="BA412" i="3" s="1"/>
  <c r="BB412" i="3" s="1"/>
  <c r="BP410" i="3"/>
  <c r="CC442" i="3"/>
  <c r="CD442" i="3" s="1"/>
  <c r="BY494" i="3"/>
  <c r="AZ532" i="3"/>
  <c r="BA532" i="3" s="1"/>
  <c r="BB532" i="3" s="1"/>
  <c r="CC531" i="3"/>
  <c r="CD531" i="3" s="1"/>
  <c r="CC562" i="3"/>
  <c r="CD562" i="3" s="1"/>
  <c r="CC636" i="3"/>
  <c r="CD636" i="3" s="1"/>
  <c r="Y659" i="3"/>
  <c r="BY69" i="3"/>
  <c r="BZ69" i="3" s="1"/>
  <c r="CC77" i="3"/>
  <c r="CD77" i="3" s="1"/>
  <c r="BY104" i="3"/>
  <c r="AZ102" i="3"/>
  <c r="BA102" i="3" s="1"/>
  <c r="BB102" i="3" s="1"/>
  <c r="CC90" i="3"/>
  <c r="CD90" i="3" s="1"/>
  <c r="CC122" i="3"/>
  <c r="CD122" i="3" s="1"/>
  <c r="AZ132" i="3"/>
  <c r="BA132" i="3" s="1"/>
  <c r="BB132" i="3" s="1"/>
  <c r="CC159" i="3"/>
  <c r="CD159" i="3" s="1"/>
  <c r="CC206" i="3"/>
  <c r="CD206" i="3" s="1"/>
  <c r="BV201" i="3"/>
  <c r="AH218" i="3"/>
  <c r="AJ218" i="3" s="1"/>
  <c r="AK218" i="3" s="1"/>
  <c r="AZ216" i="3"/>
  <c r="BA216" i="3" s="1"/>
  <c r="BB216" i="3" s="1"/>
  <c r="BV311" i="3"/>
  <c r="CC328" i="3"/>
  <c r="CD328" i="3" s="1"/>
  <c r="BV453" i="3"/>
  <c r="AZ496" i="3"/>
  <c r="BA496" i="3" s="1"/>
  <c r="BB496" i="3" s="1"/>
  <c r="AZ551" i="3"/>
  <c r="BA551" i="3" s="1"/>
  <c r="BB551" i="3" s="1"/>
  <c r="AZ567" i="3"/>
  <c r="BA567" i="3" s="1"/>
  <c r="BB567" i="3" s="1"/>
  <c r="CC563" i="3"/>
  <c r="CD563" i="3" s="1"/>
  <c r="CC628" i="3"/>
  <c r="CD628" i="3" s="1"/>
  <c r="BV620" i="3"/>
  <c r="Y680" i="3"/>
  <c r="Y57" i="3"/>
  <c r="AZ669" i="3"/>
  <c r="BA669" i="3" s="1"/>
  <c r="BB669" i="3" s="1"/>
  <c r="BC669" i="3" s="1"/>
  <c r="BY45" i="3"/>
  <c r="AZ43" i="3"/>
  <c r="BA43" i="3" s="1"/>
  <c r="BB43" i="3" s="1"/>
  <c r="BP68" i="3"/>
  <c r="Y75" i="3"/>
  <c r="CC73" i="3"/>
  <c r="CD73" i="3" s="1"/>
  <c r="BY91" i="3"/>
  <c r="AZ136" i="3"/>
  <c r="BA136" i="3" s="1"/>
  <c r="BB136" i="3" s="1"/>
  <c r="AH127" i="3"/>
  <c r="AJ127" i="3" s="1"/>
  <c r="AK127" i="3" s="1"/>
  <c r="BY159" i="3"/>
  <c r="AF229" i="3"/>
  <c r="AJ229" i="3" s="1"/>
  <c r="AK229" i="3" s="1"/>
  <c r="AZ238" i="3"/>
  <c r="BA238" i="3" s="1"/>
  <c r="BB238" i="3" s="1"/>
  <c r="BP264" i="3"/>
  <c r="Y256" i="3"/>
  <c r="BV285" i="3"/>
  <c r="BV274" i="3"/>
  <c r="BV271" i="3"/>
  <c r="BV295" i="3"/>
  <c r="AZ326" i="3"/>
  <c r="BA326" i="3" s="1"/>
  <c r="BB326" i="3" s="1"/>
  <c r="BY325" i="3"/>
  <c r="CC371" i="3"/>
  <c r="CD371" i="3" s="1"/>
  <c r="BP388" i="3"/>
  <c r="BV384" i="3"/>
  <c r="BV396" i="3"/>
  <c r="BP421" i="3"/>
  <c r="BV448" i="3"/>
  <c r="AF448" i="3"/>
  <c r="AJ448" i="3" s="1"/>
  <c r="AK448" i="3" s="1"/>
  <c r="AZ433" i="3"/>
  <c r="BA433" i="3" s="1"/>
  <c r="BB433" i="3" s="1"/>
  <c r="AZ516" i="3"/>
  <c r="BA516" i="3" s="1"/>
  <c r="BB516" i="3" s="1"/>
  <c r="Y537" i="3"/>
  <c r="AU551" i="3"/>
  <c r="BY550" i="3"/>
  <c r="BY559" i="3"/>
  <c r="AZ584" i="3"/>
  <c r="BA584" i="3" s="1"/>
  <c r="BB584" i="3" s="1"/>
  <c r="BY607" i="3"/>
  <c r="AZ622" i="3"/>
  <c r="BA622" i="3" s="1"/>
  <c r="BB622" i="3" s="1"/>
  <c r="CC644" i="3"/>
  <c r="CD644" i="3" s="1"/>
  <c r="CC93" i="3"/>
  <c r="CD93" i="3" s="1"/>
  <c r="CC212" i="3"/>
  <c r="CD212" i="3" s="1"/>
  <c r="Y237" i="3"/>
  <c r="Y389" i="3"/>
  <c r="Y523" i="3"/>
  <c r="CC637" i="3"/>
  <c r="CD637" i="3" s="1"/>
  <c r="AU46" i="3"/>
  <c r="BP137" i="3"/>
  <c r="BP133" i="3"/>
  <c r="AU129" i="3"/>
  <c r="BY146" i="3"/>
  <c r="BP170" i="3"/>
  <c r="AZ169" i="3"/>
  <c r="BA169" i="3" s="1"/>
  <c r="BB169" i="3" s="1"/>
  <c r="BV188" i="3"/>
  <c r="BV199" i="3"/>
  <c r="AZ276" i="3"/>
  <c r="BA276" i="3" s="1"/>
  <c r="BB276" i="3" s="1"/>
  <c r="AZ314" i="3"/>
  <c r="BA314" i="3" s="1"/>
  <c r="BB314" i="3" s="1"/>
  <c r="BP308" i="3"/>
  <c r="Y338" i="3"/>
  <c r="AU337" i="3"/>
  <c r="CC333" i="3"/>
  <c r="CD333" i="3" s="1"/>
  <c r="CC364" i="3"/>
  <c r="CD364" i="3" s="1"/>
  <c r="BY389" i="3"/>
  <c r="AZ378" i="3"/>
  <c r="BA378" i="3" s="1"/>
  <c r="BB378" i="3" s="1"/>
  <c r="CC412" i="3"/>
  <c r="CD412" i="3" s="1"/>
  <c r="BP407" i="3"/>
  <c r="Y399" i="3"/>
  <c r="AZ441" i="3"/>
  <c r="BA441" i="3" s="1"/>
  <c r="BB441" i="3" s="1"/>
  <c r="BY435" i="3"/>
  <c r="BY498" i="3"/>
  <c r="AZ513" i="3"/>
  <c r="BA513" i="3" s="1"/>
  <c r="BB513" i="3" s="1"/>
  <c r="BY580" i="3"/>
  <c r="AU597" i="3"/>
  <c r="Y595" i="3"/>
  <c r="AZ594" i="3"/>
  <c r="BA594" i="3" s="1"/>
  <c r="BB594" i="3" s="1"/>
  <c r="AZ626" i="3"/>
  <c r="BA626" i="3" s="1"/>
  <c r="BB626" i="3" s="1"/>
  <c r="AH614" i="3"/>
  <c r="AJ614" i="3" s="1"/>
  <c r="AK614" i="3" s="1"/>
  <c r="BV638" i="3"/>
  <c r="AH661" i="3"/>
  <c r="AJ661" i="3" s="1"/>
  <c r="AK661" i="3" s="1"/>
  <c r="AH682" i="3"/>
  <c r="AJ682" i="3" s="1"/>
  <c r="AK682" i="3" s="1"/>
  <c r="BY85" i="3"/>
  <c r="BV77" i="3"/>
  <c r="BV135" i="3"/>
  <c r="AZ133" i="3"/>
  <c r="BA133" i="3" s="1"/>
  <c r="BB133" i="3" s="1"/>
  <c r="BY175" i="3"/>
  <c r="AZ212" i="3"/>
  <c r="BA212" i="3" s="1"/>
  <c r="BB212" i="3" s="1"/>
  <c r="BY211" i="3"/>
  <c r="BV221" i="3"/>
  <c r="BY219" i="3"/>
  <c r="AZ217" i="3"/>
  <c r="BA217" i="3" s="1"/>
  <c r="BB217" i="3" s="1"/>
  <c r="BP243" i="3"/>
  <c r="AZ267" i="3"/>
  <c r="BA267" i="3" s="1"/>
  <c r="BB267" i="3" s="1"/>
  <c r="BP271" i="3"/>
  <c r="BV340" i="3"/>
  <c r="CC391" i="3"/>
  <c r="CD391" i="3" s="1"/>
  <c r="BY381" i="3"/>
  <c r="BY412" i="3"/>
  <c r="BP411" i="3"/>
  <c r="AZ462" i="3"/>
  <c r="BA462" i="3" s="1"/>
  <c r="BB462" i="3" s="1"/>
  <c r="BY454" i="3"/>
  <c r="AH471" i="3"/>
  <c r="AJ471" i="3" s="1"/>
  <c r="AK471" i="3" s="1"/>
  <c r="Y490" i="3"/>
  <c r="BV487" i="3"/>
  <c r="AH487" i="3"/>
  <c r="AJ487" i="3" s="1"/>
  <c r="AK487" i="3" s="1"/>
  <c r="BY519" i="3"/>
  <c r="BZ519" i="3" s="1"/>
  <c r="BV515" i="3"/>
  <c r="Y534" i="3"/>
  <c r="Y522" i="3"/>
  <c r="BY555" i="3"/>
  <c r="BP569" i="3"/>
  <c r="AZ619" i="3"/>
  <c r="BA619" i="3" s="1"/>
  <c r="BB619" i="3" s="1"/>
  <c r="Y664" i="3"/>
  <c r="AZ663" i="3"/>
  <c r="BA663" i="3" s="1"/>
  <c r="BB663" i="3" s="1"/>
  <c r="Y676" i="3"/>
  <c r="CC79" i="3"/>
  <c r="CD79" i="3" s="1"/>
  <c r="CC297" i="3"/>
  <c r="CD297" i="3" s="1"/>
  <c r="BV438" i="3"/>
  <c r="AU50" i="3"/>
  <c r="BV67" i="3"/>
  <c r="AH61" i="3"/>
  <c r="CC55" i="3"/>
  <c r="CD55" i="3" s="1"/>
  <c r="CC82" i="3"/>
  <c r="CD82" i="3" s="1"/>
  <c r="AU93" i="3"/>
  <c r="BP124" i="3"/>
  <c r="AZ109" i="3"/>
  <c r="BA109" i="3" s="1"/>
  <c r="BB109" i="3" s="1"/>
  <c r="CC129" i="3"/>
  <c r="CD129" i="3" s="1"/>
  <c r="AU176" i="3"/>
  <c r="Y195" i="3"/>
  <c r="CC193" i="3"/>
  <c r="CD193" i="3" s="1"/>
  <c r="BY189" i="3"/>
  <c r="BP185" i="3"/>
  <c r="BY202" i="3"/>
  <c r="AU225" i="3"/>
  <c r="BY224" i="3"/>
  <c r="CC222" i="3"/>
  <c r="CD222" i="3" s="1"/>
  <c r="BP319" i="3"/>
  <c r="Y335" i="3"/>
  <c r="Y331" i="3"/>
  <c r="CC326" i="3"/>
  <c r="CD326" i="3" s="1"/>
  <c r="CC368" i="3"/>
  <c r="CD368" i="3" s="1"/>
  <c r="BY386" i="3"/>
  <c r="BV381" i="3"/>
  <c r="BY409" i="3"/>
  <c r="AZ430" i="3"/>
  <c r="BA430" i="3" s="1"/>
  <c r="BB430" i="3" s="1"/>
  <c r="AU447" i="3"/>
  <c r="Y437" i="3"/>
  <c r="BV461" i="3"/>
  <c r="Y501" i="3"/>
  <c r="AZ497" i="3"/>
  <c r="BA497" i="3" s="1"/>
  <c r="BB497" i="3" s="1"/>
  <c r="BC497" i="3" s="1"/>
  <c r="AF495" i="3"/>
  <c r="AJ495" i="3" s="1"/>
  <c r="AK495" i="3" s="1"/>
  <c r="Y494" i="3"/>
  <c r="BY509" i="3"/>
  <c r="AZ507" i="3"/>
  <c r="BA507" i="3" s="1"/>
  <c r="BB507" i="3" s="1"/>
  <c r="BC507" i="3" s="1"/>
  <c r="Y549" i="3"/>
  <c r="Y573" i="3"/>
  <c r="BY587" i="3"/>
  <c r="AZ585" i="3"/>
  <c r="BA585" i="3" s="1"/>
  <c r="BB585" i="3" s="1"/>
  <c r="AU578" i="3"/>
  <c r="Y599" i="3"/>
  <c r="CC597" i="3"/>
  <c r="CD597" i="3" s="1"/>
  <c r="AZ640" i="3"/>
  <c r="BA640" i="3" s="1"/>
  <c r="BB640" i="3" s="1"/>
  <c r="BY632" i="3"/>
  <c r="AU680" i="3"/>
  <c r="BO664" i="3"/>
  <c r="BM664" i="3"/>
  <c r="AH39" i="3"/>
  <c r="AJ39" i="3" s="1"/>
  <c r="AK39" i="3" s="1"/>
  <c r="AS77" i="3"/>
  <c r="AT77" i="3" s="1"/>
  <c r="AU77" i="3" s="1"/>
  <c r="Y74" i="3"/>
  <c r="BV187" i="3"/>
  <c r="CC274" i="3"/>
  <c r="CD274" i="3" s="1"/>
  <c r="CC271" i="3"/>
  <c r="CD271" i="3" s="1"/>
  <c r="Y83" i="3"/>
  <c r="BV121" i="3"/>
  <c r="BY121" i="3"/>
  <c r="BV155" i="3"/>
  <c r="BV195" i="3"/>
  <c r="BY48" i="3"/>
  <c r="BV44" i="3"/>
  <c r="AH44" i="3"/>
  <c r="AJ44" i="3" s="1"/>
  <c r="AK44" i="3" s="1"/>
  <c r="AF54" i="3"/>
  <c r="AH54" i="3"/>
  <c r="CC286" i="3"/>
  <c r="CD286" i="3" s="1"/>
  <c r="Y329" i="3"/>
  <c r="AO428" i="3"/>
  <c r="AP428" i="3" s="1"/>
  <c r="AU428" i="3" s="1"/>
  <c r="BV52" i="3"/>
  <c r="CC111" i="3"/>
  <c r="CD111" i="3" s="1"/>
  <c r="BV254" i="3"/>
  <c r="Y253" i="3"/>
  <c r="AH335" i="3"/>
  <c r="AJ335" i="3" s="1"/>
  <c r="AK335" i="3" s="1"/>
  <c r="AZ50" i="3"/>
  <c r="BA50" i="3" s="1"/>
  <c r="BB50" i="3" s="1"/>
  <c r="Y246" i="3"/>
  <c r="BV258" i="3"/>
  <c r="BY258" i="3"/>
  <c r="CC42" i="3"/>
  <c r="CD42" i="3" s="1"/>
  <c r="CC69" i="3"/>
  <c r="CD69" i="3" s="1"/>
  <c r="Y226" i="3"/>
  <c r="Y218" i="3"/>
  <c r="BP122" i="3"/>
  <c r="AF128" i="3"/>
  <c r="AH128" i="3"/>
  <c r="AF346" i="3"/>
  <c r="AH346" i="3"/>
  <c r="BP39" i="3"/>
  <c r="AZ39" i="3"/>
  <c r="BA39" i="3" s="1"/>
  <c r="BB39" i="3" s="1"/>
  <c r="AZ51" i="3"/>
  <c r="BA51" i="3" s="1"/>
  <c r="BB51" i="3" s="1"/>
  <c r="BC51" i="3" s="1"/>
  <c r="AZ44" i="3"/>
  <c r="BA44" i="3" s="1"/>
  <c r="BB44" i="3" s="1"/>
  <c r="Y58" i="3"/>
  <c r="CC103" i="3"/>
  <c r="CD103" i="3" s="1"/>
  <c r="BV144" i="3"/>
  <c r="AO198" i="3"/>
  <c r="AP198" i="3" s="1"/>
  <c r="AU198" i="3" s="1"/>
  <c r="AF238" i="3"/>
  <c r="AH238" i="3"/>
  <c r="AF304" i="3"/>
  <c r="AJ304" i="3" s="1"/>
  <c r="AK304" i="3" s="1"/>
  <c r="AU302" i="3"/>
  <c r="Y339" i="3"/>
  <c r="AU40" i="3"/>
  <c r="Y37" i="3"/>
  <c r="BV66" i="3"/>
  <c r="BV63" i="3"/>
  <c r="CC78" i="3"/>
  <c r="CD78" i="3" s="1"/>
  <c r="AZ104" i="3"/>
  <c r="BA104" i="3" s="1"/>
  <c r="BB104" i="3" s="1"/>
  <c r="BY103" i="3"/>
  <c r="Y102" i="3"/>
  <c r="BV92" i="3"/>
  <c r="BY118" i="3"/>
  <c r="BZ118" i="3" s="1"/>
  <c r="BP114" i="3"/>
  <c r="BY111" i="3"/>
  <c r="CC108" i="3"/>
  <c r="CD108" i="3" s="1"/>
  <c r="AH138" i="3"/>
  <c r="AJ138" i="3" s="1"/>
  <c r="AK138" i="3" s="1"/>
  <c r="BP135" i="3"/>
  <c r="CC130" i="3"/>
  <c r="CD130" i="3" s="1"/>
  <c r="Y154" i="3"/>
  <c r="AU153" i="3"/>
  <c r="BC153" i="3" s="1"/>
  <c r="BV152" i="3"/>
  <c r="BZ152" i="3" s="1"/>
  <c r="Y174" i="3"/>
  <c r="BV168" i="3"/>
  <c r="AU166" i="3"/>
  <c r="BY196" i="3"/>
  <c r="AZ193" i="3"/>
  <c r="BA193" i="3" s="1"/>
  <c r="BB193" i="3" s="1"/>
  <c r="CC192" i="3"/>
  <c r="CD192" i="3" s="1"/>
  <c r="BY188" i="3"/>
  <c r="CC204" i="3"/>
  <c r="CD204" i="3" s="1"/>
  <c r="AZ202" i="3"/>
  <c r="BA202" i="3" s="1"/>
  <c r="BB202" i="3" s="1"/>
  <c r="BV198" i="3"/>
  <c r="AH198" i="3"/>
  <c r="AJ198" i="3" s="1"/>
  <c r="AK198" i="3" s="1"/>
  <c r="CC231" i="3"/>
  <c r="CD231" i="3" s="1"/>
  <c r="BV239" i="3"/>
  <c r="AF239" i="3"/>
  <c r="AJ239" i="3" s="1"/>
  <c r="AK239" i="3" s="1"/>
  <c r="AZ237" i="3"/>
  <c r="BA237" i="3" s="1"/>
  <c r="BB237" i="3" s="1"/>
  <c r="CC236" i="3"/>
  <c r="CD236" i="3" s="1"/>
  <c r="CC264" i="3"/>
  <c r="CD264" i="3" s="1"/>
  <c r="AU264" i="3"/>
  <c r="AH259" i="3"/>
  <c r="AJ259" i="3" s="1"/>
  <c r="AK259" i="3" s="1"/>
  <c r="CC252" i="3"/>
  <c r="CD252" i="3" s="1"/>
  <c r="Y280" i="3"/>
  <c r="CC275" i="3"/>
  <c r="CD275" i="3" s="1"/>
  <c r="BY274" i="3"/>
  <c r="AZ272" i="3"/>
  <c r="BA272" i="3" s="1"/>
  <c r="BB272" i="3" s="1"/>
  <c r="AU299" i="3"/>
  <c r="BY298" i="3"/>
  <c r="BV289" i="3"/>
  <c r="AF288" i="3"/>
  <c r="AJ288" i="3" s="1"/>
  <c r="AK288" i="3" s="1"/>
  <c r="BY319" i="3"/>
  <c r="BY311" i="3"/>
  <c r="CC308" i="3"/>
  <c r="CD308" i="3" s="1"/>
  <c r="AH327" i="3"/>
  <c r="AJ327" i="3" s="1"/>
  <c r="AK327" i="3" s="1"/>
  <c r="Y326" i="3"/>
  <c r="AU325" i="3"/>
  <c r="BV358" i="3"/>
  <c r="AH358" i="3"/>
  <c r="AJ358" i="3" s="1"/>
  <c r="AK358" i="3" s="1"/>
  <c r="BV347" i="3"/>
  <c r="CC344" i="3"/>
  <c r="CD344" i="3" s="1"/>
  <c r="Y373" i="3"/>
  <c r="BM438" i="3"/>
  <c r="BO438" i="3"/>
  <c r="Y482" i="3"/>
  <c r="BV564" i="3"/>
  <c r="AU617" i="3"/>
  <c r="BP83" i="3"/>
  <c r="AU104" i="3"/>
  <c r="Y121" i="3"/>
  <c r="CC119" i="3"/>
  <c r="CD119" i="3" s="1"/>
  <c r="BV118" i="3"/>
  <c r="AF116" i="3"/>
  <c r="AJ116" i="3" s="1"/>
  <c r="AK116" i="3" s="1"/>
  <c r="AZ150" i="3"/>
  <c r="BA150" i="3" s="1"/>
  <c r="BB150" i="3" s="1"/>
  <c r="AH148" i="3"/>
  <c r="AJ148" i="3" s="1"/>
  <c r="AK148" i="3" s="1"/>
  <c r="BY145" i="3"/>
  <c r="AH165" i="3"/>
  <c r="AJ165" i="3" s="1"/>
  <c r="AK165" i="3" s="1"/>
  <c r="BV196" i="3"/>
  <c r="BP191" i="3"/>
  <c r="AF191" i="3"/>
  <c r="AJ191" i="3" s="1"/>
  <c r="AK191" i="3" s="1"/>
  <c r="AU189" i="3"/>
  <c r="AZ207" i="3"/>
  <c r="BA207" i="3" s="1"/>
  <c r="BB207" i="3" s="1"/>
  <c r="BY204" i="3"/>
  <c r="BZ204" i="3" s="1"/>
  <c r="BP246" i="3"/>
  <c r="AF243" i="3"/>
  <c r="AJ243" i="3" s="1"/>
  <c r="AK243" i="3" s="1"/>
  <c r="BP254" i="3"/>
  <c r="CC279" i="3"/>
  <c r="CD279" i="3" s="1"/>
  <c r="BV298" i="3"/>
  <c r="BY297" i="3"/>
  <c r="AU312" i="3"/>
  <c r="BC312" i="3" s="1"/>
  <c r="BP310" i="3"/>
  <c r="BY337" i="3"/>
  <c r="AH331" i="3"/>
  <c r="AJ331" i="3" s="1"/>
  <c r="AK331" i="3" s="1"/>
  <c r="AZ329" i="3"/>
  <c r="BA329" i="3" s="1"/>
  <c r="BB329" i="3" s="1"/>
  <c r="BY355" i="3"/>
  <c r="AF556" i="3"/>
  <c r="AH556" i="3"/>
  <c r="BY56" i="3"/>
  <c r="AZ83" i="3"/>
  <c r="BA83" i="3" s="1"/>
  <c r="BB83" i="3" s="1"/>
  <c r="AU79" i="3"/>
  <c r="BV72" i="3"/>
  <c r="BY100" i="3"/>
  <c r="AH123" i="3"/>
  <c r="AJ123" i="3" s="1"/>
  <c r="AK123" i="3" s="1"/>
  <c r="AZ120" i="3"/>
  <c r="BA120" i="3" s="1"/>
  <c r="BB120" i="3" s="1"/>
  <c r="BY112" i="3"/>
  <c r="AF156" i="3"/>
  <c r="AJ156" i="3" s="1"/>
  <c r="AK156" i="3" s="1"/>
  <c r="AH188" i="3"/>
  <c r="AJ188" i="3" s="1"/>
  <c r="AK188" i="3" s="1"/>
  <c r="BY185" i="3"/>
  <c r="BY184" i="3"/>
  <c r="BY231" i="3"/>
  <c r="BV216" i="3"/>
  <c r="BP238" i="3"/>
  <c r="BY264" i="3"/>
  <c r="BP284" i="3"/>
  <c r="BP292" i="3"/>
  <c r="AZ291" i="3"/>
  <c r="BA291" i="3" s="1"/>
  <c r="BB291" i="3" s="1"/>
  <c r="BY290" i="3"/>
  <c r="BY316" i="3"/>
  <c r="AH324" i="3"/>
  <c r="AJ324" i="3" s="1"/>
  <c r="AK324" i="3" s="1"/>
  <c r="AZ349" i="3"/>
  <c r="BA349" i="3" s="1"/>
  <c r="BB349" i="3" s="1"/>
  <c r="AZ488" i="3"/>
  <c r="BA488" i="3" s="1"/>
  <c r="BB488" i="3" s="1"/>
  <c r="Y555" i="3"/>
  <c r="CC553" i="3"/>
  <c r="CD553" i="3" s="1"/>
  <c r="BV568" i="3"/>
  <c r="AF282" i="3"/>
  <c r="AJ282" i="3" s="1"/>
  <c r="AK282" i="3" s="1"/>
  <c r="CC339" i="3"/>
  <c r="CD339" i="3" s="1"/>
  <c r="BV337" i="3"/>
  <c r="BV355" i="3"/>
  <c r="BP354" i="3"/>
  <c r="AU349" i="3"/>
  <c r="Y343" i="3"/>
  <c r="AF375" i="3"/>
  <c r="AH375" i="3"/>
  <c r="AF394" i="3"/>
  <c r="AH394" i="3"/>
  <c r="AH514" i="3"/>
  <c r="AF514" i="3"/>
  <c r="CC504" i="3"/>
  <c r="CD504" i="3" s="1"/>
  <c r="Y81" i="3"/>
  <c r="BV97" i="3"/>
  <c r="Y115" i="3"/>
  <c r="CC113" i="3"/>
  <c r="CD113" i="3" s="1"/>
  <c r="BV139" i="3"/>
  <c r="CC154" i="3"/>
  <c r="CD154" i="3" s="1"/>
  <c r="BV177" i="3"/>
  <c r="Y176" i="3"/>
  <c r="BV162" i="3"/>
  <c r="CC186" i="3"/>
  <c r="CD186" i="3" s="1"/>
  <c r="BV185" i="3"/>
  <c r="CC180" i="3"/>
  <c r="CD180" i="3" s="1"/>
  <c r="BV209" i="3"/>
  <c r="AO202" i="3"/>
  <c r="AP202" i="3" s="1"/>
  <c r="AU202" i="3" s="1"/>
  <c r="CC229" i="3"/>
  <c r="CD229" i="3" s="1"/>
  <c r="CC226" i="3"/>
  <c r="CD226" i="3" s="1"/>
  <c r="BV240" i="3"/>
  <c r="Y239" i="3"/>
  <c r="Y263" i="3"/>
  <c r="BV294" i="3"/>
  <c r="AF344" i="3"/>
  <c r="AH344" i="3"/>
  <c r="BY424" i="3"/>
  <c r="BV595" i="3"/>
  <c r="BV624" i="3"/>
  <c r="CC68" i="3"/>
  <c r="CD68" i="3" s="1"/>
  <c r="CC84" i="3"/>
  <c r="CD84" i="3" s="1"/>
  <c r="BV73" i="3"/>
  <c r="AU105" i="3"/>
  <c r="CC98" i="3"/>
  <c r="CD98" i="3" s="1"/>
  <c r="Y96" i="3"/>
  <c r="AF119" i="3"/>
  <c r="AJ119" i="3" s="1"/>
  <c r="AK119" i="3" s="1"/>
  <c r="Y116" i="3"/>
  <c r="AH112" i="3"/>
  <c r="AJ112" i="3" s="1"/>
  <c r="AK112" i="3" s="1"/>
  <c r="BP138" i="3"/>
  <c r="AZ137" i="3"/>
  <c r="BA137" i="3" s="1"/>
  <c r="BB137" i="3" s="1"/>
  <c r="BC137" i="3" s="1"/>
  <c r="Y133" i="3"/>
  <c r="BY128" i="3"/>
  <c r="AF126" i="3"/>
  <c r="AJ126" i="3" s="1"/>
  <c r="AK126" i="3" s="1"/>
  <c r="BV153" i="3"/>
  <c r="Y148" i="3"/>
  <c r="Y165" i="3"/>
  <c r="CC163" i="3"/>
  <c r="CD163" i="3" s="1"/>
  <c r="BP196" i="3"/>
  <c r="AU190" i="3"/>
  <c r="AZ182" i="3"/>
  <c r="BA182" i="3" s="1"/>
  <c r="BB182" i="3" s="1"/>
  <c r="BY207" i="3"/>
  <c r="CC205" i="3"/>
  <c r="CD205" i="3" s="1"/>
  <c r="AO205" i="3"/>
  <c r="AP205" i="3" s="1"/>
  <c r="AU205" i="3" s="1"/>
  <c r="BV202" i="3"/>
  <c r="AF217" i="3"/>
  <c r="AJ217" i="3" s="1"/>
  <c r="AK217" i="3" s="1"/>
  <c r="Y216" i="3"/>
  <c r="AF245" i="3"/>
  <c r="CC238" i="3"/>
  <c r="CD238" i="3" s="1"/>
  <c r="AZ266" i="3"/>
  <c r="BA266" i="3" s="1"/>
  <c r="BB266" i="3" s="1"/>
  <c r="CC257" i="3"/>
  <c r="CD257" i="3" s="1"/>
  <c r="AU257" i="3"/>
  <c r="AZ254" i="3"/>
  <c r="BA254" i="3" s="1"/>
  <c r="BB254" i="3" s="1"/>
  <c r="AU284" i="3"/>
  <c r="BP281" i="3"/>
  <c r="BV279" i="3"/>
  <c r="AU273" i="3"/>
  <c r="BC273" i="3" s="1"/>
  <c r="Y271" i="3"/>
  <c r="BY303" i="3"/>
  <c r="CC300" i="3"/>
  <c r="CD300" i="3" s="1"/>
  <c r="CC291" i="3"/>
  <c r="CD291" i="3" s="1"/>
  <c r="BV339" i="3"/>
  <c r="AF338" i="3"/>
  <c r="AJ338" i="3" s="1"/>
  <c r="AK338" i="3" s="1"/>
  <c r="BP332" i="3"/>
  <c r="BY329" i="3"/>
  <c r="BP327" i="3"/>
  <c r="AF352" i="3"/>
  <c r="AJ352" i="3" s="1"/>
  <c r="AK352" i="3" s="1"/>
  <c r="AH376" i="3"/>
  <c r="AJ376" i="3" s="1"/>
  <c r="AK376" i="3" s="1"/>
  <c r="BV360" i="3"/>
  <c r="AF518" i="3"/>
  <c r="AJ518" i="3" s="1"/>
  <c r="AK518" i="3" s="1"/>
  <c r="BP526" i="3"/>
  <c r="AF573" i="3"/>
  <c r="AH573" i="3"/>
  <c r="AZ76" i="3"/>
  <c r="BA76" i="3" s="1"/>
  <c r="BB76" i="3" s="1"/>
  <c r="BY73" i="3"/>
  <c r="BZ73" i="3" s="1"/>
  <c r="BP148" i="3"/>
  <c r="AZ168" i="3"/>
  <c r="BA168" i="3" s="1"/>
  <c r="BB168" i="3" s="1"/>
  <c r="BP165" i="3"/>
  <c r="AZ198" i="3"/>
  <c r="BA198" i="3" s="1"/>
  <c r="BB198" i="3" s="1"/>
  <c r="AZ241" i="3"/>
  <c r="BA241" i="3" s="1"/>
  <c r="BB241" i="3" s="1"/>
  <c r="AZ239" i="3"/>
  <c r="BA239" i="3" s="1"/>
  <c r="BB239" i="3" s="1"/>
  <c r="BC239" i="3" s="1"/>
  <c r="BP297" i="3"/>
  <c r="BP331" i="3"/>
  <c r="AZ343" i="3"/>
  <c r="BA343" i="3" s="1"/>
  <c r="BB343" i="3" s="1"/>
  <c r="Y649" i="3"/>
  <c r="BV61" i="3"/>
  <c r="Y100" i="3"/>
  <c r="CC95" i="3"/>
  <c r="CD95" i="3" s="1"/>
  <c r="Y93" i="3"/>
  <c r="BP117" i="3"/>
  <c r="Y117" i="3"/>
  <c r="AZ116" i="3"/>
  <c r="BA116" i="3" s="1"/>
  <c r="BB116" i="3" s="1"/>
  <c r="BV109" i="3"/>
  <c r="AH109" i="3"/>
  <c r="AJ109" i="3" s="1"/>
  <c r="AK109" i="3" s="1"/>
  <c r="BV140" i="3"/>
  <c r="Y134" i="3"/>
  <c r="AU159" i="3"/>
  <c r="CC155" i="3"/>
  <c r="CD155" i="3" s="1"/>
  <c r="BV178" i="3"/>
  <c r="BV174" i="3"/>
  <c r="CC171" i="3"/>
  <c r="CD171" i="3" s="1"/>
  <c r="Y169" i="3"/>
  <c r="AU168" i="3"/>
  <c r="AZ165" i="3"/>
  <c r="BA165" i="3" s="1"/>
  <c r="BB165" i="3" s="1"/>
  <c r="CC187" i="3"/>
  <c r="CD187" i="3" s="1"/>
  <c r="BV180" i="3"/>
  <c r="BV210" i="3"/>
  <c r="AO210" i="3"/>
  <c r="AP210" i="3" s="1"/>
  <c r="AU210" i="3" s="1"/>
  <c r="Y199" i="3"/>
  <c r="Y220" i="3"/>
  <c r="BP245" i="3"/>
  <c r="Y240" i="3"/>
  <c r="Y286" i="3"/>
  <c r="Y282" i="3"/>
  <c r="CC270" i="3"/>
  <c r="CD270" i="3" s="1"/>
  <c r="BV303" i="3"/>
  <c r="BP299" i="3"/>
  <c r="Y316" i="3"/>
  <c r="AZ315" i="3"/>
  <c r="BA315" i="3" s="1"/>
  <c r="BB315" i="3" s="1"/>
  <c r="BP338" i="3"/>
  <c r="BY335" i="3"/>
  <c r="AZ331" i="3"/>
  <c r="BA331" i="3" s="1"/>
  <c r="BB331" i="3" s="1"/>
  <c r="Y424" i="3"/>
  <c r="BV65" i="3"/>
  <c r="AZ117" i="3"/>
  <c r="BA117" i="3" s="1"/>
  <c r="BB117" i="3" s="1"/>
  <c r="BY190" i="3"/>
  <c r="Y225" i="3"/>
  <c r="BY250" i="3"/>
  <c r="BP249" i="3"/>
  <c r="AZ248" i="3"/>
  <c r="BA248" i="3" s="1"/>
  <c r="BB248" i="3" s="1"/>
  <c r="Y268" i="3"/>
  <c r="CC266" i="3"/>
  <c r="CD266" i="3" s="1"/>
  <c r="BV265" i="3"/>
  <c r="Y264" i="3"/>
  <c r="Y261" i="3"/>
  <c r="CC259" i="3"/>
  <c r="CD259" i="3" s="1"/>
  <c r="CC254" i="3"/>
  <c r="CD254" i="3" s="1"/>
  <c r="BV253" i="3"/>
  <c r="AZ284" i="3"/>
  <c r="BA284" i="3" s="1"/>
  <c r="BB284" i="3" s="1"/>
  <c r="BC284" i="3" s="1"/>
  <c r="CC277" i="3"/>
  <c r="CD277" i="3" s="1"/>
  <c r="BV276" i="3"/>
  <c r="BY270" i="3"/>
  <c r="BV291" i="3"/>
  <c r="BY322" i="3"/>
  <c r="BV321" i="3"/>
  <c r="CC318" i="3"/>
  <c r="CD318" i="3" s="1"/>
  <c r="Y333" i="3"/>
  <c r="BY330" i="3"/>
  <c r="AZ351" i="3"/>
  <c r="BA351" i="3" s="1"/>
  <c r="BB351" i="3" s="1"/>
  <c r="AF349" i="3"/>
  <c r="AH349" i="3"/>
  <c r="AJ349" i="3" s="1"/>
  <c r="AK349" i="3" s="1"/>
  <c r="BV528" i="3"/>
  <c r="CC601" i="3"/>
  <c r="CD601" i="3" s="1"/>
  <c r="BP86" i="3"/>
  <c r="AZ77" i="3"/>
  <c r="BA77" i="3" s="1"/>
  <c r="BB77" i="3" s="1"/>
  <c r="BV75" i="3"/>
  <c r="BV74" i="3"/>
  <c r="Y72" i="3"/>
  <c r="BY105" i="3"/>
  <c r="CC39" i="3"/>
  <c r="CD39" i="3" s="1"/>
  <c r="AU70" i="3"/>
  <c r="BP64" i="3"/>
  <c r="BY58" i="3"/>
  <c r="BV54" i="3"/>
  <c r="BV84" i="3"/>
  <c r="CC81" i="3"/>
  <c r="CD81" i="3" s="1"/>
  <c r="BV80" i="3"/>
  <c r="BP79" i="3"/>
  <c r="Y73" i="3"/>
  <c r="AZ72" i="3"/>
  <c r="BA72" i="3" s="1"/>
  <c r="BB72" i="3" s="1"/>
  <c r="BV105" i="3"/>
  <c r="BP100" i="3"/>
  <c r="BV91" i="3"/>
  <c r="BY90" i="3"/>
  <c r="CC116" i="3"/>
  <c r="CD116" i="3" s="1"/>
  <c r="BV141" i="3"/>
  <c r="BZ141" i="3" s="1"/>
  <c r="CC138" i="3"/>
  <c r="CD138" i="3" s="1"/>
  <c r="BY137" i="3"/>
  <c r="BV136" i="3"/>
  <c r="Y126" i="3"/>
  <c r="AU160" i="3"/>
  <c r="BV158" i="3"/>
  <c r="BP149" i="3"/>
  <c r="AZ192" i="3"/>
  <c r="BA192" i="3" s="1"/>
  <c r="BB192" i="3" s="1"/>
  <c r="Y189" i="3"/>
  <c r="Y184" i="3"/>
  <c r="BV213" i="3"/>
  <c r="BP212" i="3"/>
  <c r="CC211" i="3"/>
  <c r="CD211" i="3" s="1"/>
  <c r="AZ211" i="3"/>
  <c r="BA211" i="3" s="1"/>
  <c r="BB211" i="3" s="1"/>
  <c r="BP209" i="3"/>
  <c r="BY203" i="3"/>
  <c r="CC227" i="3"/>
  <c r="CD227" i="3" s="1"/>
  <c r="Y217" i="3"/>
  <c r="Y249" i="3"/>
  <c r="BY247" i="3"/>
  <c r="Y245" i="3"/>
  <c r="AZ236" i="3"/>
  <c r="BA236" i="3" s="1"/>
  <c r="BB236" i="3" s="1"/>
  <c r="AU267" i="3"/>
  <c r="BY266" i="3"/>
  <c r="BP256" i="3"/>
  <c r="AZ255" i="3"/>
  <c r="BA255" i="3" s="1"/>
  <c r="BB255" i="3" s="1"/>
  <c r="Y283" i="3"/>
  <c r="Y279" i="3"/>
  <c r="Y272" i="3"/>
  <c r="AZ302" i="3"/>
  <c r="BA302" i="3" s="1"/>
  <c r="BB302" i="3" s="1"/>
  <c r="Y294" i="3"/>
  <c r="AZ288" i="3"/>
  <c r="BA288" i="3" s="1"/>
  <c r="BB288" i="3" s="1"/>
  <c r="BY336" i="3"/>
  <c r="BZ336" i="3" s="1"/>
  <c r="BY350" i="3"/>
  <c r="Y372" i="3"/>
  <c r="BY370" i="3"/>
  <c r="BV383" i="3"/>
  <c r="Y427" i="3"/>
  <c r="BY358" i="3"/>
  <c r="Y356" i="3"/>
  <c r="BY354" i="3"/>
  <c r="BV345" i="3"/>
  <c r="BY375" i="3"/>
  <c r="Y368" i="3"/>
  <c r="AZ364" i="3"/>
  <c r="BA364" i="3" s="1"/>
  <c r="BB364" i="3" s="1"/>
  <c r="AF389" i="3"/>
  <c r="AJ389" i="3" s="1"/>
  <c r="AK389" i="3" s="1"/>
  <c r="AZ386" i="3"/>
  <c r="BA386" i="3" s="1"/>
  <c r="BB386" i="3" s="1"/>
  <c r="BY384" i="3"/>
  <c r="BV379" i="3"/>
  <c r="BP378" i="3"/>
  <c r="BV410" i="3"/>
  <c r="CC402" i="3"/>
  <c r="CD402" i="3" s="1"/>
  <c r="Y398" i="3"/>
  <c r="AF425" i="3"/>
  <c r="AJ425" i="3" s="1"/>
  <c r="AK425" i="3" s="1"/>
  <c r="CC419" i="3"/>
  <c r="CD419" i="3" s="1"/>
  <c r="BY414" i="3"/>
  <c r="AZ438" i="3"/>
  <c r="BA438" i="3" s="1"/>
  <c r="BB438" i="3" s="1"/>
  <c r="CC437" i="3"/>
  <c r="CD437" i="3" s="1"/>
  <c r="AU435" i="3"/>
  <c r="BY466" i="3"/>
  <c r="BP464" i="3"/>
  <c r="CC454" i="3"/>
  <c r="CD454" i="3" s="1"/>
  <c r="AF484" i="3"/>
  <c r="AJ484" i="3" s="1"/>
  <c r="AK484" i="3" s="1"/>
  <c r="Y483" i="3"/>
  <c r="AZ482" i="3"/>
  <c r="BA482" i="3" s="1"/>
  <c r="BB482" i="3" s="1"/>
  <c r="Y479" i="3"/>
  <c r="BY472" i="3"/>
  <c r="BP497" i="3"/>
  <c r="AZ491" i="3"/>
  <c r="BA491" i="3" s="1"/>
  <c r="BB491" i="3" s="1"/>
  <c r="AU520" i="3"/>
  <c r="BV533" i="3"/>
  <c r="BV523" i="3"/>
  <c r="BY553" i="3"/>
  <c r="BV547" i="3"/>
  <c r="Y545" i="3"/>
  <c r="AZ544" i="3"/>
  <c r="BA544" i="3" s="1"/>
  <c r="BB544" i="3" s="1"/>
  <c r="BY543" i="3"/>
  <c r="Y572" i="3"/>
  <c r="AZ566" i="3"/>
  <c r="BA566" i="3" s="1"/>
  <c r="BB566" i="3" s="1"/>
  <c r="AH560" i="3"/>
  <c r="AJ560" i="3" s="1"/>
  <c r="AK560" i="3" s="1"/>
  <c r="BP577" i="3"/>
  <c r="AZ576" i="3"/>
  <c r="BA576" i="3" s="1"/>
  <c r="BB576" i="3" s="1"/>
  <c r="CC605" i="3"/>
  <c r="CD605" i="3" s="1"/>
  <c r="BP626" i="3"/>
  <c r="CC625" i="3"/>
  <c r="CD625" i="3" s="1"/>
  <c r="CC621" i="3"/>
  <c r="CD621" i="3" s="1"/>
  <c r="BV616" i="3"/>
  <c r="AF642" i="3"/>
  <c r="AJ642" i="3" s="1"/>
  <c r="AK642" i="3" s="1"/>
  <c r="Y630" i="3"/>
  <c r="AH658" i="3"/>
  <c r="AJ658" i="3" s="1"/>
  <c r="AK658" i="3" s="1"/>
  <c r="BV655" i="3"/>
  <c r="AZ654" i="3"/>
  <c r="BA654" i="3" s="1"/>
  <c r="BB654" i="3" s="1"/>
  <c r="AZ651" i="3"/>
  <c r="BA651" i="3" s="1"/>
  <c r="BB651" i="3" s="1"/>
  <c r="BY650" i="3"/>
  <c r="BP368" i="3"/>
  <c r="BP389" i="3"/>
  <c r="BP460" i="3"/>
  <c r="BP479" i="3"/>
  <c r="BP488" i="3"/>
  <c r="BP581" i="3"/>
  <c r="BP615" i="3"/>
  <c r="BY653" i="3"/>
  <c r="AU651" i="3"/>
  <c r="AF650" i="3"/>
  <c r="AJ650" i="3" s="1"/>
  <c r="AK650" i="3" s="1"/>
  <c r="BP348" i="3"/>
  <c r="CC347" i="3"/>
  <c r="CD347" i="3" s="1"/>
  <c r="AZ342" i="3"/>
  <c r="BA342" i="3" s="1"/>
  <c r="BB342" i="3" s="1"/>
  <c r="BV375" i="3"/>
  <c r="CC372" i="3"/>
  <c r="CD372" i="3" s="1"/>
  <c r="Y369" i="3"/>
  <c r="BV362" i="3"/>
  <c r="BP361" i="3"/>
  <c r="CC393" i="3"/>
  <c r="CD393" i="3" s="1"/>
  <c r="Y388" i="3"/>
  <c r="AZ387" i="3"/>
  <c r="BA387" i="3" s="1"/>
  <c r="BB387" i="3" s="1"/>
  <c r="BP379" i="3"/>
  <c r="Y378" i="3"/>
  <c r="CC429" i="3"/>
  <c r="CD429" i="3" s="1"/>
  <c r="BY421" i="3"/>
  <c r="BY419" i="3"/>
  <c r="AF417" i="3"/>
  <c r="AJ417" i="3" s="1"/>
  <c r="AK417" i="3" s="1"/>
  <c r="AZ415" i="3"/>
  <c r="BA415" i="3" s="1"/>
  <c r="BB415" i="3" s="1"/>
  <c r="BV414" i="3"/>
  <c r="BY440" i="3"/>
  <c r="BV466" i="3"/>
  <c r="AZ460" i="3"/>
  <c r="BA460" i="3" s="1"/>
  <c r="BB460" i="3" s="1"/>
  <c r="CC451" i="3"/>
  <c r="CD451" i="3" s="1"/>
  <c r="AH450" i="3"/>
  <c r="AJ450" i="3" s="1"/>
  <c r="AK450" i="3" s="1"/>
  <c r="AU482" i="3"/>
  <c r="CC499" i="3"/>
  <c r="CD499" i="3" s="1"/>
  <c r="CC495" i="3"/>
  <c r="CD495" i="3" s="1"/>
  <c r="CC513" i="3"/>
  <c r="CD513" i="3" s="1"/>
  <c r="BV534" i="3"/>
  <c r="Y532" i="3"/>
  <c r="BP522" i="3"/>
  <c r="BY549" i="3"/>
  <c r="AH548" i="3"/>
  <c r="AJ548" i="3" s="1"/>
  <c r="AK548" i="3" s="1"/>
  <c r="AZ545" i="3"/>
  <c r="BA545" i="3" s="1"/>
  <c r="BB545" i="3" s="1"/>
  <c r="CC544" i="3"/>
  <c r="CD544" i="3" s="1"/>
  <c r="BV570" i="3"/>
  <c r="AF569" i="3"/>
  <c r="AJ569" i="3" s="1"/>
  <c r="AK569" i="3" s="1"/>
  <c r="BP567" i="3"/>
  <c r="BV565" i="3"/>
  <c r="BY584" i="3"/>
  <c r="CC576" i="3"/>
  <c r="CD576" i="3" s="1"/>
  <c r="BY597" i="3"/>
  <c r="Y627" i="3"/>
  <c r="AF613" i="3"/>
  <c r="AJ613" i="3" s="1"/>
  <c r="AK613" i="3" s="1"/>
  <c r="AZ646" i="3"/>
  <c r="BA646" i="3" s="1"/>
  <c r="BB646" i="3" s="1"/>
  <c r="BP641" i="3"/>
  <c r="AO636" i="3"/>
  <c r="AP636" i="3" s="1"/>
  <c r="BV663" i="3"/>
  <c r="CC656" i="3"/>
  <c r="CD656" i="3" s="1"/>
  <c r="Y655" i="3"/>
  <c r="CC648" i="3"/>
  <c r="CD648" i="3" s="1"/>
  <c r="BY367" i="3"/>
  <c r="AF410" i="3"/>
  <c r="AJ410" i="3" s="1"/>
  <c r="AK410" i="3" s="1"/>
  <c r="CC398" i="3"/>
  <c r="CD398" i="3" s="1"/>
  <c r="BY397" i="3"/>
  <c r="BV417" i="3"/>
  <c r="AU448" i="3"/>
  <c r="AH466" i="3"/>
  <c r="AJ466" i="3" s="1"/>
  <c r="AK466" i="3" s="1"/>
  <c r="AU479" i="3"/>
  <c r="AU513" i="3"/>
  <c r="BC513" i="3" s="1"/>
  <c r="AH553" i="3"/>
  <c r="AJ553" i="3" s="1"/>
  <c r="AK553" i="3" s="1"/>
  <c r="BV579" i="3"/>
  <c r="AF605" i="3"/>
  <c r="AJ605" i="3" s="1"/>
  <c r="AK605" i="3" s="1"/>
  <c r="AZ390" i="3"/>
  <c r="BA390" i="3" s="1"/>
  <c r="BB390" i="3" s="1"/>
  <c r="AZ525" i="3"/>
  <c r="BA525" i="3" s="1"/>
  <c r="BB525" i="3" s="1"/>
  <c r="BV592" i="3"/>
  <c r="Y591" i="3"/>
  <c r="BV584" i="3"/>
  <c r="BV597" i="3"/>
  <c r="CC594" i="3"/>
  <c r="CD594" i="3" s="1"/>
  <c r="Y624" i="3"/>
  <c r="BV636" i="3"/>
  <c r="BY634" i="3"/>
  <c r="Y658" i="3"/>
  <c r="Y370" i="3"/>
  <c r="Y366" i="3"/>
  <c r="AZ389" i="3"/>
  <c r="BA389" i="3" s="1"/>
  <c r="BB389" i="3" s="1"/>
  <c r="BC389" i="3" s="1"/>
  <c r="CC382" i="3"/>
  <c r="CD382" i="3" s="1"/>
  <c r="Y405" i="3"/>
  <c r="BV426" i="3"/>
  <c r="Y423" i="3"/>
  <c r="CC448" i="3"/>
  <c r="CD448" i="3" s="1"/>
  <c r="BY447" i="3"/>
  <c r="BV444" i="3"/>
  <c r="Y440" i="3"/>
  <c r="Y434" i="3"/>
  <c r="Y465" i="3"/>
  <c r="Y462" i="3"/>
  <c r="CC452" i="3"/>
  <c r="CD452" i="3" s="1"/>
  <c r="CC479" i="3"/>
  <c r="CD479" i="3" s="1"/>
  <c r="BV499" i="3"/>
  <c r="Y498" i="3"/>
  <c r="BY496" i="3"/>
  <c r="BV520" i="3"/>
  <c r="BY517" i="3"/>
  <c r="AH505" i="3"/>
  <c r="AJ505" i="3" s="1"/>
  <c r="AK505" i="3" s="1"/>
  <c r="Y529" i="3"/>
  <c r="CC526" i="3"/>
  <c r="CD526" i="3" s="1"/>
  <c r="AU522" i="3"/>
  <c r="BV540" i="3"/>
  <c r="BV571" i="3"/>
  <c r="AZ568" i="3"/>
  <c r="BA568" i="3" s="1"/>
  <c r="BB568" i="3" s="1"/>
  <c r="CC582" i="3"/>
  <c r="CD582" i="3" s="1"/>
  <c r="AH580" i="3"/>
  <c r="AJ580" i="3" s="1"/>
  <c r="AK580" i="3" s="1"/>
  <c r="BP605" i="3"/>
  <c r="AZ600" i="3"/>
  <c r="BA600" i="3" s="1"/>
  <c r="BB600" i="3" s="1"/>
  <c r="BY594" i="3"/>
  <c r="BP628" i="3"/>
  <c r="BY622" i="3"/>
  <c r="BY618" i="3"/>
  <c r="BV640" i="3"/>
  <c r="Y639" i="3"/>
  <c r="AZ638" i="3"/>
  <c r="BA638" i="3" s="1"/>
  <c r="BB638" i="3" s="1"/>
  <c r="CC632" i="3"/>
  <c r="CD632" i="3" s="1"/>
  <c r="BY660" i="3"/>
  <c r="AH672" i="3"/>
  <c r="AJ672" i="3" s="1"/>
  <c r="AK672" i="3" s="1"/>
  <c r="AF667" i="3"/>
  <c r="AJ667" i="3" s="1"/>
  <c r="AK667" i="3" s="1"/>
  <c r="AZ361" i="3"/>
  <c r="BA361" i="3" s="1"/>
  <c r="BB361" i="3" s="1"/>
  <c r="Y361" i="3"/>
  <c r="BV386" i="3"/>
  <c r="Y396" i="3"/>
  <c r="AZ446" i="3"/>
  <c r="BA446" i="3" s="1"/>
  <c r="BB446" i="3" s="1"/>
  <c r="CC464" i="3"/>
  <c r="CD464" i="3" s="1"/>
  <c r="AZ453" i="3"/>
  <c r="BA453" i="3" s="1"/>
  <c r="BB453" i="3" s="1"/>
  <c r="AZ484" i="3"/>
  <c r="BA484" i="3" s="1"/>
  <c r="BB484" i="3" s="1"/>
  <c r="AZ533" i="3"/>
  <c r="BA533" i="3" s="1"/>
  <c r="BB533" i="3" s="1"/>
  <c r="BV531" i="3"/>
  <c r="AU564" i="3"/>
  <c r="AH589" i="3"/>
  <c r="AJ589" i="3" s="1"/>
  <c r="AK589" i="3" s="1"/>
  <c r="BY581" i="3"/>
  <c r="BP596" i="3"/>
  <c r="BP642" i="3"/>
  <c r="Y666" i="3"/>
  <c r="CC369" i="3"/>
  <c r="CD369" i="3" s="1"/>
  <c r="BP362" i="3"/>
  <c r="AZ391" i="3"/>
  <c r="BA391" i="3" s="1"/>
  <c r="BB391" i="3" s="1"/>
  <c r="CC383" i="3"/>
  <c r="CD383" i="3" s="1"/>
  <c r="BP380" i="3"/>
  <c r="Y411" i="3"/>
  <c r="Y410" i="3"/>
  <c r="CC420" i="3"/>
  <c r="CD420" i="3" s="1"/>
  <c r="BP462" i="3"/>
  <c r="BP451" i="3"/>
  <c r="BP450" i="3"/>
  <c r="BV474" i="3"/>
  <c r="CC501" i="3"/>
  <c r="CD501" i="3" s="1"/>
  <c r="BV496" i="3"/>
  <c r="AU493" i="3"/>
  <c r="AZ519" i="3"/>
  <c r="BA519" i="3" s="1"/>
  <c r="BB519" i="3" s="1"/>
  <c r="BP516" i="3"/>
  <c r="AZ511" i="3"/>
  <c r="BA511" i="3" s="1"/>
  <c r="BB511" i="3" s="1"/>
  <c r="AZ574" i="3"/>
  <c r="BA574" i="3" s="1"/>
  <c r="BB574" i="3" s="1"/>
  <c r="Y636" i="3"/>
  <c r="BV651" i="3"/>
  <c r="BP372" i="3"/>
  <c r="BY383" i="3"/>
  <c r="BY399" i="3"/>
  <c r="BY415" i="3"/>
  <c r="CC439" i="3"/>
  <c r="CD439" i="3" s="1"/>
  <c r="CC436" i="3"/>
  <c r="CD436" i="3" s="1"/>
  <c r="Y435" i="3"/>
  <c r="BP463" i="3"/>
  <c r="CC502" i="3"/>
  <c r="CD502" i="3" s="1"/>
  <c r="Y535" i="3"/>
  <c r="AZ534" i="3"/>
  <c r="BA534" i="3" s="1"/>
  <c r="BB534" i="3" s="1"/>
  <c r="BY528" i="3"/>
  <c r="BV527" i="3"/>
  <c r="BV526" i="3"/>
  <c r="BV545" i="3"/>
  <c r="BY542" i="3"/>
  <c r="CC564" i="3"/>
  <c r="CD564" i="3" s="1"/>
  <c r="BV563" i="3"/>
  <c r="Y621" i="3"/>
  <c r="Y660" i="3"/>
  <c r="Y324" i="3"/>
  <c r="Y355" i="3"/>
  <c r="AZ354" i="3"/>
  <c r="BA354" i="3" s="1"/>
  <c r="BB354" i="3" s="1"/>
  <c r="BY353" i="3"/>
  <c r="CC349" i="3"/>
  <c r="CD349" i="3" s="1"/>
  <c r="BV348" i="3"/>
  <c r="Y376" i="3"/>
  <c r="AU370" i="3"/>
  <c r="BV388" i="3"/>
  <c r="BV378" i="3"/>
  <c r="AU405" i="3"/>
  <c r="BV427" i="3"/>
  <c r="BV418" i="3"/>
  <c r="BY439" i="3"/>
  <c r="AZ437" i="3"/>
  <c r="BA437" i="3" s="1"/>
  <c r="BB437" i="3" s="1"/>
  <c r="BY436" i="3"/>
  <c r="BZ436" i="3" s="1"/>
  <c r="Y432" i="3"/>
  <c r="BY461" i="3"/>
  <c r="AZ454" i="3"/>
  <c r="BA454" i="3" s="1"/>
  <c r="BB454" i="3" s="1"/>
  <c r="CC484" i="3"/>
  <c r="CD484" i="3" s="1"/>
  <c r="BV483" i="3"/>
  <c r="AU477" i="3"/>
  <c r="BV475" i="3"/>
  <c r="AZ468" i="3"/>
  <c r="BA468" i="3" s="1"/>
  <c r="BB468" i="3" s="1"/>
  <c r="AZ494" i="3"/>
  <c r="BA494" i="3" s="1"/>
  <c r="BB494" i="3" s="1"/>
  <c r="AU489" i="3"/>
  <c r="BV514" i="3"/>
  <c r="Y505" i="3"/>
  <c r="BV536" i="3"/>
  <c r="AZ524" i="3"/>
  <c r="BA524" i="3" s="1"/>
  <c r="BB524" i="3" s="1"/>
  <c r="BP549" i="3"/>
  <c r="CC574" i="3"/>
  <c r="CD574" i="3" s="1"/>
  <c r="BY568" i="3"/>
  <c r="BV567" i="3"/>
  <c r="Y566" i="3"/>
  <c r="AZ561" i="3"/>
  <c r="BA561" i="3" s="1"/>
  <c r="BB561" i="3" s="1"/>
  <c r="BP584" i="3"/>
  <c r="AZ605" i="3"/>
  <c r="BA605" i="3" s="1"/>
  <c r="BB605" i="3" s="1"/>
  <c r="AU596" i="3"/>
  <c r="BV623" i="3"/>
  <c r="BP621" i="3"/>
  <c r="AZ617" i="3"/>
  <c r="BA617" i="3" s="1"/>
  <c r="BB617" i="3" s="1"/>
  <c r="Y646" i="3"/>
  <c r="BP636" i="3"/>
  <c r="AZ631" i="3"/>
  <c r="BA631" i="3" s="1"/>
  <c r="BB631" i="3" s="1"/>
  <c r="AU663" i="3"/>
  <c r="Y651" i="3"/>
  <c r="Y648" i="3"/>
  <c r="BV64" i="3"/>
  <c r="Y267" i="3"/>
  <c r="Y51" i="3"/>
  <c r="BP46" i="3"/>
  <c r="AZ45" i="3"/>
  <c r="BA45" i="3" s="1"/>
  <c r="BB45" i="3" s="1"/>
  <c r="BC45" i="3" s="1"/>
  <c r="Y40" i="3"/>
  <c r="CC65" i="3"/>
  <c r="CD65" i="3" s="1"/>
  <c r="AZ60" i="3"/>
  <c r="BA60" i="3" s="1"/>
  <c r="BB60" i="3" s="1"/>
  <c r="BV58" i="3"/>
  <c r="Y54" i="3"/>
  <c r="AZ87" i="3"/>
  <c r="BA87" i="3" s="1"/>
  <c r="BB87" i="3" s="1"/>
  <c r="Y87" i="3"/>
  <c r="AZ85" i="3"/>
  <c r="BA85" i="3" s="1"/>
  <c r="BB85" i="3" s="1"/>
  <c r="Y79" i="3"/>
  <c r="AZ105" i="3"/>
  <c r="BA105" i="3" s="1"/>
  <c r="BB105" i="3" s="1"/>
  <c r="Y118" i="3"/>
  <c r="CC110" i="3"/>
  <c r="CD110" i="3" s="1"/>
  <c r="BP130" i="3"/>
  <c r="BV150" i="3"/>
  <c r="BY150" i="3"/>
  <c r="BV170" i="3"/>
  <c r="CC208" i="3"/>
  <c r="CD208" i="3" s="1"/>
  <c r="Y46" i="3"/>
  <c r="CC59" i="3"/>
  <c r="CD59" i="3" s="1"/>
  <c r="AF189" i="3"/>
  <c r="AH189" i="3"/>
  <c r="AF268" i="3"/>
  <c r="AH268" i="3"/>
  <c r="Y301" i="3"/>
  <c r="CC294" i="3"/>
  <c r="CD294" i="3" s="1"/>
  <c r="CC650" i="3"/>
  <c r="CD650" i="3" s="1"/>
  <c r="CC45" i="3"/>
  <c r="CD45" i="3" s="1"/>
  <c r="CC38" i="3"/>
  <c r="CD38" i="3" s="1"/>
  <c r="AH70" i="3"/>
  <c r="AJ70" i="3" s="1"/>
  <c r="AK70" i="3" s="1"/>
  <c r="AZ66" i="3"/>
  <c r="BA66" i="3" s="1"/>
  <c r="BB66" i="3" s="1"/>
  <c r="CC60" i="3"/>
  <c r="CD60" i="3" s="1"/>
  <c r="BV57" i="3"/>
  <c r="BP55" i="3"/>
  <c r="AZ54" i="3"/>
  <c r="BA54" i="3" s="1"/>
  <c r="BB54" i="3" s="1"/>
  <c r="Y86" i="3"/>
  <c r="BY83" i="3"/>
  <c r="CC101" i="3"/>
  <c r="CD101" i="3" s="1"/>
  <c r="Y119" i="3"/>
  <c r="Y149" i="3"/>
  <c r="BV283" i="3"/>
  <c r="BY283" i="3"/>
  <c r="BP51" i="3"/>
  <c r="Y47" i="3"/>
  <c r="BV43" i="3"/>
  <c r="BP41" i="3"/>
  <c r="BY38" i="3"/>
  <c r="BP70" i="3"/>
  <c r="AZ67" i="3"/>
  <c r="BA67" i="3" s="1"/>
  <c r="BB67" i="3" s="1"/>
  <c r="Y63" i="3"/>
  <c r="BV59" i="3"/>
  <c r="AH58" i="3"/>
  <c r="AJ58" i="3" s="1"/>
  <c r="AK58" i="3" s="1"/>
  <c r="AH57" i="3"/>
  <c r="AJ57" i="3" s="1"/>
  <c r="AK57" i="3" s="1"/>
  <c r="CC88" i="3"/>
  <c r="CD88" i="3" s="1"/>
  <c r="AU87" i="3"/>
  <c r="AZ79" i="3"/>
  <c r="BA79" i="3" s="1"/>
  <c r="BB79" i="3" s="1"/>
  <c r="AF462" i="3"/>
  <c r="AH462" i="3"/>
  <c r="CC49" i="3"/>
  <c r="CD49" i="3" s="1"/>
  <c r="CC76" i="3"/>
  <c r="CD76" i="3" s="1"/>
  <c r="Y106" i="3"/>
  <c r="BP48" i="3"/>
  <c r="CC46" i="3"/>
  <c r="CD46" i="3" s="1"/>
  <c r="AH43" i="3"/>
  <c r="AJ43" i="3" s="1"/>
  <c r="AK43" i="3" s="1"/>
  <c r="BP58" i="3"/>
  <c r="BP80" i="3"/>
  <c r="Y127" i="3"/>
  <c r="Y193" i="3"/>
  <c r="Y62" i="3"/>
  <c r="AH227" i="3"/>
  <c r="AF227" i="3"/>
  <c r="Y45" i="3"/>
  <c r="Y38" i="3"/>
  <c r="Y88" i="3"/>
  <c r="AZ52" i="3"/>
  <c r="BA52" i="3" s="1"/>
  <c r="BB52" i="3" s="1"/>
  <c r="BV50" i="3"/>
  <c r="BV45" i="3"/>
  <c r="BV39" i="3"/>
  <c r="BP65" i="3"/>
  <c r="CC63" i="3"/>
  <c r="CD63" i="3" s="1"/>
  <c r="BV86" i="3"/>
  <c r="BP84" i="3"/>
  <c r="Y82" i="3"/>
  <c r="Y76" i="3"/>
  <c r="AZ73" i="3"/>
  <c r="BA73" i="3" s="1"/>
  <c r="BB73" i="3" s="1"/>
  <c r="AH92" i="3"/>
  <c r="AF92" i="3"/>
  <c r="BP155" i="3"/>
  <c r="AF182" i="3"/>
  <c r="AH182" i="3"/>
  <c r="BP181" i="3"/>
  <c r="BV227" i="3"/>
  <c r="BY227" i="3"/>
  <c r="AS245" i="3"/>
  <c r="AT245" i="3" s="1"/>
  <c r="AU245" i="3" s="1"/>
  <c r="BV70" i="3"/>
  <c r="Y49" i="3"/>
  <c r="Y48" i="3"/>
  <c r="AH38" i="3"/>
  <c r="AJ38" i="3" s="1"/>
  <c r="AK38" i="3" s="1"/>
  <c r="BP37" i="3"/>
  <c r="Y36" i="3"/>
  <c r="Y70" i="3"/>
  <c r="BY67" i="3"/>
  <c r="BY63" i="3"/>
  <c r="BP57" i="3"/>
  <c r="Y56" i="3"/>
  <c r="AH88" i="3"/>
  <c r="AJ88" i="3" s="1"/>
  <c r="AK88" i="3" s="1"/>
  <c r="BV85" i="3"/>
  <c r="BP82" i="3"/>
  <c r="AZ99" i="3"/>
  <c r="BA99" i="3" s="1"/>
  <c r="BB99" i="3" s="1"/>
  <c r="Y262" i="3"/>
  <c r="Y299" i="3"/>
  <c r="CC322" i="3"/>
  <c r="CD322" i="3" s="1"/>
  <c r="BY52" i="3"/>
  <c r="BY51" i="3"/>
  <c r="AZ48" i="3"/>
  <c r="BA48" i="3" s="1"/>
  <c r="BB48" i="3" s="1"/>
  <c r="CC47" i="3"/>
  <c r="CD47" i="3" s="1"/>
  <c r="AH45" i="3"/>
  <c r="AJ45" i="3" s="1"/>
  <c r="AK45" i="3" s="1"/>
  <c r="CC64" i="3"/>
  <c r="CD64" i="3" s="1"/>
  <c r="AH62" i="3"/>
  <c r="AJ62" i="3" s="1"/>
  <c r="AK62" i="3" s="1"/>
  <c r="AZ58" i="3"/>
  <c r="BA58" i="3" s="1"/>
  <c r="BB58" i="3" s="1"/>
  <c r="AZ57" i="3"/>
  <c r="BA57" i="3" s="1"/>
  <c r="BB57" i="3" s="1"/>
  <c r="BP88" i="3"/>
  <c r="AZ82" i="3"/>
  <c r="BA82" i="3" s="1"/>
  <c r="BB82" i="3" s="1"/>
  <c r="BP78" i="3"/>
  <c r="BY72" i="3"/>
  <c r="BP101" i="3"/>
  <c r="AF130" i="3"/>
  <c r="AH130" i="3"/>
  <c r="Y164" i="3"/>
  <c r="Y230" i="3"/>
  <c r="AH254" i="3"/>
  <c r="AF254" i="3"/>
  <c r="BP40" i="3"/>
  <c r="BV68" i="3"/>
  <c r="BP60" i="3"/>
  <c r="AU58" i="3"/>
  <c r="AF106" i="3"/>
  <c r="AH106" i="3"/>
  <c r="BV102" i="3"/>
  <c r="BY102" i="3"/>
  <c r="AF93" i="3"/>
  <c r="AH93" i="3"/>
  <c r="AH117" i="3"/>
  <c r="AF117" i="3"/>
  <c r="AH183" i="3"/>
  <c r="AF183" i="3"/>
  <c r="Y44" i="3"/>
  <c r="BY41" i="3"/>
  <c r="BY68" i="3"/>
  <c r="AH67" i="3"/>
  <c r="AJ67" i="3" s="1"/>
  <c r="AK67" i="3" s="1"/>
  <c r="BY64" i="3"/>
  <c r="Y60" i="3"/>
  <c r="AU56" i="3"/>
  <c r="AZ80" i="3"/>
  <c r="BA80" i="3" s="1"/>
  <c r="BB80" i="3" s="1"/>
  <c r="Y78" i="3"/>
  <c r="Y77" i="3"/>
  <c r="AF94" i="3"/>
  <c r="AJ94" i="3" s="1"/>
  <c r="AK94" i="3" s="1"/>
  <c r="CC141" i="3"/>
  <c r="CD141" i="3" s="1"/>
  <c r="Y138" i="3"/>
  <c r="AF169" i="3"/>
  <c r="AH169" i="3"/>
  <c r="Y201" i="3"/>
  <c r="Y198" i="3"/>
  <c r="AU265" i="3"/>
  <c r="BV292" i="3"/>
  <c r="BP96" i="3"/>
  <c r="CC94" i="3"/>
  <c r="CD94" i="3" s="1"/>
  <c r="CC123" i="3"/>
  <c r="CD123" i="3" s="1"/>
  <c r="AU118" i="3"/>
  <c r="CC117" i="3"/>
  <c r="CD117" i="3" s="1"/>
  <c r="Y113" i="3"/>
  <c r="AZ138" i="3"/>
  <c r="BA138" i="3" s="1"/>
  <c r="BB138" i="3" s="1"/>
  <c r="Y137" i="3"/>
  <c r="Y136" i="3"/>
  <c r="BY134" i="3"/>
  <c r="Y129" i="3"/>
  <c r="CC160" i="3"/>
  <c r="CD160" i="3" s="1"/>
  <c r="AZ156" i="3"/>
  <c r="BA156" i="3" s="1"/>
  <c r="BB156" i="3" s="1"/>
  <c r="CC153" i="3"/>
  <c r="CD153" i="3" s="1"/>
  <c r="AF151" i="3"/>
  <c r="AJ151" i="3" s="1"/>
  <c r="AK151" i="3" s="1"/>
  <c r="CC148" i="3"/>
  <c r="CD148" i="3" s="1"/>
  <c r="CC147" i="3"/>
  <c r="CD147" i="3" s="1"/>
  <c r="Y145" i="3"/>
  <c r="CC172" i="3"/>
  <c r="CD172" i="3" s="1"/>
  <c r="CC167" i="3"/>
  <c r="CD167" i="3" s="1"/>
  <c r="AH166" i="3"/>
  <c r="AJ166" i="3" s="1"/>
  <c r="AK166" i="3" s="1"/>
  <c r="AU192" i="3"/>
  <c r="BV190" i="3"/>
  <c r="AH190" i="3"/>
  <c r="AJ190" i="3" s="1"/>
  <c r="AK190" i="3" s="1"/>
  <c r="CC214" i="3"/>
  <c r="CD214" i="3" s="1"/>
  <c r="AO214" i="3"/>
  <c r="AP214" i="3" s="1"/>
  <c r="AU214" i="3" s="1"/>
  <c r="BY208" i="3"/>
  <c r="AZ206" i="3"/>
  <c r="BA206" i="3" s="1"/>
  <c r="BB206" i="3" s="1"/>
  <c r="AH205" i="3"/>
  <c r="AJ205" i="3" s="1"/>
  <c r="AK205" i="3" s="1"/>
  <c r="BP204" i="3"/>
  <c r="Y204" i="3"/>
  <c r="CC200" i="3"/>
  <c r="CD200" i="3" s="1"/>
  <c r="CC232" i="3"/>
  <c r="CD232" i="3" s="1"/>
  <c r="AZ226" i="3"/>
  <c r="BA226" i="3" s="1"/>
  <c r="BB226" i="3" s="1"/>
  <c r="BY222" i="3"/>
  <c r="CC219" i="3"/>
  <c r="CD219" i="3" s="1"/>
  <c r="BV218" i="3"/>
  <c r="BV249" i="3"/>
  <c r="BV245" i="3"/>
  <c r="BV242" i="3"/>
  <c r="AF242" i="3"/>
  <c r="AJ242" i="3" s="1"/>
  <c r="AK242" i="3" s="1"/>
  <c r="Y238" i="3"/>
  <c r="CC235" i="3"/>
  <c r="CD235" i="3" s="1"/>
  <c r="BV234" i="3"/>
  <c r="CC265" i="3"/>
  <c r="CD265" i="3" s="1"/>
  <c r="BV263" i="3"/>
  <c r="BY259" i="3"/>
  <c r="BV256" i="3"/>
  <c r="Y255" i="3"/>
  <c r="Y281" i="3"/>
  <c r="BY279" i="3"/>
  <c r="AU300" i="3"/>
  <c r="AZ297" i="3"/>
  <c r="BA297" i="3" s="1"/>
  <c r="BB297" i="3" s="1"/>
  <c r="CC295" i="3"/>
  <c r="CD295" i="3" s="1"/>
  <c r="BV293" i="3"/>
  <c r="AF292" i="3"/>
  <c r="Y291" i="3"/>
  <c r="AU290" i="3"/>
  <c r="BY289" i="3"/>
  <c r="AF357" i="3"/>
  <c r="AJ357" i="3" s="1"/>
  <c r="AK357" i="3" s="1"/>
  <c r="BV344" i="3"/>
  <c r="BP387" i="3"/>
  <c r="AH407" i="3"/>
  <c r="AF407" i="3"/>
  <c r="BY441" i="3"/>
  <c r="AF616" i="3"/>
  <c r="AH616" i="3"/>
  <c r="BP113" i="3"/>
  <c r="AU112" i="3"/>
  <c r="AU156" i="3"/>
  <c r="BY153" i="3"/>
  <c r="AF152" i="3"/>
  <c r="AJ152" i="3" s="1"/>
  <c r="AK152" i="3" s="1"/>
  <c r="Y150" i="3"/>
  <c r="BY147" i="3"/>
  <c r="BY172" i="3"/>
  <c r="BY167" i="3"/>
  <c r="AH196" i="3"/>
  <c r="AJ196" i="3" s="1"/>
  <c r="AK196" i="3" s="1"/>
  <c r="BY187" i="3"/>
  <c r="BZ187" i="3" s="1"/>
  <c r="BY214" i="3"/>
  <c r="AZ209" i="3"/>
  <c r="BA209" i="3" s="1"/>
  <c r="BB209" i="3" s="1"/>
  <c r="BY225" i="3"/>
  <c r="BV222" i="3"/>
  <c r="BY246" i="3"/>
  <c r="BP240" i="3"/>
  <c r="BY235" i="3"/>
  <c r="BY252" i="3"/>
  <c r="BP283" i="3"/>
  <c r="BP282" i="3"/>
  <c r="BY275" i="3"/>
  <c r="AU297" i="3"/>
  <c r="BY295" i="3"/>
  <c r="AJ292" i="3"/>
  <c r="AK292" i="3" s="1"/>
  <c r="BY391" i="3"/>
  <c r="AO416" i="3"/>
  <c r="AP416" i="3" s="1"/>
  <c r="AU416" i="3" s="1"/>
  <c r="AS452" i="3"/>
  <c r="AT452" i="3" s="1"/>
  <c r="AU452" i="3" s="1"/>
  <c r="AU124" i="3"/>
  <c r="CC112" i="3"/>
  <c r="CD112" i="3" s="1"/>
  <c r="BV110" i="3"/>
  <c r="Y109" i="3"/>
  <c r="CC168" i="3"/>
  <c r="CD168" i="3" s="1"/>
  <c r="BV167" i="3"/>
  <c r="BP183" i="3"/>
  <c r="BP201" i="3"/>
  <c r="CC220" i="3"/>
  <c r="CD220" i="3" s="1"/>
  <c r="BV246" i="3"/>
  <c r="AH244" i="3"/>
  <c r="AJ244" i="3" s="1"/>
  <c r="AK244" i="3" s="1"/>
  <c r="BP234" i="3"/>
  <c r="AH264" i="3"/>
  <c r="AJ264" i="3" s="1"/>
  <c r="AK264" i="3" s="1"/>
  <c r="BY261" i="3"/>
  <c r="AU276" i="3"/>
  <c r="AF321" i="3"/>
  <c r="AH321" i="3"/>
  <c r="BP356" i="3"/>
  <c r="AF430" i="3"/>
  <c r="AH430" i="3"/>
  <c r="AF441" i="3"/>
  <c r="AJ441" i="3" s="1"/>
  <c r="AK441" i="3" s="1"/>
  <c r="AU464" i="3"/>
  <c r="AH534" i="3"/>
  <c r="AJ534" i="3" s="1"/>
  <c r="AK534" i="3" s="1"/>
  <c r="AZ260" i="3"/>
  <c r="BA260" i="3" s="1"/>
  <c r="BB260" i="3" s="1"/>
  <c r="CC276" i="3"/>
  <c r="CD276" i="3" s="1"/>
  <c r="CC272" i="3"/>
  <c r="CD272" i="3" s="1"/>
  <c r="AF289" i="3"/>
  <c r="AJ289" i="3" s="1"/>
  <c r="AK289" i="3" s="1"/>
  <c r="AF309" i="3"/>
  <c r="AJ309" i="3" s="1"/>
  <c r="AK309" i="3" s="1"/>
  <c r="BV430" i="3"/>
  <c r="AF490" i="3"/>
  <c r="AJ490" i="3" s="1"/>
  <c r="AK490" i="3" s="1"/>
  <c r="Y92" i="3"/>
  <c r="CC124" i="3"/>
  <c r="CD124" i="3" s="1"/>
  <c r="BV127" i="3"/>
  <c r="Y151" i="3"/>
  <c r="CC149" i="3"/>
  <c r="CD149" i="3" s="1"/>
  <c r="BV148" i="3"/>
  <c r="Y190" i="3"/>
  <c r="Y186" i="3"/>
  <c r="CC182" i="3"/>
  <c r="CD182" i="3" s="1"/>
  <c r="Y211" i="3"/>
  <c r="Y205" i="3"/>
  <c r="CC201" i="3"/>
  <c r="CD201" i="3" s="1"/>
  <c r="BV200" i="3"/>
  <c r="BV229" i="3"/>
  <c r="CC223" i="3"/>
  <c r="CD223" i="3" s="1"/>
  <c r="BV250" i="3"/>
  <c r="Y242" i="3"/>
  <c r="Y241" i="3"/>
  <c r="BV236" i="3"/>
  <c r="Y234" i="3"/>
  <c r="BP257" i="3"/>
  <c r="Y285" i="3"/>
  <c r="CC281" i="3"/>
  <c r="CD281" i="3" s="1"/>
  <c r="Y278" i="3"/>
  <c r="AS319" i="3"/>
  <c r="AT319" i="3" s="1"/>
  <c r="AU319" i="3" s="1"/>
  <c r="AF499" i="3"/>
  <c r="AH499" i="3"/>
  <c r="Y103" i="3"/>
  <c r="BV99" i="3"/>
  <c r="BZ99" i="3" s="1"/>
  <c r="CC96" i="3"/>
  <c r="CD96" i="3" s="1"/>
  <c r="AZ92" i="3"/>
  <c r="BA92" i="3" s="1"/>
  <c r="BB92" i="3" s="1"/>
  <c r="AU120" i="3"/>
  <c r="CC114" i="3"/>
  <c r="CD114" i="3" s="1"/>
  <c r="Y110" i="3"/>
  <c r="BV138" i="3"/>
  <c r="BV156" i="3"/>
  <c r="BP151" i="3"/>
  <c r="CC150" i="3"/>
  <c r="CD150" i="3" s="1"/>
  <c r="BY149" i="3"/>
  <c r="CC145" i="3"/>
  <c r="CD145" i="3" s="1"/>
  <c r="AH144" i="3"/>
  <c r="AJ144" i="3" s="1"/>
  <c r="AK144" i="3" s="1"/>
  <c r="CC175" i="3"/>
  <c r="CD175" i="3" s="1"/>
  <c r="BV173" i="3"/>
  <c r="CC169" i="3"/>
  <c r="CD169" i="3" s="1"/>
  <c r="Y166" i="3"/>
  <c r="AU165" i="3"/>
  <c r="BV163" i="3"/>
  <c r="AZ195" i="3"/>
  <c r="BA195" i="3" s="1"/>
  <c r="BB195" i="3" s="1"/>
  <c r="CC194" i="3"/>
  <c r="CD194" i="3" s="1"/>
  <c r="BP190" i="3"/>
  <c r="CC183" i="3"/>
  <c r="CD183" i="3" s="1"/>
  <c r="BP214" i="3"/>
  <c r="BY198" i="3"/>
  <c r="BZ198" i="3" s="1"/>
  <c r="AH220" i="3"/>
  <c r="AJ220" i="3" s="1"/>
  <c r="AK220" i="3" s="1"/>
  <c r="BP242" i="3"/>
  <c r="CC241" i="3"/>
  <c r="CD241" i="3" s="1"/>
  <c r="BY238" i="3"/>
  <c r="BV267" i="3"/>
  <c r="BP265" i="3"/>
  <c r="CC262" i="3"/>
  <c r="CD262" i="3" s="1"/>
  <c r="BP260" i="3"/>
  <c r="BP259" i="3"/>
  <c r="BP258" i="3"/>
  <c r="AZ283" i="3"/>
  <c r="BA283" i="3" s="1"/>
  <c r="BB283" i="3" s="1"/>
  <c r="BY281" i="3"/>
  <c r="BV280" i="3"/>
  <c r="BY276" i="3"/>
  <c r="Y303" i="3"/>
  <c r="BY301" i="3"/>
  <c r="AF300" i="3"/>
  <c r="AJ300" i="3" s="1"/>
  <c r="AK300" i="3" s="1"/>
  <c r="BP295" i="3"/>
  <c r="BP294" i="3"/>
  <c r="BV290" i="3"/>
  <c r="AU336" i="3"/>
  <c r="AU327" i="3"/>
  <c r="AS326" i="3"/>
  <c r="AT326" i="3" s="1"/>
  <c r="AU326" i="3" s="1"/>
  <c r="AF379" i="3"/>
  <c r="AH379" i="3"/>
  <c r="BV95" i="3"/>
  <c r="BY156" i="3"/>
  <c r="AZ152" i="3"/>
  <c r="BA152" i="3" s="1"/>
  <c r="BB152" i="3" s="1"/>
  <c r="AZ151" i="3"/>
  <c r="BA151" i="3" s="1"/>
  <c r="BB151" i="3" s="1"/>
  <c r="AZ176" i="3"/>
  <c r="BA176" i="3" s="1"/>
  <c r="BB176" i="3" s="1"/>
  <c r="AZ170" i="3"/>
  <c r="BA170" i="3" s="1"/>
  <c r="BB170" i="3" s="1"/>
  <c r="AZ190" i="3"/>
  <c r="BA190" i="3" s="1"/>
  <c r="BB190" i="3" s="1"/>
  <c r="AZ228" i="3"/>
  <c r="BA228" i="3" s="1"/>
  <c r="BB228" i="3" s="1"/>
  <c r="BY217" i="3"/>
  <c r="AZ249" i="3"/>
  <c r="BA249" i="3" s="1"/>
  <c r="BB249" i="3" s="1"/>
  <c r="BY248" i="3"/>
  <c r="AZ243" i="3"/>
  <c r="BA243" i="3" s="1"/>
  <c r="BB243" i="3" s="1"/>
  <c r="Y243" i="3"/>
  <c r="AZ242" i="3"/>
  <c r="BA242" i="3" s="1"/>
  <c r="BB242" i="3" s="1"/>
  <c r="AF236" i="3"/>
  <c r="AJ236" i="3" s="1"/>
  <c r="AK236" i="3" s="1"/>
  <c r="AZ264" i="3"/>
  <c r="BA264" i="3" s="1"/>
  <c r="BB264" i="3" s="1"/>
  <c r="AZ263" i="3"/>
  <c r="BA263" i="3" s="1"/>
  <c r="BB263" i="3" s="1"/>
  <c r="BV281" i="3"/>
  <c r="AZ278" i="3"/>
  <c r="BA278" i="3" s="1"/>
  <c r="BB278" i="3" s="1"/>
  <c r="BV301" i="3"/>
  <c r="AZ293" i="3"/>
  <c r="BA293" i="3" s="1"/>
  <c r="BB293" i="3" s="1"/>
  <c r="AF329" i="3"/>
  <c r="AH329" i="3"/>
  <c r="CC348" i="3"/>
  <c r="CD348" i="3" s="1"/>
  <c r="BV392" i="3"/>
  <c r="AZ98" i="3"/>
  <c r="BA98" i="3" s="1"/>
  <c r="BB98" i="3" s="1"/>
  <c r="AZ121" i="3"/>
  <c r="BA121" i="3" s="1"/>
  <c r="BB121" i="3" s="1"/>
  <c r="BV119" i="3"/>
  <c r="AZ115" i="3"/>
  <c r="BA115" i="3" s="1"/>
  <c r="BB115" i="3" s="1"/>
  <c r="AZ113" i="3"/>
  <c r="BA113" i="3" s="1"/>
  <c r="BB113" i="3" s="1"/>
  <c r="CC109" i="3"/>
  <c r="CD109" i="3" s="1"/>
  <c r="BV108" i="3"/>
  <c r="AZ108" i="3"/>
  <c r="BA108" i="3" s="1"/>
  <c r="BB108" i="3" s="1"/>
  <c r="Y141" i="3"/>
  <c r="AZ140" i="3"/>
  <c r="BA140" i="3" s="1"/>
  <c r="BB140" i="3" s="1"/>
  <c r="BP134" i="3"/>
  <c r="BV129" i="3"/>
  <c r="BP128" i="3"/>
  <c r="Y159" i="3"/>
  <c r="AZ158" i="3"/>
  <c r="BA158" i="3" s="1"/>
  <c r="BB158" i="3" s="1"/>
  <c r="Y153" i="3"/>
  <c r="BV149" i="3"/>
  <c r="Y147" i="3"/>
  <c r="BP177" i="3"/>
  <c r="Y177" i="3"/>
  <c r="BP171" i="3"/>
  <c r="Y167" i="3"/>
  <c r="CC165" i="3"/>
  <c r="CD165" i="3" s="1"/>
  <c r="BV164" i="3"/>
  <c r="Y162" i="3"/>
  <c r="AZ196" i="3"/>
  <c r="BA196" i="3" s="1"/>
  <c r="BB196" i="3" s="1"/>
  <c r="Y191" i="3"/>
  <c r="Y187" i="3"/>
  <c r="BV182" i="3"/>
  <c r="Y203" i="3"/>
  <c r="AZ222" i="3"/>
  <c r="BA222" i="3" s="1"/>
  <c r="BB222" i="3" s="1"/>
  <c r="BY221" i="3"/>
  <c r="BY240" i="3"/>
  <c r="AZ234" i="3"/>
  <c r="BA234" i="3" s="1"/>
  <c r="BB234" i="3" s="1"/>
  <c r="BP261" i="3"/>
  <c r="AZ274" i="3"/>
  <c r="BA274" i="3" s="1"/>
  <c r="BB274" i="3" s="1"/>
  <c r="BP270" i="3"/>
  <c r="BY291" i="3"/>
  <c r="AF310" i="3"/>
  <c r="AH310" i="3"/>
  <c r="Y309" i="3"/>
  <c r="Y350" i="3"/>
  <c r="CC381" i="3"/>
  <c r="CD381" i="3" s="1"/>
  <c r="AH400" i="3"/>
  <c r="AF400" i="3"/>
  <c r="AF423" i="3"/>
  <c r="AH423" i="3"/>
  <c r="BV100" i="3"/>
  <c r="Y99" i="3"/>
  <c r="Y123" i="3"/>
  <c r="BP112" i="3"/>
  <c r="AZ110" i="3"/>
  <c r="BA110" i="3" s="1"/>
  <c r="BB110" i="3" s="1"/>
  <c r="BP142" i="3"/>
  <c r="AZ159" i="3"/>
  <c r="BA159" i="3" s="1"/>
  <c r="BB159" i="3" s="1"/>
  <c r="BY157" i="3"/>
  <c r="Y155" i="3"/>
  <c r="AH145" i="3"/>
  <c r="AJ145" i="3" s="1"/>
  <c r="AK145" i="3" s="1"/>
  <c r="BP178" i="3"/>
  <c r="CC177" i="3"/>
  <c r="CD177" i="3" s="1"/>
  <c r="BP172" i="3"/>
  <c r="AZ171" i="3"/>
  <c r="BA171" i="3" s="1"/>
  <c r="BB171" i="3" s="1"/>
  <c r="BV169" i="3"/>
  <c r="BP168" i="3"/>
  <c r="BY165" i="3"/>
  <c r="BZ165" i="3" s="1"/>
  <c r="CC195" i="3"/>
  <c r="CD195" i="3" s="1"/>
  <c r="BV194" i="3"/>
  <c r="Y192" i="3"/>
  <c r="AZ191" i="3"/>
  <c r="BA191" i="3" s="1"/>
  <c r="BB191" i="3" s="1"/>
  <c r="Y212" i="3"/>
  <c r="Y206" i="3"/>
  <c r="BV230" i="3"/>
  <c r="AZ225" i="3"/>
  <c r="BA225" i="3" s="1"/>
  <c r="BB225" i="3" s="1"/>
  <c r="BV217" i="3"/>
  <c r="AZ245" i="3"/>
  <c r="BA245" i="3" s="1"/>
  <c r="BB245" i="3" s="1"/>
  <c r="CC243" i="3"/>
  <c r="CD243" i="3" s="1"/>
  <c r="BP267" i="3"/>
  <c r="BP266" i="3"/>
  <c r="BV262" i="3"/>
  <c r="AZ257" i="3"/>
  <c r="BA257" i="3" s="1"/>
  <c r="BB257" i="3" s="1"/>
  <c r="BV255" i="3"/>
  <c r="Y252" i="3"/>
  <c r="AZ279" i="3"/>
  <c r="BA279" i="3" s="1"/>
  <c r="BB279" i="3" s="1"/>
  <c r="BY277" i="3"/>
  <c r="Y275" i="3"/>
  <c r="AZ270" i="3"/>
  <c r="BA270" i="3" s="1"/>
  <c r="BB270" i="3" s="1"/>
  <c r="Y270" i="3"/>
  <c r="BY302" i="3"/>
  <c r="AH297" i="3"/>
  <c r="AJ297" i="3" s="1"/>
  <c r="AK297" i="3" s="1"/>
  <c r="Y322" i="3"/>
  <c r="AU321" i="3"/>
  <c r="CC316" i="3"/>
  <c r="CD316" i="3" s="1"/>
  <c r="CC312" i="3"/>
  <c r="CD312" i="3" s="1"/>
  <c r="AF385" i="3"/>
  <c r="AH385" i="3"/>
  <c r="BV90" i="3"/>
  <c r="BZ90" i="3" s="1"/>
  <c r="AZ123" i="3"/>
  <c r="BA123" i="3" s="1"/>
  <c r="BB123" i="3" s="1"/>
  <c r="CC121" i="3"/>
  <c r="CD121" i="3" s="1"/>
  <c r="CC140" i="3"/>
  <c r="CD140" i="3" s="1"/>
  <c r="AU133" i="3"/>
  <c r="BY132" i="3"/>
  <c r="BP153" i="3"/>
  <c r="CC146" i="3"/>
  <c r="CD146" i="3" s="1"/>
  <c r="AU177" i="3"/>
  <c r="BP173" i="3"/>
  <c r="AZ172" i="3"/>
  <c r="BA172" i="3" s="1"/>
  <c r="BB172" i="3" s="1"/>
  <c r="AZ167" i="3"/>
  <c r="BA167" i="3" s="1"/>
  <c r="BB167" i="3" s="1"/>
  <c r="Y163" i="3"/>
  <c r="BY195" i="3"/>
  <c r="BP193" i="3"/>
  <c r="CC191" i="3"/>
  <c r="CD191" i="3" s="1"/>
  <c r="AO207" i="3"/>
  <c r="AP207" i="3" s="1"/>
  <c r="AU207" i="3" s="1"/>
  <c r="CC202" i="3"/>
  <c r="CD202" i="3" s="1"/>
  <c r="AZ232" i="3"/>
  <c r="BA232" i="3" s="1"/>
  <c r="BB232" i="3" s="1"/>
  <c r="CC228" i="3"/>
  <c r="CD228" i="3" s="1"/>
  <c r="CC224" i="3"/>
  <c r="CD224" i="3" s="1"/>
  <c r="CC249" i="3"/>
  <c r="CD249" i="3" s="1"/>
  <c r="Y247" i="3"/>
  <c r="CC245" i="3"/>
  <c r="CD245" i="3" s="1"/>
  <c r="CC244" i="3"/>
  <c r="CD244" i="3" s="1"/>
  <c r="CC242" i="3"/>
  <c r="CD242" i="3" s="1"/>
  <c r="BP236" i="3"/>
  <c r="CC263" i="3"/>
  <c r="CD263" i="3" s="1"/>
  <c r="CC258" i="3"/>
  <c r="CD258" i="3" s="1"/>
  <c r="CC256" i="3"/>
  <c r="CD256" i="3" s="1"/>
  <c r="AZ252" i="3"/>
  <c r="BA252" i="3" s="1"/>
  <c r="BB252" i="3" s="1"/>
  <c r="CC285" i="3"/>
  <c r="CD285" i="3" s="1"/>
  <c r="BY278" i="3"/>
  <c r="BP276" i="3"/>
  <c r="AZ275" i="3"/>
  <c r="BA275" i="3" s="1"/>
  <c r="BB275" i="3" s="1"/>
  <c r="AU270" i="3"/>
  <c r="CC303" i="3"/>
  <c r="CD303" i="3" s="1"/>
  <c r="AH356" i="3"/>
  <c r="AF356" i="3"/>
  <c r="CC374" i="3"/>
  <c r="CD374" i="3" s="1"/>
  <c r="CC321" i="3"/>
  <c r="CD321" i="3" s="1"/>
  <c r="BY314" i="3"/>
  <c r="AF334" i="3"/>
  <c r="AJ334" i="3" s="1"/>
  <c r="AK334" i="3" s="1"/>
  <c r="BV325" i="3"/>
  <c r="CC354" i="3"/>
  <c r="CD354" i="3" s="1"/>
  <c r="BV353" i="3"/>
  <c r="AF353" i="3"/>
  <c r="AJ353" i="3" s="1"/>
  <c r="AK353" i="3" s="1"/>
  <c r="AU348" i="3"/>
  <c r="AU376" i="3"/>
  <c r="BY374" i="3"/>
  <c r="AZ369" i="3"/>
  <c r="BA369" i="3" s="1"/>
  <c r="BB369" i="3" s="1"/>
  <c r="AZ368" i="3"/>
  <c r="BA368" i="3" s="1"/>
  <c r="BB368" i="3" s="1"/>
  <c r="CC367" i="3"/>
  <c r="CD367" i="3" s="1"/>
  <c r="BV393" i="3"/>
  <c r="BZ393" i="3" s="1"/>
  <c r="AF392" i="3"/>
  <c r="AJ392" i="3" s="1"/>
  <c r="AK392" i="3" s="1"/>
  <c r="Y386" i="3"/>
  <c r="CC411" i="3"/>
  <c r="CD411" i="3" s="1"/>
  <c r="CC397" i="3"/>
  <c r="CD397" i="3" s="1"/>
  <c r="CC428" i="3"/>
  <c r="CD428" i="3" s="1"/>
  <c r="AO427" i="3"/>
  <c r="AP427" i="3" s="1"/>
  <c r="AU427" i="3" s="1"/>
  <c r="CC424" i="3"/>
  <c r="CD424" i="3" s="1"/>
  <c r="BV416" i="3"/>
  <c r="AZ414" i="3"/>
  <c r="BA414" i="3" s="1"/>
  <c r="BB414" i="3" s="1"/>
  <c r="BV442" i="3"/>
  <c r="AF442" i="3"/>
  <c r="AJ442" i="3" s="1"/>
  <c r="AK442" i="3" s="1"/>
  <c r="AZ440" i="3"/>
  <c r="BA440" i="3" s="1"/>
  <c r="BB440" i="3" s="1"/>
  <c r="BO437" i="3"/>
  <c r="BP437" i="3" s="1"/>
  <c r="AZ432" i="3"/>
  <c r="BA432" i="3" s="1"/>
  <c r="BB432" i="3" s="1"/>
  <c r="CC458" i="3"/>
  <c r="CD458" i="3" s="1"/>
  <c r="BV457" i="3"/>
  <c r="BZ457" i="3" s="1"/>
  <c r="BV535" i="3"/>
  <c r="Y533" i="3"/>
  <c r="Y574" i="3"/>
  <c r="CC580" i="3"/>
  <c r="CD580" i="3" s="1"/>
  <c r="AH601" i="3"/>
  <c r="AF601" i="3"/>
  <c r="Y661" i="3"/>
  <c r="BP365" i="3"/>
  <c r="BP386" i="3"/>
  <c r="BY458" i="3"/>
  <c r="Y455" i="3"/>
  <c r="BV452" i="3"/>
  <c r="BP483" i="3"/>
  <c r="CC481" i="3"/>
  <c r="CD481" i="3" s="1"/>
  <c r="BY476" i="3"/>
  <c r="BY501" i="3"/>
  <c r="CC493" i="3"/>
  <c r="CD493" i="3" s="1"/>
  <c r="CC536" i="3"/>
  <c r="CD536" i="3" s="1"/>
  <c r="Y669" i="3"/>
  <c r="BV322" i="3"/>
  <c r="CC315" i="3"/>
  <c r="CD315" i="3" s="1"/>
  <c r="BV312" i="3"/>
  <c r="BP309" i="3"/>
  <c r="AZ307" i="3"/>
  <c r="BA307" i="3" s="1"/>
  <c r="BB307" i="3" s="1"/>
  <c r="AZ306" i="3"/>
  <c r="BA306" i="3" s="1"/>
  <c r="BB306" i="3" s="1"/>
  <c r="BY340" i="3"/>
  <c r="BV338" i="3"/>
  <c r="BV327" i="3"/>
  <c r="AZ358" i="3"/>
  <c r="BA358" i="3" s="1"/>
  <c r="BB358" i="3" s="1"/>
  <c r="CC357" i="3"/>
  <c r="CD357" i="3" s="1"/>
  <c r="Y357" i="3"/>
  <c r="BV354" i="3"/>
  <c r="BP352" i="3"/>
  <c r="BP345" i="3"/>
  <c r="AH345" i="3"/>
  <c r="AJ345" i="3" s="1"/>
  <c r="AK345" i="3" s="1"/>
  <c r="BV374" i="3"/>
  <c r="Y391" i="3"/>
  <c r="Y390" i="3"/>
  <c r="Y387" i="3"/>
  <c r="BV382" i="3"/>
  <c r="AU412" i="3"/>
  <c r="AH428" i="3"/>
  <c r="AJ428" i="3" s="1"/>
  <c r="AK428" i="3" s="1"/>
  <c r="AZ425" i="3"/>
  <c r="BA425" i="3" s="1"/>
  <c r="BB425" i="3" s="1"/>
  <c r="AO422" i="3"/>
  <c r="AP422" i="3" s="1"/>
  <c r="AU422" i="3" s="1"/>
  <c r="BV419" i="3"/>
  <c r="BP418" i="3"/>
  <c r="BY417" i="3"/>
  <c r="AO417" i="3"/>
  <c r="AP417" i="3" s="1"/>
  <c r="AU417" i="3" s="1"/>
  <c r="AF443" i="3"/>
  <c r="AJ443" i="3" s="1"/>
  <c r="AK443" i="3" s="1"/>
  <c r="CC435" i="3"/>
  <c r="CD435" i="3" s="1"/>
  <c r="Y433" i="3"/>
  <c r="Y463" i="3"/>
  <c r="BV458" i="3"/>
  <c r="BP455" i="3"/>
  <c r="AZ483" i="3"/>
  <c r="BA483" i="3" s="1"/>
  <c r="BB483" i="3" s="1"/>
  <c r="BY481" i="3"/>
  <c r="AH480" i="3"/>
  <c r="AJ480" i="3" s="1"/>
  <c r="AK480" i="3" s="1"/>
  <c r="BV471" i="3"/>
  <c r="AF486" i="3"/>
  <c r="AJ486" i="3" s="1"/>
  <c r="AK486" i="3" s="1"/>
  <c r="AF676" i="3"/>
  <c r="AH676" i="3"/>
  <c r="AH397" i="3"/>
  <c r="AJ397" i="3" s="1"/>
  <c r="AK397" i="3" s="1"/>
  <c r="BV424" i="3"/>
  <c r="AF562" i="3"/>
  <c r="AH562" i="3"/>
  <c r="AF621" i="3"/>
  <c r="AH621" i="3"/>
  <c r="AH314" i="3"/>
  <c r="AJ314" i="3" s="1"/>
  <c r="AK314" i="3" s="1"/>
  <c r="CC306" i="3"/>
  <c r="CD306" i="3" s="1"/>
  <c r="Y334" i="3"/>
  <c r="CC329" i="3"/>
  <c r="CD329" i="3" s="1"/>
  <c r="BP326" i="3"/>
  <c r="CC356" i="3"/>
  <c r="CD356" i="3" s="1"/>
  <c r="CC342" i="3"/>
  <c r="CD342" i="3" s="1"/>
  <c r="BY369" i="3"/>
  <c r="BV361" i="3"/>
  <c r="BZ361" i="3" s="1"/>
  <c r="CC386" i="3"/>
  <c r="CD386" i="3" s="1"/>
  <c r="CC384" i="3"/>
  <c r="CD384" i="3" s="1"/>
  <c r="AZ380" i="3"/>
  <c r="BA380" i="3" s="1"/>
  <c r="BB380" i="3" s="1"/>
  <c r="CC378" i="3"/>
  <c r="CD378" i="3" s="1"/>
  <c r="BV411" i="3"/>
  <c r="Y402" i="3"/>
  <c r="BP430" i="3"/>
  <c r="BP423" i="3"/>
  <c r="Y419" i="3"/>
  <c r="AO414" i="3"/>
  <c r="AP414" i="3" s="1"/>
  <c r="AU414" i="3" s="1"/>
  <c r="BV445" i="3"/>
  <c r="Y442" i="3"/>
  <c r="CC440" i="3"/>
  <c r="CD440" i="3" s="1"/>
  <c r="CC462" i="3"/>
  <c r="CD462" i="3" s="1"/>
  <c r="BP452" i="3"/>
  <c r="Y451" i="3"/>
  <c r="CC483" i="3"/>
  <c r="CD483" i="3" s="1"/>
  <c r="CC473" i="3"/>
  <c r="CD473" i="3" s="1"/>
  <c r="Y540" i="3"/>
  <c r="Y631" i="3"/>
  <c r="BM655" i="3"/>
  <c r="BO655" i="3"/>
  <c r="BP322" i="3"/>
  <c r="AZ318" i="3"/>
  <c r="BA318" i="3" s="1"/>
  <c r="BB318" i="3" s="1"/>
  <c r="CC307" i="3"/>
  <c r="CD307" i="3" s="1"/>
  <c r="BP334" i="3"/>
  <c r="AZ333" i="3"/>
  <c r="BA333" i="3" s="1"/>
  <c r="BB333" i="3" s="1"/>
  <c r="Y332" i="3"/>
  <c r="CC358" i="3"/>
  <c r="CD358" i="3" s="1"/>
  <c r="AZ355" i="3"/>
  <c r="BA355" i="3" s="1"/>
  <c r="BB355" i="3" s="1"/>
  <c r="AU351" i="3"/>
  <c r="AU343" i="3"/>
  <c r="BY342" i="3"/>
  <c r="BV376" i="3"/>
  <c r="AZ371" i="3"/>
  <c r="BA371" i="3" s="1"/>
  <c r="BB371" i="3" s="1"/>
  <c r="CC370" i="3"/>
  <c r="CD370" i="3" s="1"/>
  <c r="BV369" i="3"/>
  <c r="CC365" i="3"/>
  <c r="CD365" i="3" s="1"/>
  <c r="AH364" i="3"/>
  <c r="AJ364" i="3" s="1"/>
  <c r="AK364" i="3" s="1"/>
  <c r="AZ392" i="3"/>
  <c r="BA392" i="3" s="1"/>
  <c r="BB392" i="3" s="1"/>
  <c r="CC388" i="3"/>
  <c r="CD388" i="3" s="1"/>
  <c r="CC387" i="3"/>
  <c r="CD387" i="3" s="1"/>
  <c r="AH382" i="3"/>
  <c r="AJ382" i="3" s="1"/>
  <c r="AK382" i="3" s="1"/>
  <c r="Y381" i="3"/>
  <c r="Y409" i="3"/>
  <c r="CC407" i="3"/>
  <c r="CD407" i="3" s="1"/>
  <c r="BV398" i="3"/>
  <c r="AO425" i="3"/>
  <c r="AP425" i="3" s="1"/>
  <c r="AU425" i="3" s="1"/>
  <c r="AO420" i="3"/>
  <c r="AP420" i="3" s="1"/>
  <c r="Y444" i="3"/>
  <c r="BV435" i="3"/>
  <c r="AH465" i="3"/>
  <c r="AJ465" i="3" s="1"/>
  <c r="AK465" i="3" s="1"/>
  <c r="BV460" i="3"/>
  <c r="CC456" i="3"/>
  <c r="CD456" i="3" s="1"/>
  <c r="BV477" i="3"/>
  <c r="BZ477" i="3" s="1"/>
  <c r="Y470" i="3"/>
  <c r="CC547" i="3"/>
  <c r="CD547" i="3" s="1"/>
  <c r="Y544" i="3"/>
  <c r="AU583" i="3"/>
  <c r="AH622" i="3"/>
  <c r="AF622" i="3"/>
  <c r="Y643" i="3"/>
  <c r="AZ310" i="3"/>
  <c r="BA310" i="3" s="1"/>
  <c r="BB310" i="3" s="1"/>
  <c r="BP336" i="3"/>
  <c r="AZ334" i="3"/>
  <c r="BA334" i="3" s="1"/>
  <c r="BB334" i="3" s="1"/>
  <c r="AZ353" i="3"/>
  <c r="BA353" i="3" s="1"/>
  <c r="BB353" i="3" s="1"/>
  <c r="AZ366" i="3"/>
  <c r="BA366" i="3" s="1"/>
  <c r="BB366" i="3" s="1"/>
  <c r="AZ403" i="3"/>
  <c r="BA403" i="3" s="1"/>
  <c r="BB403" i="3" s="1"/>
  <c r="AZ443" i="3"/>
  <c r="BA443" i="3" s="1"/>
  <c r="BB443" i="3" s="1"/>
  <c r="AZ442" i="3"/>
  <c r="BA442" i="3" s="1"/>
  <c r="BB442" i="3" s="1"/>
  <c r="AZ434" i="3"/>
  <c r="BA434" i="3" s="1"/>
  <c r="BB434" i="3" s="1"/>
  <c r="AZ457" i="3"/>
  <c r="BA457" i="3" s="1"/>
  <c r="BB457" i="3" s="1"/>
  <c r="BP475" i="3"/>
  <c r="BP470" i="3"/>
  <c r="AF648" i="3"/>
  <c r="AH648" i="3"/>
  <c r="Y290" i="3"/>
  <c r="AZ319" i="3"/>
  <c r="BA319" i="3" s="1"/>
  <c r="BB319" i="3" s="1"/>
  <c r="BV317" i="3"/>
  <c r="BP313" i="3"/>
  <c r="Y337" i="3"/>
  <c r="AZ336" i="3"/>
  <c r="BA336" i="3" s="1"/>
  <c r="BB336" i="3" s="1"/>
  <c r="AZ335" i="3"/>
  <c r="BA335" i="3" s="1"/>
  <c r="BB335" i="3" s="1"/>
  <c r="BV356" i="3"/>
  <c r="Y354" i="3"/>
  <c r="AU353" i="3"/>
  <c r="BV350" i="3"/>
  <c r="AU344" i="3"/>
  <c r="BP374" i="3"/>
  <c r="AU371" i="3"/>
  <c r="AF362" i="3"/>
  <c r="AJ362" i="3" s="1"/>
  <c r="AK362" i="3" s="1"/>
  <c r="AZ393" i="3"/>
  <c r="BA393" i="3" s="1"/>
  <c r="BB393" i="3" s="1"/>
  <c r="BV390" i="3"/>
  <c r="BV387" i="3"/>
  <c r="BP381" i="3"/>
  <c r="CC380" i="3"/>
  <c r="CD380" i="3" s="1"/>
  <c r="BV399" i="3"/>
  <c r="BP398" i="3"/>
  <c r="Y397" i="3"/>
  <c r="AZ396" i="3"/>
  <c r="BA396" i="3" s="1"/>
  <c r="BB396" i="3" s="1"/>
  <c r="Y428" i="3"/>
  <c r="AZ427" i="3"/>
  <c r="BA427" i="3" s="1"/>
  <c r="BB427" i="3" s="1"/>
  <c r="BV425" i="3"/>
  <c r="AO423" i="3"/>
  <c r="AP423" i="3" s="1"/>
  <c r="AU423" i="3" s="1"/>
  <c r="BV420" i="3"/>
  <c r="BY418" i="3"/>
  <c r="BZ418" i="3" s="1"/>
  <c r="AH418" i="3"/>
  <c r="AJ418" i="3" s="1"/>
  <c r="AK418" i="3" s="1"/>
  <c r="Y417" i="3"/>
  <c r="AO415" i="3"/>
  <c r="AP415" i="3" s="1"/>
  <c r="AZ448" i="3"/>
  <c r="BA448" i="3" s="1"/>
  <c r="BB448" i="3" s="1"/>
  <c r="BV446" i="3"/>
  <c r="BV440" i="3"/>
  <c r="AZ439" i="3"/>
  <c r="BA439" i="3" s="1"/>
  <c r="BB439" i="3" s="1"/>
  <c r="AH436" i="3"/>
  <c r="AJ436" i="3" s="1"/>
  <c r="AK436" i="3" s="1"/>
  <c r="BV432" i="3"/>
  <c r="BY462" i="3"/>
  <c r="AF461" i="3"/>
  <c r="AJ461" i="3" s="1"/>
  <c r="AK461" i="3" s="1"/>
  <c r="AF460" i="3"/>
  <c r="AJ460" i="3" s="1"/>
  <c r="AK460" i="3" s="1"/>
  <c r="Y458" i="3"/>
  <c r="BY455" i="3"/>
  <c r="AF454" i="3"/>
  <c r="AJ454" i="3" s="1"/>
  <c r="AK454" i="3" s="1"/>
  <c r="CC450" i="3"/>
  <c r="CD450" i="3" s="1"/>
  <c r="BY484" i="3"/>
  <c r="BP482" i="3"/>
  <c r="AF482" i="3"/>
  <c r="AJ482" i="3" s="1"/>
  <c r="AK482" i="3" s="1"/>
  <c r="AZ480" i="3"/>
  <c r="BA480" i="3" s="1"/>
  <c r="BB480" i="3" s="1"/>
  <c r="AZ475" i="3"/>
  <c r="BA475" i="3" s="1"/>
  <c r="BB475" i="3" s="1"/>
  <c r="BV473" i="3"/>
  <c r="AZ473" i="3"/>
  <c r="BA473" i="3" s="1"/>
  <c r="BB473" i="3" s="1"/>
  <c r="Y497" i="3"/>
  <c r="BP563" i="3"/>
  <c r="Y576" i="3"/>
  <c r="BV644" i="3"/>
  <c r="BP315" i="3"/>
  <c r="BY331" i="3"/>
  <c r="BY324" i="3"/>
  <c r="BP355" i="3"/>
  <c r="BY343" i="3"/>
  <c r="AZ394" i="3"/>
  <c r="BA394" i="3" s="1"/>
  <c r="BB394" i="3" s="1"/>
  <c r="BC394" i="3" s="1"/>
  <c r="AZ381" i="3"/>
  <c r="BA381" i="3" s="1"/>
  <c r="BB381" i="3" s="1"/>
  <c r="AZ410" i="3"/>
  <c r="BA410" i="3" s="1"/>
  <c r="BB410" i="3" s="1"/>
  <c r="BY408" i="3"/>
  <c r="BY401" i="3"/>
  <c r="BZ401" i="3" s="1"/>
  <c r="BV400" i="3"/>
  <c r="AO430" i="3"/>
  <c r="AP430" i="3" s="1"/>
  <c r="AU430" i="3" s="1"/>
  <c r="AZ419" i="3"/>
  <c r="BA419" i="3" s="1"/>
  <c r="BB419" i="3" s="1"/>
  <c r="AZ452" i="3"/>
  <c r="BA452" i="3" s="1"/>
  <c r="BB452" i="3" s="1"/>
  <c r="AF478" i="3"/>
  <c r="AJ478" i="3" s="1"/>
  <c r="AK478" i="3" s="1"/>
  <c r="BP476" i="3"/>
  <c r="AH586" i="3"/>
  <c r="AF586" i="3"/>
  <c r="BV577" i="3"/>
  <c r="Y634" i="3"/>
  <c r="CC658" i="3"/>
  <c r="CD658" i="3" s="1"/>
  <c r="AZ653" i="3"/>
  <c r="BA653" i="3" s="1"/>
  <c r="BB653" i="3" s="1"/>
  <c r="BP290" i="3"/>
  <c r="CC289" i="3"/>
  <c r="CD289" i="3" s="1"/>
  <c r="AZ321" i="3"/>
  <c r="BA321" i="3" s="1"/>
  <c r="BB321" i="3" s="1"/>
  <c r="Y321" i="3"/>
  <c r="AZ320" i="3"/>
  <c r="BA320" i="3" s="1"/>
  <c r="BB320" i="3" s="1"/>
  <c r="CC319" i="3"/>
  <c r="CD319" i="3" s="1"/>
  <c r="AU313" i="3"/>
  <c r="CC311" i="3"/>
  <c r="CD311" i="3" s="1"/>
  <c r="AU311" i="3"/>
  <c r="BC311" i="3" s="1"/>
  <c r="BV309" i="3"/>
  <c r="BV308" i="3"/>
  <c r="AZ308" i="3"/>
  <c r="BA308" i="3" s="1"/>
  <c r="BB308" i="3" s="1"/>
  <c r="AZ339" i="3"/>
  <c r="BA339" i="3" s="1"/>
  <c r="BB339" i="3" s="1"/>
  <c r="CC336" i="3"/>
  <c r="CD336" i="3" s="1"/>
  <c r="BY333" i="3"/>
  <c r="BZ333" i="3" s="1"/>
  <c r="BV324" i="3"/>
  <c r="BV352" i="3"/>
  <c r="BY366" i="3"/>
  <c r="BP364" i="3"/>
  <c r="Y364" i="3"/>
  <c r="Y363" i="3"/>
  <c r="AZ360" i="3"/>
  <c r="BA360" i="3" s="1"/>
  <c r="BB360" i="3" s="1"/>
  <c r="CC394" i="3"/>
  <c r="CD394" i="3" s="1"/>
  <c r="AZ382" i="3"/>
  <c r="BA382" i="3" s="1"/>
  <c r="BB382" i="3" s="1"/>
  <c r="Y382" i="3"/>
  <c r="BP412" i="3"/>
  <c r="CC410" i="3"/>
  <c r="CD410" i="3" s="1"/>
  <c r="BV408" i="3"/>
  <c r="AZ397" i="3"/>
  <c r="BA397" i="3" s="1"/>
  <c r="BB397" i="3" s="1"/>
  <c r="BY430" i="3"/>
  <c r="BP424" i="3"/>
  <c r="BY423" i="3"/>
  <c r="AO421" i="3"/>
  <c r="AP421" i="3" s="1"/>
  <c r="AU421" i="3" s="1"/>
  <c r="CC416" i="3"/>
  <c r="CD416" i="3" s="1"/>
  <c r="AZ445" i="3"/>
  <c r="BA445" i="3" s="1"/>
  <c r="BB445" i="3" s="1"/>
  <c r="BY433" i="3"/>
  <c r="AZ466" i="3"/>
  <c r="BA466" i="3" s="1"/>
  <c r="BB466" i="3" s="1"/>
  <c r="AZ465" i="3"/>
  <c r="BA465" i="3" s="1"/>
  <c r="BB465" i="3" s="1"/>
  <c r="AZ464" i="3"/>
  <c r="BA464" i="3" s="1"/>
  <c r="BB464" i="3" s="1"/>
  <c r="BY463" i="3"/>
  <c r="AZ458" i="3"/>
  <c r="BA458" i="3" s="1"/>
  <c r="BB458" i="3" s="1"/>
  <c r="BY451" i="3"/>
  <c r="BV450" i="3"/>
  <c r="CC480" i="3"/>
  <c r="CD480" i="3" s="1"/>
  <c r="Y477" i="3"/>
  <c r="AZ476" i="3"/>
  <c r="BA476" i="3" s="1"/>
  <c r="BB476" i="3" s="1"/>
  <c r="AF627" i="3"/>
  <c r="AH627" i="3"/>
  <c r="BP490" i="3"/>
  <c r="Y520" i="3"/>
  <c r="Y519" i="3"/>
  <c r="Y518" i="3"/>
  <c r="CC516" i="3"/>
  <c r="CD516" i="3" s="1"/>
  <c r="CC510" i="3"/>
  <c r="CD510" i="3" s="1"/>
  <c r="BY506" i="3"/>
  <c r="BY536" i="3"/>
  <c r="BV529" i="3"/>
  <c r="AH526" i="3"/>
  <c r="AJ526" i="3" s="1"/>
  <c r="AK526" i="3" s="1"/>
  <c r="CC522" i="3"/>
  <c r="CD522" i="3" s="1"/>
  <c r="BV542" i="3"/>
  <c r="Y568" i="3"/>
  <c r="BV559" i="3"/>
  <c r="CC583" i="3"/>
  <c r="CD583" i="3" s="1"/>
  <c r="AU610" i="3"/>
  <c r="CC609" i="3"/>
  <c r="CD609" i="3" s="1"/>
  <c r="BV608" i="3"/>
  <c r="BV607" i="3"/>
  <c r="Y605" i="3"/>
  <c r="BY603" i="3"/>
  <c r="Y600" i="3"/>
  <c r="CC598" i="3"/>
  <c r="CD598" i="3" s="1"/>
  <c r="BV628" i="3"/>
  <c r="BP623" i="3"/>
  <c r="BV612" i="3"/>
  <c r="CC645" i="3"/>
  <c r="CD645" i="3" s="1"/>
  <c r="AO645" i="3"/>
  <c r="AP645" i="3" s="1"/>
  <c r="AU645" i="3" s="1"/>
  <c r="AO641" i="3"/>
  <c r="AP641" i="3" s="1"/>
  <c r="AU641" i="3" s="1"/>
  <c r="AO639" i="3"/>
  <c r="AP639" i="3" s="1"/>
  <c r="AU639" i="3" s="1"/>
  <c r="CC635" i="3"/>
  <c r="CD635" i="3" s="1"/>
  <c r="AF632" i="3"/>
  <c r="AJ632" i="3" s="1"/>
  <c r="AK632" i="3" s="1"/>
  <c r="BV657" i="3"/>
  <c r="CC654" i="3"/>
  <c r="CD654" i="3" s="1"/>
  <c r="AH678" i="3"/>
  <c r="AJ678" i="3" s="1"/>
  <c r="AK678" i="3" s="1"/>
  <c r="BP512" i="3"/>
  <c r="AH504" i="3"/>
  <c r="AJ504" i="3" s="1"/>
  <c r="AK504" i="3" s="1"/>
  <c r="AH538" i="3"/>
  <c r="AJ538" i="3" s="1"/>
  <c r="AK538" i="3" s="1"/>
  <c r="BP534" i="3"/>
  <c r="BP533" i="3"/>
  <c r="BV555" i="3"/>
  <c r="BP544" i="3"/>
  <c r="CC543" i="3"/>
  <c r="CD543" i="3" s="1"/>
  <c r="BP568" i="3"/>
  <c r="Y563" i="3"/>
  <c r="Y562" i="3"/>
  <c r="CC659" i="3"/>
  <c r="CD659" i="3" s="1"/>
  <c r="BP486" i="3"/>
  <c r="Y541" i="3"/>
  <c r="Y569" i="3"/>
  <c r="Y564" i="3"/>
  <c r="CC591" i="3"/>
  <c r="CD591" i="3" s="1"/>
  <c r="BY588" i="3"/>
  <c r="BV580" i="3"/>
  <c r="BP578" i="3"/>
  <c r="AF578" i="3"/>
  <c r="AJ578" i="3" s="1"/>
  <c r="AK578" i="3" s="1"/>
  <c r="CC610" i="3"/>
  <c r="CD610" i="3" s="1"/>
  <c r="AF608" i="3"/>
  <c r="AJ608" i="3" s="1"/>
  <c r="AK608" i="3" s="1"/>
  <c r="CC604" i="3"/>
  <c r="CD604" i="3" s="1"/>
  <c r="BV603" i="3"/>
  <c r="CC599" i="3"/>
  <c r="CD599" i="3" s="1"/>
  <c r="BV598" i="3"/>
  <c r="BV625" i="3"/>
  <c r="BP622" i="3"/>
  <c r="CC619" i="3"/>
  <c r="CD619" i="3" s="1"/>
  <c r="CC642" i="3"/>
  <c r="CD642" i="3" s="1"/>
  <c r="Y662" i="3"/>
  <c r="BV658" i="3"/>
  <c r="CC655" i="3"/>
  <c r="CD655" i="3" s="1"/>
  <c r="BV650" i="3"/>
  <c r="Y677" i="3"/>
  <c r="AH666" i="3"/>
  <c r="AJ666" i="3" s="1"/>
  <c r="AK666" i="3" s="1"/>
  <c r="BP498" i="3"/>
  <c r="Y491" i="3"/>
  <c r="CC518" i="3"/>
  <c r="CD518" i="3" s="1"/>
  <c r="Y509" i="3"/>
  <c r="CC532" i="3"/>
  <c r="CD532" i="3" s="1"/>
  <c r="BP527" i="3"/>
  <c r="CC523" i="3"/>
  <c r="CD523" i="3" s="1"/>
  <c r="CC551" i="3"/>
  <c r="CD551" i="3" s="1"/>
  <c r="Y570" i="3"/>
  <c r="CC567" i="3"/>
  <c r="CD567" i="3" s="1"/>
  <c r="CC561" i="3"/>
  <c r="CD561" i="3" s="1"/>
  <c r="BV589" i="3"/>
  <c r="Y612" i="3"/>
  <c r="BV641" i="3"/>
  <c r="BP638" i="3"/>
  <c r="BV635" i="3"/>
  <c r="Y657" i="3"/>
  <c r="BV654" i="3"/>
  <c r="BZ654" i="3" s="1"/>
  <c r="Y671" i="3"/>
  <c r="Y471" i="3"/>
  <c r="BV495" i="3"/>
  <c r="Y492" i="3"/>
  <c r="CC489" i="3"/>
  <c r="CD489" i="3" s="1"/>
  <c r="BV510" i="3"/>
  <c r="BV507" i="3"/>
  <c r="Y528" i="3"/>
  <c r="BP556" i="3"/>
  <c r="Y554" i="3"/>
  <c r="BV550" i="3"/>
  <c r="BP546" i="3"/>
  <c r="BV543" i="3"/>
  <c r="CC540" i="3"/>
  <c r="CD540" i="3" s="1"/>
  <c r="BV573" i="3"/>
  <c r="BV566" i="3"/>
  <c r="Y559" i="3"/>
  <c r="BV590" i="3"/>
  <c r="AH583" i="3"/>
  <c r="AJ583" i="3" s="1"/>
  <c r="AK583" i="3" s="1"/>
  <c r="Y607" i="3"/>
  <c r="AZ606" i="3"/>
  <c r="BA606" i="3" s="1"/>
  <c r="BB606" i="3" s="1"/>
  <c r="Y602" i="3"/>
  <c r="BV594" i="3"/>
  <c r="Y628" i="3"/>
  <c r="Y623" i="3"/>
  <c r="BY615" i="3"/>
  <c r="AO637" i="3"/>
  <c r="AP637" i="3" s="1"/>
  <c r="AU637" i="3" s="1"/>
  <c r="Y635" i="3"/>
  <c r="Y632" i="3"/>
  <c r="BV659" i="3"/>
  <c r="AF659" i="3"/>
  <c r="AJ659" i="3" s="1"/>
  <c r="AK659" i="3" s="1"/>
  <c r="Y678" i="3"/>
  <c r="BV468" i="3"/>
  <c r="AU498" i="3"/>
  <c r="CC487" i="3"/>
  <c r="CD487" i="3" s="1"/>
  <c r="Y515" i="3"/>
  <c r="BV511" i="3"/>
  <c r="CC508" i="3"/>
  <c r="CD508" i="3" s="1"/>
  <c r="AH507" i="3"/>
  <c r="AJ507" i="3" s="1"/>
  <c r="AK507" i="3" s="1"/>
  <c r="BP506" i="3"/>
  <c r="CC534" i="3"/>
  <c r="CD534" i="3" s="1"/>
  <c r="CC533" i="3"/>
  <c r="CD533" i="3" s="1"/>
  <c r="BP529" i="3"/>
  <c r="CC524" i="3"/>
  <c r="CD524" i="3" s="1"/>
  <c r="BP554" i="3"/>
  <c r="BY551" i="3"/>
  <c r="Y546" i="3"/>
  <c r="BP542" i="3"/>
  <c r="Y542" i="3"/>
  <c r="Y571" i="3"/>
  <c r="CC569" i="3"/>
  <c r="CD569" i="3" s="1"/>
  <c r="Y565" i="3"/>
  <c r="AZ564" i="3"/>
  <c r="BA564" i="3" s="1"/>
  <c r="BB564" i="3" s="1"/>
  <c r="AZ558" i="3"/>
  <c r="BA558" i="3" s="1"/>
  <c r="BB558" i="3" s="1"/>
  <c r="CC592" i="3"/>
  <c r="CD592" i="3" s="1"/>
  <c r="CC586" i="3"/>
  <c r="CD586" i="3" s="1"/>
  <c r="BP580" i="3"/>
  <c r="Y579" i="3"/>
  <c r="BV610" i="3"/>
  <c r="BV599" i="3"/>
  <c r="Y597" i="3"/>
  <c r="Y625" i="3"/>
  <c r="CC623" i="3"/>
  <c r="CD623" i="3" s="1"/>
  <c r="CC622" i="3"/>
  <c r="CD622" i="3" s="1"/>
  <c r="BV619" i="3"/>
  <c r="CC617" i="3"/>
  <c r="CD617" i="3" s="1"/>
  <c r="CC646" i="3"/>
  <c r="CD646" i="3" s="1"/>
  <c r="AO646" i="3"/>
  <c r="AP646" i="3" s="1"/>
  <c r="AU646" i="3" s="1"/>
  <c r="Y645" i="3"/>
  <c r="AZ644" i="3"/>
  <c r="BA644" i="3" s="1"/>
  <c r="BB644" i="3" s="1"/>
  <c r="BY643" i="3"/>
  <c r="CC631" i="3"/>
  <c r="CD631" i="3" s="1"/>
  <c r="AZ657" i="3"/>
  <c r="BA657" i="3" s="1"/>
  <c r="BB657" i="3" s="1"/>
  <c r="AH511" i="3"/>
  <c r="AJ511" i="3" s="1"/>
  <c r="AK511" i="3" s="1"/>
  <c r="BY508" i="3"/>
  <c r="BY533" i="3"/>
  <c r="AZ529" i="3"/>
  <c r="BA529" i="3" s="1"/>
  <c r="BB529" i="3" s="1"/>
  <c r="AZ526" i="3"/>
  <c r="BA526" i="3" s="1"/>
  <c r="BB526" i="3" s="1"/>
  <c r="AZ554" i="3"/>
  <c r="BA554" i="3" s="1"/>
  <c r="BB554" i="3" s="1"/>
  <c r="AH550" i="3"/>
  <c r="AJ550" i="3" s="1"/>
  <c r="AK550" i="3" s="1"/>
  <c r="AZ542" i="3"/>
  <c r="BA542" i="3" s="1"/>
  <c r="BB542" i="3" s="1"/>
  <c r="AH574" i="3"/>
  <c r="AJ574" i="3" s="1"/>
  <c r="AK574" i="3" s="1"/>
  <c r="BY592" i="3"/>
  <c r="BZ592" i="3" s="1"/>
  <c r="AZ587" i="3"/>
  <c r="BA587" i="3" s="1"/>
  <c r="BB587" i="3" s="1"/>
  <c r="BP582" i="3"/>
  <c r="BP597" i="3"/>
  <c r="BY595" i="3"/>
  <c r="AU623" i="3"/>
  <c r="BY616" i="3"/>
  <c r="BY646" i="3"/>
  <c r="BY637" i="3"/>
  <c r="AH637" i="3"/>
  <c r="AJ637" i="3" s="1"/>
  <c r="AK637" i="3" s="1"/>
  <c r="BY662" i="3"/>
  <c r="BY656" i="3"/>
  <c r="AH655" i="3"/>
  <c r="AJ655" i="3" s="1"/>
  <c r="AK655" i="3" s="1"/>
  <c r="Y478" i="3"/>
  <c r="CC470" i="3"/>
  <c r="CD470" i="3" s="1"/>
  <c r="BP468" i="3"/>
  <c r="AZ502" i="3"/>
  <c r="BA502" i="3" s="1"/>
  <c r="BB502" i="3" s="1"/>
  <c r="Y502" i="3"/>
  <c r="CC498" i="3"/>
  <c r="CD498" i="3" s="1"/>
  <c r="BV497" i="3"/>
  <c r="Y493" i="3"/>
  <c r="AZ492" i="3"/>
  <c r="BA492" i="3" s="1"/>
  <c r="BB492" i="3" s="1"/>
  <c r="CC514" i="3"/>
  <c r="CD514" i="3" s="1"/>
  <c r="BV512" i="3"/>
  <c r="Y510" i="3"/>
  <c r="AZ505" i="3"/>
  <c r="BA505" i="3" s="1"/>
  <c r="BB505" i="3" s="1"/>
  <c r="AZ537" i="3"/>
  <c r="BA537" i="3" s="1"/>
  <c r="BB537" i="3" s="1"/>
  <c r="BP530" i="3"/>
  <c r="CC527" i="3"/>
  <c r="CD527" i="3" s="1"/>
  <c r="CC525" i="3"/>
  <c r="CD525" i="3" s="1"/>
  <c r="BV552" i="3"/>
  <c r="BV551" i="3"/>
  <c r="BP547" i="3"/>
  <c r="Y547" i="3"/>
  <c r="CC545" i="3"/>
  <c r="CD545" i="3" s="1"/>
  <c r="CC541" i="3"/>
  <c r="CD541" i="3" s="1"/>
  <c r="CC570" i="3"/>
  <c r="CD570" i="3" s="1"/>
  <c r="AH567" i="3"/>
  <c r="AJ567" i="3" s="1"/>
  <c r="AK567" i="3" s="1"/>
  <c r="BV562" i="3"/>
  <c r="Y560" i="3"/>
  <c r="BP590" i="3"/>
  <c r="Y588" i="3"/>
  <c r="BV585" i="3"/>
  <c r="CC578" i="3"/>
  <c r="CD578" i="3" s="1"/>
  <c r="BV576" i="3"/>
  <c r="Y609" i="3"/>
  <c r="CC606" i="3"/>
  <c r="CD606" i="3" s="1"/>
  <c r="AZ602" i="3"/>
  <c r="BA602" i="3" s="1"/>
  <c r="BB602" i="3" s="1"/>
  <c r="BV600" i="3"/>
  <c r="AZ597" i="3"/>
  <c r="BA597" i="3" s="1"/>
  <c r="BB597" i="3" s="1"/>
  <c r="CC596" i="3"/>
  <c r="CD596" i="3" s="1"/>
  <c r="Y594" i="3"/>
  <c r="BY627" i="3"/>
  <c r="CC624" i="3"/>
  <c r="CD624" i="3" s="1"/>
  <c r="BV621" i="3"/>
  <c r="AH620" i="3"/>
  <c r="AJ620" i="3" s="1"/>
  <c r="AK620" i="3" s="1"/>
  <c r="BP619" i="3"/>
  <c r="BY617" i="3"/>
  <c r="BV643" i="3"/>
  <c r="AH643" i="3"/>
  <c r="AJ643" i="3" s="1"/>
  <c r="AK643" i="3" s="1"/>
  <c r="Y641" i="3"/>
  <c r="CC639" i="3"/>
  <c r="CD639" i="3" s="1"/>
  <c r="AZ639" i="3"/>
  <c r="BA639" i="3" s="1"/>
  <c r="BB639" i="3" s="1"/>
  <c r="CC663" i="3"/>
  <c r="CD663" i="3" s="1"/>
  <c r="AZ658" i="3"/>
  <c r="BA658" i="3" s="1"/>
  <c r="BB658" i="3" s="1"/>
  <c r="AF656" i="3"/>
  <c r="AJ656" i="3" s="1"/>
  <c r="AK656" i="3" s="1"/>
  <c r="AZ650" i="3"/>
  <c r="BA650" i="3" s="1"/>
  <c r="BB650" i="3" s="1"/>
  <c r="AZ493" i="3"/>
  <c r="BA493" i="3" s="1"/>
  <c r="BB493" i="3" s="1"/>
  <c r="AZ515" i="3"/>
  <c r="BA515" i="3" s="1"/>
  <c r="BB515" i="3" s="1"/>
  <c r="BY514" i="3"/>
  <c r="BY527" i="3"/>
  <c r="AZ556" i="3"/>
  <c r="BA556" i="3" s="1"/>
  <c r="BB556" i="3" s="1"/>
  <c r="AZ548" i="3"/>
  <c r="BA548" i="3" s="1"/>
  <c r="BB548" i="3" s="1"/>
  <c r="AZ547" i="3"/>
  <c r="BA547" i="3" s="1"/>
  <c r="BB547" i="3" s="1"/>
  <c r="AZ546" i="3"/>
  <c r="BA546" i="3" s="1"/>
  <c r="BB546" i="3" s="1"/>
  <c r="AZ571" i="3"/>
  <c r="BA571" i="3" s="1"/>
  <c r="BB571" i="3" s="1"/>
  <c r="AZ565" i="3"/>
  <c r="BA565" i="3" s="1"/>
  <c r="BB565" i="3" s="1"/>
  <c r="AZ560" i="3"/>
  <c r="BA560" i="3" s="1"/>
  <c r="BB560" i="3" s="1"/>
  <c r="AZ588" i="3"/>
  <c r="BA588" i="3" s="1"/>
  <c r="BB588" i="3" s="1"/>
  <c r="AZ579" i="3"/>
  <c r="BA579" i="3" s="1"/>
  <c r="BB579" i="3" s="1"/>
  <c r="AZ603" i="3"/>
  <c r="BA603" i="3" s="1"/>
  <c r="BB603" i="3" s="1"/>
  <c r="AU628" i="3"/>
  <c r="AZ625" i="3"/>
  <c r="BA625" i="3" s="1"/>
  <c r="BB625" i="3" s="1"/>
  <c r="BY624" i="3"/>
  <c r="AZ632" i="3"/>
  <c r="BA632" i="3" s="1"/>
  <c r="BB632" i="3" s="1"/>
  <c r="AU658" i="3"/>
  <c r="BY649" i="3"/>
  <c r="Y674" i="3"/>
  <c r="CC477" i="3"/>
  <c r="CD477" i="3" s="1"/>
  <c r="BV476" i="3"/>
  <c r="CC500" i="3"/>
  <c r="CD500" i="3" s="1"/>
  <c r="BP495" i="3"/>
  <c r="BP494" i="3"/>
  <c r="CC492" i="3"/>
  <c r="CD492" i="3" s="1"/>
  <c r="BP518" i="3"/>
  <c r="CC509" i="3"/>
  <c r="CD509" i="3" s="1"/>
  <c r="BP507" i="3"/>
  <c r="Y507" i="3"/>
  <c r="AZ506" i="3"/>
  <c r="BA506" i="3" s="1"/>
  <c r="BB506" i="3" s="1"/>
  <c r="AZ536" i="3"/>
  <c r="BA536" i="3" s="1"/>
  <c r="BB536" i="3" s="1"/>
  <c r="CC529" i="3"/>
  <c r="CD529" i="3" s="1"/>
  <c r="BV525" i="3"/>
  <c r="AZ522" i="3"/>
  <c r="BA522" i="3" s="1"/>
  <c r="BB522" i="3" s="1"/>
  <c r="CC556" i="3"/>
  <c r="CD556" i="3" s="1"/>
  <c r="BP550" i="3"/>
  <c r="AU547" i="3"/>
  <c r="CC546" i="3"/>
  <c r="CD546" i="3" s="1"/>
  <c r="CC542" i="3"/>
  <c r="CD542" i="3" s="1"/>
  <c r="BY564" i="3"/>
  <c r="Y561" i="3"/>
  <c r="Y590" i="3"/>
  <c r="AZ589" i="3"/>
  <c r="BA589" i="3" s="1"/>
  <c r="BB589" i="3" s="1"/>
  <c r="CC587" i="3"/>
  <c r="CD587" i="3" s="1"/>
  <c r="Y581" i="3"/>
  <c r="BY578" i="3"/>
  <c r="BY577" i="3"/>
  <c r="CC608" i="3"/>
  <c r="CD608" i="3" s="1"/>
  <c r="CC607" i="3"/>
  <c r="CD607" i="3" s="1"/>
  <c r="BV606" i="3"/>
  <c r="Y604" i="3"/>
  <c r="BV601" i="3"/>
  <c r="BV627" i="3"/>
  <c r="Y626" i="3"/>
  <c r="BV622" i="3"/>
  <c r="CC618" i="3"/>
  <c r="CD618" i="3" s="1"/>
  <c r="AZ614" i="3"/>
  <c r="BA614" i="3" s="1"/>
  <c r="BB614" i="3" s="1"/>
  <c r="CC613" i="3"/>
  <c r="CD613" i="3" s="1"/>
  <c r="CC612" i="3"/>
  <c r="CD612" i="3" s="1"/>
  <c r="AZ645" i="3"/>
  <c r="BA645" i="3" s="1"/>
  <c r="BB645" i="3" s="1"/>
  <c r="BY644" i="3"/>
  <c r="AO644" i="3"/>
  <c r="AP644" i="3" s="1"/>
  <c r="AU644" i="3" s="1"/>
  <c r="AZ635" i="3"/>
  <c r="BA635" i="3" s="1"/>
  <c r="BB635" i="3" s="1"/>
  <c r="BV631" i="3"/>
  <c r="CC657" i="3"/>
  <c r="CD657" i="3" s="1"/>
  <c r="BV652" i="3"/>
  <c r="BO648" i="3"/>
  <c r="BP648" i="3" s="1"/>
  <c r="Y668" i="3"/>
  <c r="AF649" i="3"/>
  <c r="AH649" i="3"/>
  <c r="BV42" i="3"/>
  <c r="AF157" i="3"/>
  <c r="AH157" i="3"/>
  <c r="Y156" i="3"/>
  <c r="AH193" i="3"/>
  <c r="AF193" i="3"/>
  <c r="AH577" i="3"/>
  <c r="AF577" i="3"/>
  <c r="AH677" i="3"/>
  <c r="AF677" i="3"/>
  <c r="Y675" i="3"/>
  <c r="Y39" i="3"/>
  <c r="BP56" i="3"/>
  <c r="AF82" i="3"/>
  <c r="AH82" i="3"/>
  <c r="BP72" i="3"/>
  <c r="CC142" i="3"/>
  <c r="CD142" i="3" s="1"/>
  <c r="CC176" i="3"/>
  <c r="CD176" i="3" s="1"/>
  <c r="AF230" i="3"/>
  <c r="AH230" i="3"/>
  <c r="BO229" i="3"/>
  <c r="BM229" i="3"/>
  <c r="AS222" i="3"/>
  <c r="AT222" i="3" s="1"/>
  <c r="AU222" i="3" s="1"/>
  <c r="BC681" i="3"/>
  <c r="CC48" i="3"/>
  <c r="CD48" i="3" s="1"/>
  <c r="BY46" i="3"/>
  <c r="AZ36" i="3"/>
  <c r="BA36" i="3" s="1"/>
  <c r="BB36" i="3" s="1"/>
  <c r="AF66" i="3"/>
  <c r="AH66" i="3"/>
  <c r="BV62" i="3"/>
  <c r="BV88" i="3"/>
  <c r="BY88" i="3"/>
  <c r="AU86" i="3"/>
  <c r="BC86" i="3" s="1"/>
  <c r="AF76" i="3"/>
  <c r="AH76" i="3"/>
  <c r="AU96" i="3"/>
  <c r="AU108" i="3"/>
  <c r="AU147" i="3"/>
  <c r="AU167" i="3"/>
  <c r="AS191" i="3"/>
  <c r="AT191" i="3" s="1"/>
  <c r="AU191" i="3" s="1"/>
  <c r="AS334" i="3"/>
  <c r="AT334" i="3" s="1"/>
  <c r="AU334" i="3" s="1"/>
  <c r="AF412" i="3"/>
  <c r="AH412" i="3"/>
  <c r="AH398" i="3"/>
  <c r="AF398" i="3"/>
  <c r="BV46" i="3"/>
  <c r="BY87" i="3"/>
  <c r="BY256" i="3"/>
  <c r="AF306" i="3"/>
  <c r="AH306" i="3"/>
  <c r="AF85" i="3"/>
  <c r="AJ85" i="3" s="1"/>
  <c r="AK85" i="3" s="1"/>
  <c r="BV123" i="3"/>
  <c r="BY123" i="3"/>
  <c r="BV78" i="3"/>
  <c r="BY78" i="3"/>
  <c r="AZ74" i="3"/>
  <c r="BA74" i="3" s="1"/>
  <c r="BB74" i="3" s="1"/>
  <c r="BC74" i="3" s="1"/>
  <c r="AH134" i="3"/>
  <c r="AF134" i="3"/>
  <c r="AU52" i="3"/>
  <c r="CC51" i="3"/>
  <c r="CD51" i="3" s="1"/>
  <c r="BY40" i="3"/>
  <c r="BY39" i="3"/>
  <c r="AF77" i="3"/>
  <c r="AH77" i="3"/>
  <c r="AU75" i="3"/>
  <c r="CC104" i="3"/>
  <c r="CD104" i="3" s="1"/>
  <c r="Y112" i="3"/>
  <c r="BY126" i="3"/>
  <c r="BV126" i="3"/>
  <c r="AF241" i="3"/>
  <c r="AH241" i="3"/>
  <c r="AH56" i="3"/>
  <c r="AF56" i="3"/>
  <c r="AS81" i="3"/>
  <c r="AT81" i="3" s="1"/>
  <c r="AU81" i="3" s="1"/>
  <c r="AF153" i="3"/>
  <c r="AH153" i="3"/>
  <c r="AF171" i="3"/>
  <c r="AH171" i="3"/>
  <c r="AZ42" i="3"/>
  <c r="BA42" i="3" s="1"/>
  <c r="BB42" i="3" s="1"/>
  <c r="BV47" i="3"/>
  <c r="BY37" i="3"/>
  <c r="Y67" i="3"/>
  <c r="AZ62" i="3"/>
  <c r="BA62" i="3" s="1"/>
  <c r="BB62" i="3" s="1"/>
  <c r="BV55" i="3"/>
  <c r="BY55" i="3"/>
  <c r="Y85" i="3"/>
  <c r="AZ84" i="3"/>
  <c r="BA84" i="3" s="1"/>
  <c r="BB84" i="3" s="1"/>
  <c r="BC84" i="3" s="1"/>
  <c r="Y84" i="3"/>
  <c r="AF124" i="3"/>
  <c r="AH124" i="3"/>
  <c r="AZ114" i="3"/>
  <c r="BA114" i="3" s="1"/>
  <c r="BB114" i="3" s="1"/>
  <c r="AF37" i="3"/>
  <c r="AH37" i="3"/>
  <c r="AS42" i="3"/>
  <c r="AT42" i="3" s="1"/>
  <c r="AU42" i="3" s="1"/>
  <c r="AS60" i="3"/>
  <c r="AT60" i="3" s="1"/>
  <c r="AU60" i="3" s="1"/>
  <c r="AF79" i="3"/>
  <c r="AH79" i="3"/>
  <c r="AU100" i="3"/>
  <c r="AH137" i="3"/>
  <c r="AF137" i="3"/>
  <c r="AH51" i="3"/>
  <c r="AJ51" i="3" s="1"/>
  <c r="AK51" i="3" s="1"/>
  <c r="AF50" i="3"/>
  <c r="AH50" i="3"/>
  <c r="BP47" i="3"/>
  <c r="AZ46" i="3"/>
  <c r="BA46" i="3" s="1"/>
  <c r="BB46" i="3" s="1"/>
  <c r="AF40" i="3"/>
  <c r="AH40" i="3"/>
  <c r="BV37" i="3"/>
  <c r="Y64" i="3"/>
  <c r="AZ63" i="3"/>
  <c r="BA63" i="3" s="1"/>
  <c r="BB63" i="3" s="1"/>
  <c r="BV106" i="3"/>
  <c r="BP98" i="3"/>
  <c r="AH98" i="3"/>
  <c r="AJ98" i="3" s="1"/>
  <c r="AK98" i="3" s="1"/>
  <c r="BV93" i="3"/>
  <c r="BY93" i="3"/>
  <c r="AZ122" i="3"/>
  <c r="BA122" i="3" s="1"/>
  <c r="BB122" i="3" s="1"/>
  <c r="BY120" i="3"/>
  <c r="BZ120" i="3" s="1"/>
  <c r="AH110" i="3"/>
  <c r="AJ110" i="3" s="1"/>
  <c r="AK110" i="3" s="1"/>
  <c r="CC217" i="3"/>
  <c r="CD217" i="3" s="1"/>
  <c r="BV40" i="3"/>
  <c r="Y68" i="3"/>
  <c r="Y65" i="3"/>
  <c r="AZ64" i="3"/>
  <c r="BA64" i="3" s="1"/>
  <c r="BB64" i="3" s="1"/>
  <c r="BP63" i="3"/>
  <c r="AJ61" i="3"/>
  <c r="AK61" i="3" s="1"/>
  <c r="CC58" i="3"/>
  <c r="CD58" i="3" s="1"/>
  <c r="CC57" i="3"/>
  <c r="CD57" i="3" s="1"/>
  <c r="CC102" i="3"/>
  <c r="CD102" i="3" s="1"/>
  <c r="AJ91" i="3"/>
  <c r="AK91" i="3" s="1"/>
  <c r="AZ124" i="3"/>
  <c r="BA124" i="3" s="1"/>
  <c r="BB124" i="3" s="1"/>
  <c r="AJ118" i="3"/>
  <c r="AK118" i="3" s="1"/>
  <c r="BV115" i="3"/>
  <c r="BV112" i="3"/>
  <c r="BZ112" i="3" s="1"/>
  <c r="Y140" i="3"/>
  <c r="Y139" i="3"/>
  <c r="BV132" i="3"/>
  <c r="AF160" i="3"/>
  <c r="AH160" i="3"/>
  <c r="AZ155" i="3"/>
  <c r="BA155" i="3" s="1"/>
  <c r="BB155" i="3" s="1"/>
  <c r="AU178" i="3"/>
  <c r="Y172" i="3"/>
  <c r="CC190" i="3"/>
  <c r="CD190" i="3" s="1"/>
  <c r="Y208" i="3"/>
  <c r="CC203" i="3"/>
  <c r="CD203" i="3" s="1"/>
  <c r="AU218" i="3"/>
  <c r="AH250" i="3"/>
  <c r="AF250" i="3"/>
  <c r="AF664" i="3"/>
  <c r="AH664" i="3"/>
  <c r="AH653" i="3"/>
  <c r="AF653" i="3"/>
  <c r="BO652" i="3"/>
  <c r="BM652" i="3"/>
  <c r="BV49" i="3"/>
  <c r="AZ47" i="3"/>
  <c r="BA47" i="3" s="1"/>
  <c r="BB47" i="3" s="1"/>
  <c r="BP42" i="3"/>
  <c r="AZ41" i="3"/>
  <c r="BA41" i="3" s="1"/>
  <c r="BB41" i="3" s="1"/>
  <c r="BP36" i="3"/>
  <c r="AU68" i="3"/>
  <c r="CC67" i="3"/>
  <c r="CD67" i="3" s="1"/>
  <c r="CC66" i="3"/>
  <c r="CD66" i="3" s="1"/>
  <c r="AZ65" i="3"/>
  <c r="BA65" i="3" s="1"/>
  <c r="BB65" i="3" s="1"/>
  <c r="BV60" i="3"/>
  <c r="BY59" i="3"/>
  <c r="CC83" i="3"/>
  <c r="CD83" i="3" s="1"/>
  <c r="BP81" i="3"/>
  <c r="BV79" i="3"/>
  <c r="BZ79" i="3" s="1"/>
  <c r="BP75" i="3"/>
  <c r="BV104" i="3"/>
  <c r="BV103" i="3"/>
  <c r="BP94" i="3"/>
  <c r="Y94" i="3"/>
  <c r="AH122" i="3"/>
  <c r="AJ122" i="3" s="1"/>
  <c r="AK122" i="3" s="1"/>
  <c r="AH121" i="3"/>
  <c r="AJ121" i="3" s="1"/>
  <c r="AK121" i="3" s="1"/>
  <c r="AZ119" i="3"/>
  <c r="BA119" i="3" s="1"/>
  <c r="BB119" i="3" s="1"/>
  <c r="BP116" i="3"/>
  <c r="AZ111" i="3"/>
  <c r="BA111" i="3" s="1"/>
  <c r="BB111" i="3" s="1"/>
  <c r="BV142" i="3"/>
  <c r="AF135" i="3"/>
  <c r="AJ135" i="3" s="1"/>
  <c r="AK135" i="3" s="1"/>
  <c r="BP129" i="3"/>
  <c r="BP127" i="3"/>
  <c r="AH158" i="3"/>
  <c r="AJ158" i="3" s="1"/>
  <c r="AK158" i="3" s="1"/>
  <c r="Y157" i="3"/>
  <c r="AU151" i="3"/>
  <c r="BY178" i="3"/>
  <c r="AU172" i="3"/>
  <c r="BV184" i="3"/>
  <c r="BP250" i="3"/>
  <c r="CC52" i="3"/>
  <c r="CD52" i="3" s="1"/>
  <c r="BP50" i="3"/>
  <c r="AH49" i="3"/>
  <c r="AJ49" i="3" s="1"/>
  <c r="AK49" i="3" s="1"/>
  <c r="BY47" i="3"/>
  <c r="AU47" i="3"/>
  <c r="BP44" i="3"/>
  <c r="BP43" i="3"/>
  <c r="AH69" i="3"/>
  <c r="AJ69" i="3" s="1"/>
  <c r="AK69" i="3" s="1"/>
  <c r="BY66" i="3"/>
  <c r="AU66" i="3"/>
  <c r="AU65" i="3"/>
  <c r="AH80" i="3"/>
  <c r="AJ80" i="3" s="1"/>
  <c r="AK80" i="3" s="1"/>
  <c r="AH103" i="3"/>
  <c r="AJ103" i="3" s="1"/>
  <c r="AK103" i="3" s="1"/>
  <c r="AF101" i="3"/>
  <c r="AJ101" i="3" s="1"/>
  <c r="AK101" i="3" s="1"/>
  <c r="AZ97" i="3"/>
  <c r="BA97" i="3" s="1"/>
  <c r="BB97" i="3" s="1"/>
  <c r="AZ94" i="3"/>
  <c r="BA94" i="3" s="1"/>
  <c r="BB94" i="3" s="1"/>
  <c r="BP93" i="3"/>
  <c r="BV124" i="3"/>
  <c r="BP123" i="3"/>
  <c r="BY119" i="3"/>
  <c r="AU119" i="3"/>
  <c r="BP118" i="3"/>
  <c r="AU111" i="3"/>
  <c r="BY139" i="3"/>
  <c r="BP132" i="3"/>
  <c r="AU155" i="3"/>
  <c r="AJ185" i="3"/>
  <c r="AK185" i="3" s="1"/>
  <c r="AH181" i="3"/>
  <c r="AF181" i="3"/>
  <c r="BP208" i="3"/>
  <c r="AU204" i="3"/>
  <c r="BP252" i="3"/>
  <c r="AU38" i="3"/>
  <c r="BY65" i="3"/>
  <c r="BP62" i="3"/>
  <c r="BP61" i="3"/>
  <c r="AZ59" i="3"/>
  <c r="BA59" i="3" s="1"/>
  <c r="BB59" i="3" s="1"/>
  <c r="AZ55" i="3"/>
  <c r="BA55" i="3" s="1"/>
  <c r="BB55" i="3" s="1"/>
  <c r="AZ78" i="3"/>
  <c r="BA78" i="3" s="1"/>
  <c r="BB78" i="3" s="1"/>
  <c r="CC75" i="3"/>
  <c r="CD75" i="3" s="1"/>
  <c r="AH73" i="3"/>
  <c r="AJ73" i="3" s="1"/>
  <c r="AK73" i="3" s="1"/>
  <c r="BP106" i="3"/>
  <c r="AH105" i="3"/>
  <c r="AJ105" i="3" s="1"/>
  <c r="AK105" i="3" s="1"/>
  <c r="AF104" i="3"/>
  <c r="AJ104" i="3" s="1"/>
  <c r="AK104" i="3" s="1"/>
  <c r="AU94" i="3"/>
  <c r="AZ93" i="3"/>
  <c r="BA93" i="3" s="1"/>
  <c r="BB93" i="3" s="1"/>
  <c r="BP92" i="3"/>
  <c r="BP120" i="3"/>
  <c r="CC118" i="3"/>
  <c r="CD118" i="3" s="1"/>
  <c r="AZ118" i="3"/>
  <c r="BA118" i="3" s="1"/>
  <c r="BB118" i="3" s="1"/>
  <c r="BY110" i="3"/>
  <c r="AU110" i="3"/>
  <c r="AF142" i="3"/>
  <c r="AJ142" i="3" s="1"/>
  <c r="AK142" i="3" s="1"/>
  <c r="AH210" i="3"/>
  <c r="AJ210" i="3" s="1"/>
  <c r="AK210" i="3" s="1"/>
  <c r="AH228" i="3"/>
  <c r="AF228" i="3"/>
  <c r="BY218" i="3"/>
  <c r="Y42" i="3"/>
  <c r="AZ37" i="3"/>
  <c r="BA37" i="3" s="1"/>
  <c r="BB37" i="3" s="1"/>
  <c r="AZ70" i="3"/>
  <c r="BA70" i="3" s="1"/>
  <c r="BB70" i="3" s="1"/>
  <c r="AZ88" i="3"/>
  <c r="BA88" i="3" s="1"/>
  <c r="BB88" i="3" s="1"/>
  <c r="AF86" i="3"/>
  <c r="AJ86" i="3" s="1"/>
  <c r="AK86" i="3" s="1"/>
  <c r="BV83" i="3"/>
  <c r="AU72" i="3"/>
  <c r="AZ106" i="3"/>
  <c r="BA106" i="3" s="1"/>
  <c r="BB106" i="3" s="1"/>
  <c r="BC106" i="3" s="1"/>
  <c r="AH100" i="3"/>
  <c r="AF100" i="3"/>
  <c r="AZ91" i="3"/>
  <c r="BA91" i="3" s="1"/>
  <c r="BB91" i="3" s="1"/>
  <c r="AU123" i="3"/>
  <c r="AZ141" i="3"/>
  <c r="BA141" i="3" s="1"/>
  <c r="BB141" i="3" s="1"/>
  <c r="AZ128" i="3"/>
  <c r="BA128" i="3" s="1"/>
  <c r="BB128" i="3" s="1"/>
  <c r="AZ157" i="3"/>
  <c r="BA157" i="3" s="1"/>
  <c r="BB157" i="3" s="1"/>
  <c r="AS219" i="3"/>
  <c r="AT219" i="3" s="1"/>
  <c r="AU219" i="3" s="1"/>
  <c r="AZ81" i="3"/>
  <c r="BA81" i="3" s="1"/>
  <c r="BB81" i="3" s="1"/>
  <c r="AZ135" i="3"/>
  <c r="BA135" i="3" s="1"/>
  <c r="BB135" i="3" s="1"/>
  <c r="AZ134" i="3"/>
  <c r="BA134" i="3" s="1"/>
  <c r="BB134" i="3" s="1"/>
  <c r="AZ131" i="3"/>
  <c r="BA131" i="3" s="1"/>
  <c r="BB131" i="3" s="1"/>
  <c r="AZ130" i="3"/>
  <c r="BA130" i="3" s="1"/>
  <c r="BB130" i="3" s="1"/>
  <c r="BC130" i="3" s="1"/>
  <c r="AZ129" i="3"/>
  <c r="BA129" i="3" s="1"/>
  <c r="BB129" i="3" s="1"/>
  <c r="AS157" i="3"/>
  <c r="AT157" i="3" s="1"/>
  <c r="AU157" i="3" s="1"/>
  <c r="AZ146" i="3"/>
  <c r="BA146" i="3" s="1"/>
  <c r="BB146" i="3" s="1"/>
  <c r="AZ189" i="3"/>
  <c r="BA189" i="3" s="1"/>
  <c r="BB189" i="3" s="1"/>
  <c r="BC189" i="3" s="1"/>
  <c r="CC50" i="3"/>
  <c r="CD50" i="3" s="1"/>
  <c r="CC44" i="3"/>
  <c r="CD44" i="3" s="1"/>
  <c r="CC43" i="3"/>
  <c r="CD43" i="3" s="1"/>
  <c r="BV38" i="3"/>
  <c r="CC37" i="3"/>
  <c r="CD37" i="3" s="1"/>
  <c r="CC70" i="3"/>
  <c r="CD70" i="3" s="1"/>
  <c r="BP69" i="3"/>
  <c r="Y69" i="3"/>
  <c r="CC62" i="3"/>
  <c r="CD62" i="3" s="1"/>
  <c r="BP59" i="3"/>
  <c r="BV56" i="3"/>
  <c r="Y80" i="3"/>
  <c r="AU78" i="3"/>
  <c r="BV76" i="3"/>
  <c r="BP105" i="3"/>
  <c r="BP104" i="3"/>
  <c r="Y101" i="3"/>
  <c r="AZ95" i="3"/>
  <c r="BA95" i="3" s="1"/>
  <c r="BB95" i="3" s="1"/>
  <c r="BY94" i="3"/>
  <c r="CC91" i="3"/>
  <c r="CD91" i="3" s="1"/>
  <c r="AU91" i="3"/>
  <c r="Y90" i="3"/>
  <c r="BY122" i="3"/>
  <c r="BZ122" i="3" s="1"/>
  <c r="Y122" i="3"/>
  <c r="AU114" i="3"/>
  <c r="BY109" i="3"/>
  <c r="BY108" i="3"/>
  <c r="Y108" i="3"/>
  <c r="Y142" i="3"/>
  <c r="AH139" i="3"/>
  <c r="AJ139" i="3" s="1"/>
  <c r="AK139" i="3" s="1"/>
  <c r="BV137" i="3"/>
  <c r="CC136" i="3"/>
  <c r="CD136" i="3" s="1"/>
  <c r="BP163" i="3"/>
  <c r="BP186" i="3"/>
  <c r="Y232" i="3"/>
  <c r="BY242" i="3"/>
  <c r="BY263" i="3"/>
  <c r="AU259" i="3"/>
  <c r="BY50" i="3"/>
  <c r="Y50" i="3"/>
  <c r="AZ49" i="3"/>
  <c r="BA49" i="3" s="1"/>
  <c r="BB49" i="3" s="1"/>
  <c r="AF47" i="3"/>
  <c r="AJ47" i="3" s="1"/>
  <c r="AK47" i="3" s="1"/>
  <c r="AF46" i="3"/>
  <c r="AJ46" i="3" s="1"/>
  <c r="AK46" i="3" s="1"/>
  <c r="BY44" i="3"/>
  <c r="Y41" i="3"/>
  <c r="CC36" i="3"/>
  <c r="CD36" i="3" s="1"/>
  <c r="BY70" i="3"/>
  <c r="AZ69" i="3"/>
  <c r="BA69" i="3" s="1"/>
  <c r="BB69" i="3" s="1"/>
  <c r="AF68" i="3"/>
  <c r="AJ68" i="3" s="1"/>
  <c r="AK68" i="3" s="1"/>
  <c r="BP67" i="3"/>
  <c r="BP66" i="3"/>
  <c r="AF65" i="3"/>
  <c r="AJ65" i="3" s="1"/>
  <c r="AK65" i="3" s="1"/>
  <c r="AF64" i="3"/>
  <c r="AJ64" i="3" s="1"/>
  <c r="AK64" i="3" s="1"/>
  <c r="BY62" i="3"/>
  <c r="CC61" i="3"/>
  <c r="CD61" i="3" s="1"/>
  <c r="CC87" i="3"/>
  <c r="CD87" i="3" s="1"/>
  <c r="AF83" i="3"/>
  <c r="AJ83" i="3" s="1"/>
  <c r="AK83" i="3" s="1"/>
  <c r="BV82" i="3"/>
  <c r="CC80" i="3"/>
  <c r="CD80" i="3" s="1"/>
  <c r="CC106" i="3"/>
  <c r="CD106" i="3" s="1"/>
  <c r="Y104" i="3"/>
  <c r="AZ103" i="3"/>
  <c r="BA103" i="3" s="1"/>
  <c r="BB103" i="3" s="1"/>
  <c r="BP102" i="3"/>
  <c r="CC100" i="3"/>
  <c r="CD100" i="3" s="1"/>
  <c r="BP99" i="3"/>
  <c r="AH99" i="3"/>
  <c r="AJ99" i="3" s="1"/>
  <c r="AK99" i="3" s="1"/>
  <c r="BY96" i="3"/>
  <c r="BV94" i="3"/>
  <c r="CC92" i="3"/>
  <c r="CD92" i="3" s="1"/>
  <c r="AU92" i="3"/>
  <c r="AU122" i="3"/>
  <c r="AH140" i="3"/>
  <c r="AJ140" i="3" s="1"/>
  <c r="AK140" i="3" s="1"/>
  <c r="CC135" i="3"/>
  <c r="CD135" i="3" s="1"/>
  <c r="CC133" i="3"/>
  <c r="CD133" i="3" s="1"/>
  <c r="BY131" i="3"/>
  <c r="BY160" i="3"/>
  <c r="BZ160" i="3" s="1"/>
  <c r="AH170" i="3"/>
  <c r="AJ170" i="3" s="1"/>
  <c r="AK170" i="3" s="1"/>
  <c r="AF164" i="3"/>
  <c r="AH164" i="3"/>
  <c r="AU195" i="3"/>
  <c r="BP192" i="3"/>
  <c r="AZ183" i="3"/>
  <c r="BA183" i="3" s="1"/>
  <c r="BB183" i="3" s="1"/>
  <c r="BP213" i="3"/>
  <c r="Y200" i="3"/>
  <c r="Y248" i="3"/>
  <c r="BY42" i="3"/>
  <c r="CC40" i="3"/>
  <c r="CD40" i="3" s="1"/>
  <c r="BY36" i="3"/>
  <c r="BZ36" i="3" s="1"/>
  <c r="BY81" i="3"/>
  <c r="BZ81" i="3" s="1"/>
  <c r="BY80" i="3"/>
  <c r="BY77" i="3"/>
  <c r="BY75" i="3"/>
  <c r="BY106" i="3"/>
  <c r="AU101" i="3"/>
  <c r="BC101" i="3" s="1"/>
  <c r="BY95" i="3"/>
  <c r="BY92" i="3"/>
  <c r="BZ92" i="3" s="1"/>
  <c r="CC120" i="3"/>
  <c r="CD120" i="3" s="1"/>
  <c r="AF111" i="3"/>
  <c r="AH111" i="3"/>
  <c r="BP110" i="3"/>
  <c r="AZ142" i="3"/>
  <c r="BA142" i="3" s="1"/>
  <c r="BB142" i="3" s="1"/>
  <c r="BC142" i="3" s="1"/>
  <c r="BP139" i="3"/>
  <c r="AU132" i="3"/>
  <c r="BY130" i="3"/>
  <c r="BY129" i="3"/>
  <c r="AU183" i="3"/>
  <c r="BM232" i="3"/>
  <c r="BO232" i="3"/>
  <c r="Y158" i="3"/>
  <c r="CC156" i="3"/>
  <c r="CD156" i="3" s="1"/>
  <c r="BV151" i="3"/>
  <c r="BV146" i="3"/>
  <c r="BV145" i="3"/>
  <c r="BY144" i="3"/>
  <c r="BP174" i="3"/>
  <c r="CC164" i="3"/>
  <c r="CD164" i="3" s="1"/>
  <c r="AU164" i="3"/>
  <c r="BP162" i="3"/>
  <c r="Y213" i="3"/>
  <c r="BP210" i="3"/>
  <c r="Y209" i="3"/>
  <c r="AO201" i="3"/>
  <c r="AP201" i="3" s="1"/>
  <c r="AU201" i="3" s="1"/>
  <c r="CC198" i="3"/>
  <c r="CD198" i="3" s="1"/>
  <c r="CC225" i="3"/>
  <c r="CD225" i="3" s="1"/>
  <c r="AZ224" i="3"/>
  <c r="BA224" i="3" s="1"/>
  <c r="BB224" i="3" s="1"/>
  <c r="BV223" i="3"/>
  <c r="BV220" i="3"/>
  <c r="AS271" i="3"/>
  <c r="AT271" i="3" s="1"/>
  <c r="AU271" i="3" s="1"/>
  <c r="AJ301" i="3"/>
  <c r="AK301" i="3" s="1"/>
  <c r="AH299" i="3"/>
  <c r="AF299" i="3"/>
  <c r="AF295" i="3"/>
  <c r="AH295" i="3"/>
  <c r="AF363" i="3"/>
  <c r="AH363" i="3"/>
  <c r="BY101" i="3"/>
  <c r="BZ101" i="3" s="1"/>
  <c r="BY98" i="3"/>
  <c r="Y98" i="3"/>
  <c r="Y95" i="3"/>
  <c r="BY124" i="3"/>
  <c r="Y124" i="3"/>
  <c r="Y120" i="3"/>
  <c r="BV116" i="3"/>
  <c r="CC115" i="3"/>
  <c r="CD115" i="3" s="1"/>
  <c r="BY113" i="3"/>
  <c r="AU113" i="3"/>
  <c r="AZ112" i="3"/>
  <c r="BA112" i="3" s="1"/>
  <c r="BB112" i="3" s="1"/>
  <c r="BY140" i="3"/>
  <c r="CC139" i="3"/>
  <c r="CD139" i="3" s="1"/>
  <c r="AU138" i="3"/>
  <c r="BY135" i="3"/>
  <c r="CC134" i="3"/>
  <c r="CD134" i="3" s="1"/>
  <c r="BP131" i="3"/>
  <c r="AH131" i="3"/>
  <c r="AJ131" i="3" s="1"/>
  <c r="AK131" i="3" s="1"/>
  <c r="Y128" i="3"/>
  <c r="BP126" i="3"/>
  <c r="BV159" i="3"/>
  <c r="CC157" i="3"/>
  <c r="CD157" i="3" s="1"/>
  <c r="BP145" i="3"/>
  <c r="BP144" i="3"/>
  <c r="AH178" i="3"/>
  <c r="AJ178" i="3" s="1"/>
  <c r="AK178" i="3" s="1"/>
  <c r="BV176" i="3"/>
  <c r="BV172" i="3"/>
  <c r="BV189" i="3"/>
  <c r="AZ186" i="3"/>
  <c r="BA186" i="3" s="1"/>
  <c r="BB186" i="3" s="1"/>
  <c r="CC185" i="3"/>
  <c r="CD185" i="3" s="1"/>
  <c r="AZ185" i="3"/>
  <c r="BA185" i="3" s="1"/>
  <c r="BB185" i="3" s="1"/>
  <c r="AH184" i="3"/>
  <c r="AJ184" i="3" s="1"/>
  <c r="AK184" i="3" s="1"/>
  <c r="AZ180" i="3"/>
  <c r="BA180" i="3" s="1"/>
  <c r="BB180" i="3" s="1"/>
  <c r="AZ214" i="3"/>
  <c r="BA214" i="3" s="1"/>
  <c r="BB214" i="3" s="1"/>
  <c r="CC213" i="3"/>
  <c r="CD213" i="3" s="1"/>
  <c r="AZ213" i="3"/>
  <c r="BA213" i="3" s="1"/>
  <c r="BB213" i="3" s="1"/>
  <c r="Y210" i="3"/>
  <c r="AZ208" i="3"/>
  <c r="BA208" i="3" s="1"/>
  <c r="BB208" i="3" s="1"/>
  <c r="BV205" i="3"/>
  <c r="BV203" i="3"/>
  <c r="AZ203" i="3"/>
  <c r="BA203" i="3" s="1"/>
  <c r="BB203" i="3" s="1"/>
  <c r="AH202" i="3"/>
  <c r="AJ202" i="3" s="1"/>
  <c r="AK202" i="3" s="1"/>
  <c r="AH201" i="3"/>
  <c r="AJ201" i="3" s="1"/>
  <c r="AK201" i="3" s="1"/>
  <c r="CC199" i="3"/>
  <c r="CD199" i="3" s="1"/>
  <c r="BY230" i="3"/>
  <c r="AZ229" i="3"/>
  <c r="BA229" i="3" s="1"/>
  <c r="BB229" i="3" s="1"/>
  <c r="BV225" i="3"/>
  <c r="BV224" i="3"/>
  <c r="BO223" i="3"/>
  <c r="BP223" i="3" s="1"/>
  <c r="AH221" i="3"/>
  <c r="AJ221" i="3" s="1"/>
  <c r="AK221" i="3" s="1"/>
  <c r="BO220" i="3"/>
  <c r="BP220" i="3" s="1"/>
  <c r="AZ219" i="3"/>
  <c r="BA219" i="3" s="1"/>
  <c r="BB219" i="3" s="1"/>
  <c r="AZ250" i="3"/>
  <c r="BA250" i="3" s="1"/>
  <c r="BB250" i="3" s="1"/>
  <c r="CC248" i="3"/>
  <c r="CD248" i="3" s="1"/>
  <c r="BY245" i="3"/>
  <c r="AZ244" i="3"/>
  <c r="BA244" i="3" s="1"/>
  <c r="BB244" i="3" s="1"/>
  <c r="CC284" i="3"/>
  <c r="CD284" i="3" s="1"/>
  <c r="BY271" i="3"/>
  <c r="Y300" i="3"/>
  <c r="AH406" i="3"/>
  <c r="AF406" i="3"/>
  <c r="BM445" i="3"/>
  <c r="BO445" i="3"/>
  <c r="AZ127" i="3"/>
  <c r="BA127" i="3" s="1"/>
  <c r="BB127" i="3" s="1"/>
  <c r="AU158" i="3"/>
  <c r="AF155" i="3"/>
  <c r="AJ155" i="3" s="1"/>
  <c r="AK155" i="3" s="1"/>
  <c r="AZ154" i="3"/>
  <c r="BA154" i="3" s="1"/>
  <c r="BB154" i="3" s="1"/>
  <c r="AU150" i="3"/>
  <c r="BP146" i="3"/>
  <c r="AH146" i="3"/>
  <c r="AJ146" i="3" s="1"/>
  <c r="AK146" i="3" s="1"/>
  <c r="AF173" i="3"/>
  <c r="AJ173" i="3" s="1"/>
  <c r="AK173" i="3" s="1"/>
  <c r="BY181" i="3"/>
  <c r="AU180" i="3"/>
  <c r="BY199" i="3"/>
  <c r="BV226" i="3"/>
  <c r="BZ226" i="3" s="1"/>
  <c r="AH223" i="3"/>
  <c r="AJ223" i="3" s="1"/>
  <c r="AK223" i="3" s="1"/>
  <c r="BO221" i="3"/>
  <c r="BP221" i="3" s="1"/>
  <c r="BM218" i="3"/>
  <c r="BP218" i="3" s="1"/>
  <c r="AU250" i="3"/>
  <c r="AU246" i="3"/>
  <c r="AF302" i="3"/>
  <c r="AH302" i="3"/>
  <c r="AZ299" i="3"/>
  <c r="BA299" i="3" s="1"/>
  <c r="BB299" i="3" s="1"/>
  <c r="BC299" i="3" s="1"/>
  <c r="AS291" i="3"/>
  <c r="AT291" i="3" s="1"/>
  <c r="AU291" i="3" s="1"/>
  <c r="BY288" i="3"/>
  <c r="BV288" i="3"/>
  <c r="AF370" i="3"/>
  <c r="AH370" i="3"/>
  <c r="BP152" i="3"/>
  <c r="AZ148" i="3"/>
  <c r="BA148" i="3" s="1"/>
  <c r="BB148" i="3" s="1"/>
  <c r="AZ174" i="3"/>
  <c r="BA174" i="3" s="1"/>
  <c r="BB174" i="3" s="1"/>
  <c r="AZ162" i="3"/>
  <c r="BA162" i="3" s="1"/>
  <c r="BB162" i="3" s="1"/>
  <c r="AU193" i="3"/>
  <c r="AU181" i="3"/>
  <c r="BC181" i="3" s="1"/>
  <c r="BY213" i="3"/>
  <c r="AZ210" i="3"/>
  <c r="BA210" i="3" s="1"/>
  <c r="BB210" i="3" s="1"/>
  <c r="AZ199" i="3"/>
  <c r="BA199" i="3" s="1"/>
  <c r="BB199" i="3" s="1"/>
  <c r="BY229" i="3"/>
  <c r="BO227" i="3"/>
  <c r="BP227" i="3" s="1"/>
  <c r="BO222" i="3"/>
  <c r="BP222" i="3" s="1"/>
  <c r="AF275" i="3"/>
  <c r="AH275" i="3"/>
  <c r="AH311" i="3"/>
  <c r="AF311" i="3"/>
  <c r="AH378" i="3"/>
  <c r="AF378" i="3"/>
  <c r="AF455" i="3"/>
  <c r="AH455" i="3"/>
  <c r="BV134" i="3"/>
  <c r="Y132" i="3"/>
  <c r="BV128" i="3"/>
  <c r="AU128" i="3"/>
  <c r="BY127" i="3"/>
  <c r="AU127" i="3"/>
  <c r="CC126" i="3"/>
  <c r="CD126" i="3" s="1"/>
  <c r="BV157" i="3"/>
  <c r="CC152" i="3"/>
  <c r="CD152" i="3" s="1"/>
  <c r="AU148" i="3"/>
  <c r="AZ147" i="3"/>
  <c r="BA147" i="3" s="1"/>
  <c r="BB147" i="3" s="1"/>
  <c r="CC174" i="3"/>
  <c r="CD174" i="3" s="1"/>
  <c r="CC170" i="3"/>
  <c r="CD170" i="3" s="1"/>
  <c r="BP167" i="3"/>
  <c r="CC162" i="3"/>
  <c r="CD162" i="3" s="1"/>
  <c r="BV193" i="3"/>
  <c r="BP188" i="3"/>
  <c r="BY186" i="3"/>
  <c r="AO213" i="3"/>
  <c r="AP213" i="3" s="1"/>
  <c r="AU213" i="3" s="1"/>
  <c r="CC210" i="3"/>
  <c r="CD210" i="3" s="1"/>
  <c r="BY209" i="3"/>
  <c r="AO206" i="3"/>
  <c r="AP206" i="3" s="1"/>
  <c r="AU206" i="3" s="1"/>
  <c r="AO199" i="3"/>
  <c r="AP199" i="3" s="1"/>
  <c r="AU199" i="3" s="1"/>
  <c r="AZ231" i="3"/>
  <c r="BA231" i="3" s="1"/>
  <c r="BB231" i="3" s="1"/>
  <c r="AH226" i="3"/>
  <c r="AJ226" i="3" s="1"/>
  <c r="AK226" i="3" s="1"/>
  <c r="BO225" i="3"/>
  <c r="BP225" i="3" s="1"/>
  <c r="AH225" i="3"/>
  <c r="AJ225" i="3" s="1"/>
  <c r="AK225" i="3" s="1"/>
  <c r="AZ240" i="3"/>
  <c r="BA240" i="3" s="1"/>
  <c r="BB240" i="3" s="1"/>
  <c r="AU238" i="3"/>
  <c r="BV282" i="3"/>
  <c r="BY282" i="3"/>
  <c r="AF290" i="3"/>
  <c r="AH290" i="3"/>
  <c r="BV346" i="3"/>
  <c r="BY346" i="3"/>
  <c r="BP158" i="3"/>
  <c r="BY148" i="3"/>
  <c r="AZ145" i="3"/>
  <c r="BA145" i="3" s="1"/>
  <c r="BB145" i="3" s="1"/>
  <c r="AZ144" i="3"/>
  <c r="BA144" i="3" s="1"/>
  <c r="BB144" i="3" s="1"/>
  <c r="BY174" i="3"/>
  <c r="BY170" i="3"/>
  <c r="BY162" i="3"/>
  <c r="BV192" i="3"/>
  <c r="BY210" i="3"/>
  <c r="BZ210" i="3" s="1"/>
  <c r="AF206" i="3"/>
  <c r="AH206" i="3"/>
  <c r="BP200" i="3"/>
  <c r="AH232" i="3"/>
  <c r="AJ232" i="3" s="1"/>
  <c r="AK232" i="3" s="1"/>
  <c r="BM230" i="3"/>
  <c r="BP230" i="3" s="1"/>
  <c r="AZ223" i="3"/>
  <c r="BA223" i="3" s="1"/>
  <c r="BB223" i="3" s="1"/>
  <c r="AU254" i="3"/>
  <c r="BP304" i="3"/>
  <c r="AH380" i="3"/>
  <c r="AF380" i="3"/>
  <c r="BP140" i="3"/>
  <c r="BY138" i="3"/>
  <c r="BV133" i="3"/>
  <c r="CC131" i="3"/>
  <c r="CD131" i="3" s="1"/>
  <c r="AZ160" i="3"/>
  <c r="BA160" i="3" s="1"/>
  <c r="BB160" i="3" s="1"/>
  <c r="Y160" i="3"/>
  <c r="BP157" i="3"/>
  <c r="BP156" i="3"/>
  <c r="BP150" i="3"/>
  <c r="Y146" i="3"/>
  <c r="AZ178" i="3"/>
  <c r="BA178" i="3" s="1"/>
  <c r="BB178" i="3" s="1"/>
  <c r="Y178" i="3"/>
  <c r="BP176" i="3"/>
  <c r="AH176" i="3"/>
  <c r="AJ176" i="3" s="1"/>
  <c r="AK176" i="3" s="1"/>
  <c r="BV175" i="3"/>
  <c r="AU174" i="3"/>
  <c r="Y173" i="3"/>
  <c r="AF172" i="3"/>
  <c r="AJ172" i="3" s="1"/>
  <c r="AK172" i="3" s="1"/>
  <c r="BV171" i="3"/>
  <c r="BZ171" i="3" s="1"/>
  <c r="Y168" i="3"/>
  <c r="BP166" i="3"/>
  <c r="AH195" i="3"/>
  <c r="AJ195" i="3" s="1"/>
  <c r="AK195" i="3" s="1"/>
  <c r="BV186" i="3"/>
  <c r="AZ184" i="3"/>
  <c r="BA184" i="3" s="1"/>
  <c r="BB184" i="3" s="1"/>
  <c r="BY180" i="3"/>
  <c r="AH214" i="3"/>
  <c r="AJ214" i="3" s="1"/>
  <c r="AK214" i="3" s="1"/>
  <c r="AH213" i="3"/>
  <c r="AJ213" i="3" s="1"/>
  <c r="AK213" i="3" s="1"/>
  <c r="BV212" i="3"/>
  <c r="AO209" i="3"/>
  <c r="AP209" i="3" s="1"/>
  <c r="AU209" i="3" s="1"/>
  <c r="BP205" i="3"/>
  <c r="Y202" i="3"/>
  <c r="AF200" i="3"/>
  <c r="AJ200" i="3" s="1"/>
  <c r="AK200" i="3" s="1"/>
  <c r="BP198" i="3"/>
  <c r="AU228" i="3"/>
  <c r="Y223" i="3"/>
  <c r="Y222" i="3"/>
  <c r="AZ221" i="3"/>
  <c r="BA221" i="3" s="1"/>
  <c r="BB221" i="3" s="1"/>
  <c r="Y221" i="3"/>
  <c r="AZ220" i="3"/>
  <c r="BA220" i="3" s="1"/>
  <c r="BB220" i="3" s="1"/>
  <c r="AH216" i="3"/>
  <c r="AF216" i="3"/>
  <c r="BV238" i="3"/>
  <c r="BZ238" i="3" s="1"/>
  <c r="Y259" i="3"/>
  <c r="CC253" i="3"/>
  <c r="CD253" i="3" s="1"/>
  <c r="BV286" i="3"/>
  <c r="AS355" i="3"/>
  <c r="AT355" i="3" s="1"/>
  <c r="AU355" i="3" s="1"/>
  <c r="AU145" i="3"/>
  <c r="CC178" i="3"/>
  <c r="CD178" i="3" s="1"/>
  <c r="BY168" i="3"/>
  <c r="BZ168" i="3" s="1"/>
  <c r="AZ166" i="3"/>
  <c r="BA166" i="3" s="1"/>
  <c r="BB166" i="3" s="1"/>
  <c r="AF194" i="3"/>
  <c r="AH194" i="3"/>
  <c r="BY191" i="3"/>
  <c r="AU184" i="3"/>
  <c r="AO211" i="3"/>
  <c r="AP211" i="3" s="1"/>
  <c r="AU211" i="3" s="1"/>
  <c r="AH208" i="3"/>
  <c r="AF208" i="3"/>
  <c r="AZ205" i="3"/>
  <c r="BA205" i="3" s="1"/>
  <c r="BB205" i="3" s="1"/>
  <c r="BP199" i="3"/>
  <c r="AU220" i="3"/>
  <c r="AF248" i="3"/>
  <c r="AH248" i="3"/>
  <c r="BY265" i="3"/>
  <c r="AF283" i="3"/>
  <c r="AJ283" i="3" s="1"/>
  <c r="AK283" i="3" s="1"/>
  <c r="AS279" i="3"/>
  <c r="AT279" i="3" s="1"/>
  <c r="AU279" i="3" s="1"/>
  <c r="AH293" i="3"/>
  <c r="AJ293" i="3" s="1"/>
  <c r="AK293" i="3" s="1"/>
  <c r="AZ177" i="3"/>
  <c r="BA177" i="3" s="1"/>
  <c r="BB177" i="3" s="1"/>
  <c r="AU173" i="3"/>
  <c r="CC166" i="3"/>
  <c r="CD166" i="3" s="1"/>
  <c r="AU196" i="3"/>
  <c r="BV191" i="3"/>
  <c r="AZ188" i="3"/>
  <c r="BA188" i="3" s="1"/>
  <c r="BB188" i="3" s="1"/>
  <c r="BP180" i="3"/>
  <c r="AH209" i="3"/>
  <c r="AF209" i="3"/>
  <c r="AZ201" i="3"/>
  <c r="BA201" i="3" s="1"/>
  <c r="BB201" i="3" s="1"/>
  <c r="AU223" i="3"/>
  <c r="BY300" i="3"/>
  <c r="BV300" i="3"/>
  <c r="CC237" i="3"/>
  <c r="CD237" i="3" s="1"/>
  <c r="BV268" i="3"/>
  <c r="BZ268" i="3" s="1"/>
  <c r="BV259" i="3"/>
  <c r="BY285" i="3"/>
  <c r="Y284" i="3"/>
  <c r="AU277" i="3"/>
  <c r="Y274" i="3"/>
  <c r="BV297" i="3"/>
  <c r="CC290" i="3"/>
  <c r="CD290" i="3" s="1"/>
  <c r="Y320" i="3"/>
  <c r="Y325" i="3"/>
  <c r="Y352" i="3"/>
  <c r="BV372" i="3"/>
  <c r="BY372" i="3"/>
  <c r="CC366" i="3"/>
  <c r="CD366" i="3" s="1"/>
  <c r="AS366" i="3"/>
  <c r="AT366" i="3" s="1"/>
  <c r="AU366" i="3" s="1"/>
  <c r="AF360" i="3"/>
  <c r="AH360" i="3"/>
  <c r="AU384" i="3"/>
  <c r="AU443" i="3"/>
  <c r="BP189" i="3"/>
  <c r="BP187" i="3"/>
  <c r="AU186" i="3"/>
  <c r="CC181" i="3"/>
  <c r="CD181" i="3" s="1"/>
  <c r="Y214" i="3"/>
  <c r="BV211" i="3"/>
  <c r="BV208" i="3"/>
  <c r="BV207" i="3"/>
  <c r="BP203" i="3"/>
  <c r="BP202" i="3"/>
  <c r="BV232" i="3"/>
  <c r="CC230" i="3"/>
  <c r="CD230" i="3" s="1"/>
  <c r="BY228" i="3"/>
  <c r="AU227" i="3"/>
  <c r="BY223" i="3"/>
  <c r="CC221" i="3"/>
  <c r="CD221" i="3" s="1"/>
  <c r="AU216" i="3"/>
  <c r="BV248" i="3"/>
  <c r="CC247" i="3"/>
  <c r="CD247" i="3" s="1"/>
  <c r="BV241" i="3"/>
  <c r="BP239" i="3"/>
  <c r="BY236" i="3"/>
  <c r="Y236" i="3"/>
  <c r="AZ235" i="3"/>
  <c r="BA235" i="3" s="1"/>
  <c r="BB235" i="3" s="1"/>
  <c r="BP268" i="3"/>
  <c r="BY267" i="3"/>
  <c r="AF266" i="3"/>
  <c r="AJ266" i="3" s="1"/>
  <c r="AK266" i="3" s="1"/>
  <c r="AH265" i="3"/>
  <c r="AJ265" i="3" s="1"/>
  <c r="AK265" i="3" s="1"/>
  <c r="AF263" i="3"/>
  <c r="AJ263" i="3" s="1"/>
  <c r="AK263" i="3" s="1"/>
  <c r="AZ258" i="3"/>
  <c r="BA258" i="3" s="1"/>
  <c r="BB258" i="3" s="1"/>
  <c r="AH257" i="3"/>
  <c r="AJ257" i="3" s="1"/>
  <c r="AK257" i="3" s="1"/>
  <c r="AH256" i="3"/>
  <c r="AJ256" i="3" s="1"/>
  <c r="AK256" i="3" s="1"/>
  <c r="BP286" i="3"/>
  <c r="BP285" i="3"/>
  <c r="AH285" i="3"/>
  <c r="AJ285" i="3" s="1"/>
  <c r="AK285" i="3" s="1"/>
  <c r="AF281" i="3"/>
  <c r="AJ281" i="3" s="1"/>
  <c r="AK281" i="3" s="1"/>
  <c r="CC273" i="3"/>
  <c r="CD273" i="3" s="1"/>
  <c r="AF272" i="3"/>
  <c r="AJ272" i="3" s="1"/>
  <c r="AK272" i="3" s="1"/>
  <c r="AZ304" i="3"/>
  <c r="BA304" i="3" s="1"/>
  <c r="BB304" i="3" s="1"/>
  <c r="BC304" i="3" s="1"/>
  <c r="BP298" i="3"/>
  <c r="AF298" i="3"/>
  <c r="AJ298" i="3" s="1"/>
  <c r="AK298" i="3" s="1"/>
  <c r="CC296" i="3"/>
  <c r="CD296" i="3" s="1"/>
  <c r="BP293" i="3"/>
  <c r="Y293" i="3"/>
  <c r="AZ289" i="3"/>
  <c r="BA289" i="3" s="1"/>
  <c r="BB289" i="3" s="1"/>
  <c r="CC320" i="3"/>
  <c r="CD320" i="3" s="1"/>
  <c r="AU320" i="3"/>
  <c r="BV316" i="3"/>
  <c r="AS338" i="3"/>
  <c r="AT338" i="3" s="1"/>
  <c r="AU338" i="3" s="1"/>
  <c r="CC331" i="3"/>
  <c r="CD331" i="3" s="1"/>
  <c r="BV328" i="3"/>
  <c r="AF328" i="3"/>
  <c r="AH328" i="3"/>
  <c r="Y353" i="3"/>
  <c r="AH347" i="3"/>
  <c r="AF347" i="3"/>
  <c r="AF374" i="3"/>
  <c r="AJ374" i="3" s="1"/>
  <c r="AK374" i="3" s="1"/>
  <c r="AH371" i="3"/>
  <c r="AF371" i="3"/>
  <c r="AF271" i="3"/>
  <c r="AJ271" i="3" s="1"/>
  <c r="AK271" i="3" s="1"/>
  <c r="BP288" i="3"/>
  <c r="AF403" i="3"/>
  <c r="AH403" i="3"/>
  <c r="BY255" i="3"/>
  <c r="AZ282" i="3"/>
  <c r="BA282" i="3" s="1"/>
  <c r="BB282" i="3" s="1"/>
  <c r="Y302" i="3"/>
  <c r="Y295" i="3"/>
  <c r="BV318" i="3"/>
  <c r="AH317" i="3"/>
  <c r="AF317" i="3"/>
  <c r="Y310" i="3"/>
  <c r="Y308" i="3"/>
  <c r="BV334" i="3"/>
  <c r="Y500" i="3"/>
  <c r="BY497" i="3"/>
  <c r="BV247" i="3"/>
  <c r="AU243" i="3"/>
  <c r="BP241" i="3"/>
  <c r="CC239" i="3"/>
  <c r="CD239" i="3" s="1"/>
  <c r="Y260" i="3"/>
  <c r="AU258" i="3"/>
  <c r="AH253" i="3"/>
  <c r="AJ253" i="3" s="1"/>
  <c r="AK253" i="3" s="1"/>
  <c r="CC282" i="3"/>
  <c r="CD282" i="3" s="1"/>
  <c r="BV275" i="3"/>
  <c r="AU275" i="3"/>
  <c r="AZ303" i="3"/>
  <c r="BA303" i="3" s="1"/>
  <c r="BB303" i="3" s="1"/>
  <c r="CC302" i="3"/>
  <c r="CD302" i="3" s="1"/>
  <c r="AZ294" i="3"/>
  <c r="BA294" i="3" s="1"/>
  <c r="BB294" i="3" s="1"/>
  <c r="BV320" i="3"/>
  <c r="Y312" i="3"/>
  <c r="Y371" i="3"/>
  <c r="Y365" i="3"/>
  <c r="AF409" i="3"/>
  <c r="AH409" i="3"/>
  <c r="AS459" i="3"/>
  <c r="AT459" i="3" s="1"/>
  <c r="AU459" i="3" s="1"/>
  <c r="BC459" i="3" s="1"/>
  <c r="BV469" i="3"/>
  <c r="BY469" i="3"/>
  <c r="BY239" i="3"/>
  <c r="BZ239" i="3" s="1"/>
  <c r="BY234" i="3"/>
  <c r="AZ268" i="3"/>
  <c r="BA268" i="3" s="1"/>
  <c r="BB268" i="3" s="1"/>
  <c r="AU266" i="3"/>
  <c r="BP263" i="3"/>
  <c r="AU255" i="3"/>
  <c r="AU252" i="3"/>
  <c r="AZ286" i="3"/>
  <c r="BA286" i="3" s="1"/>
  <c r="BB286" i="3" s="1"/>
  <c r="AZ285" i="3"/>
  <c r="BA285" i="3" s="1"/>
  <c r="BB285" i="3" s="1"/>
  <c r="AZ281" i="3"/>
  <c r="BA281" i="3" s="1"/>
  <c r="BB281" i="3" s="1"/>
  <c r="BP280" i="3"/>
  <c r="BP279" i="3"/>
  <c r="BP278" i="3"/>
  <c r="BY273" i="3"/>
  <c r="BV304" i="3"/>
  <c r="CC301" i="3"/>
  <c r="CD301" i="3" s="1"/>
  <c r="AZ301" i="3"/>
  <c r="BA301" i="3" s="1"/>
  <c r="BB301" i="3" s="1"/>
  <c r="BP300" i="3"/>
  <c r="AZ298" i="3"/>
  <c r="BA298" i="3" s="1"/>
  <c r="BB298" i="3" s="1"/>
  <c r="Y298" i="3"/>
  <c r="BY293" i="3"/>
  <c r="AU292" i="3"/>
  <c r="BP291" i="3"/>
  <c r="CC288" i="3"/>
  <c r="CD288" i="3" s="1"/>
  <c r="Y288" i="3"/>
  <c r="BV319" i="3"/>
  <c r="AF318" i="3"/>
  <c r="AH318" i="3"/>
  <c r="BP329" i="3"/>
  <c r="AU369" i="3"/>
  <c r="AH386" i="3"/>
  <c r="AF386" i="3"/>
  <c r="AH464" i="3"/>
  <c r="AF464" i="3"/>
  <c r="CC218" i="3"/>
  <c r="CD218" i="3" s="1"/>
  <c r="BY216" i="3"/>
  <c r="BP248" i="3"/>
  <c r="AJ245" i="3"/>
  <c r="AK245" i="3" s="1"/>
  <c r="BP244" i="3"/>
  <c r="BV243" i="3"/>
  <c r="AU240" i="3"/>
  <c r="BV235" i="3"/>
  <c r="BV266" i="3"/>
  <c r="AZ265" i="3"/>
  <c r="BA265" i="3" s="1"/>
  <c r="BB265" i="3" s="1"/>
  <c r="AH262" i="3"/>
  <c r="AJ262" i="3" s="1"/>
  <c r="AK262" i="3" s="1"/>
  <c r="BV261" i="3"/>
  <c r="AU261" i="3"/>
  <c r="BC261" i="3" s="1"/>
  <c r="CC260" i="3"/>
  <c r="CD260" i="3" s="1"/>
  <c r="BV257" i="3"/>
  <c r="Y257" i="3"/>
  <c r="AZ256" i="3"/>
  <c r="BA256" i="3" s="1"/>
  <c r="BB256" i="3" s="1"/>
  <c r="BP255" i="3"/>
  <c r="AU303" i="3"/>
  <c r="BV299" i="3"/>
  <c r="BZ299" i="3" s="1"/>
  <c r="AU294" i="3"/>
  <c r="BY292" i="3"/>
  <c r="Y292" i="3"/>
  <c r="BY309" i="3"/>
  <c r="AF336" i="3"/>
  <c r="AH336" i="3"/>
  <c r="BP333" i="3"/>
  <c r="Y348" i="3"/>
  <c r="AU361" i="3"/>
  <c r="AF391" i="3"/>
  <c r="AH391" i="3"/>
  <c r="BY379" i="3"/>
  <c r="BV405" i="3"/>
  <c r="AH404" i="3"/>
  <c r="AF404" i="3"/>
  <c r="BY471" i="3"/>
  <c r="BP247" i="3"/>
  <c r="BP237" i="3"/>
  <c r="AU268" i="3"/>
  <c r="BY260" i="3"/>
  <c r="AZ259" i="3"/>
  <c r="BA259" i="3" s="1"/>
  <c r="BB259" i="3" s="1"/>
  <c r="AU286" i="3"/>
  <c r="AF284" i="3"/>
  <c r="AJ284" i="3" s="1"/>
  <c r="AK284" i="3" s="1"/>
  <c r="BP275" i="3"/>
  <c r="AH274" i="3"/>
  <c r="AJ274" i="3" s="1"/>
  <c r="AK274" i="3" s="1"/>
  <c r="AF273" i="3"/>
  <c r="AJ273" i="3" s="1"/>
  <c r="AK273" i="3" s="1"/>
  <c r="AU301" i="3"/>
  <c r="BY294" i="3"/>
  <c r="AU288" i="3"/>
  <c r="AZ322" i="3"/>
  <c r="BA322" i="3" s="1"/>
  <c r="BB322" i="3" s="1"/>
  <c r="BP320" i="3"/>
  <c r="AF320" i="3"/>
  <c r="AJ320" i="3" s="1"/>
  <c r="AK320" i="3" s="1"/>
  <c r="AZ316" i="3"/>
  <c r="BA316" i="3" s="1"/>
  <c r="BB316" i="3" s="1"/>
  <c r="CC314" i="3"/>
  <c r="CD314" i="3" s="1"/>
  <c r="CC313" i="3"/>
  <c r="CD313" i="3" s="1"/>
  <c r="AF340" i="3"/>
  <c r="AH340" i="3"/>
  <c r="BP339" i="3"/>
  <c r="BP324" i="3"/>
  <c r="Y358" i="3"/>
  <c r="CC361" i="3"/>
  <c r="CD361" i="3" s="1"/>
  <c r="AU478" i="3"/>
  <c r="CC267" i="3"/>
  <c r="CD267" i="3" s="1"/>
  <c r="AU256" i="3"/>
  <c r="BY254" i="3"/>
  <c r="BY286" i="3"/>
  <c r="AU272" i="3"/>
  <c r="AZ317" i="3"/>
  <c r="BA317" i="3" s="1"/>
  <c r="BB317" i="3" s="1"/>
  <c r="AU316" i="3"/>
  <c r="BY312" i="3"/>
  <c r="AS354" i="3"/>
  <c r="AT354" i="3" s="1"/>
  <c r="AU354" i="3" s="1"/>
  <c r="AU375" i="3"/>
  <c r="AU362" i="3"/>
  <c r="BY382" i="3"/>
  <c r="AU382" i="3"/>
  <c r="BO444" i="3"/>
  <c r="BM444" i="3"/>
  <c r="BO439" i="3"/>
  <c r="BM439" i="3"/>
  <c r="AU331" i="3"/>
  <c r="CC325" i="3"/>
  <c r="CD325" i="3" s="1"/>
  <c r="CC353" i="3"/>
  <c r="CD353" i="3" s="1"/>
  <c r="AU352" i="3"/>
  <c r="Y349" i="3"/>
  <c r="BV343" i="3"/>
  <c r="CC360" i="3"/>
  <c r="CD360" i="3" s="1"/>
  <c r="AU387" i="3"/>
  <c r="BP385" i="3"/>
  <c r="BP402" i="3"/>
  <c r="Y400" i="3"/>
  <c r="Y421" i="3"/>
  <c r="AU437" i="3"/>
  <c r="Y481" i="3"/>
  <c r="Y475" i="3"/>
  <c r="BV470" i="3"/>
  <c r="CC488" i="3"/>
  <c r="CD488" i="3" s="1"/>
  <c r="BV284" i="3"/>
  <c r="CC278" i="3"/>
  <c r="CD278" i="3" s="1"/>
  <c r="AZ277" i="3"/>
  <c r="BA277" i="3" s="1"/>
  <c r="BB277" i="3" s="1"/>
  <c r="Y277" i="3"/>
  <c r="BP274" i="3"/>
  <c r="BP273" i="3"/>
  <c r="BY304" i="3"/>
  <c r="Y304" i="3"/>
  <c r="BV296" i="3"/>
  <c r="CC293" i="3"/>
  <c r="CD293" i="3" s="1"/>
  <c r="AZ292" i="3"/>
  <c r="BA292" i="3" s="1"/>
  <c r="BB292" i="3" s="1"/>
  <c r="AU289" i="3"/>
  <c r="BP318" i="3"/>
  <c r="BV315" i="3"/>
  <c r="BV313" i="3"/>
  <c r="Y311" i="3"/>
  <c r="AU308" i="3"/>
  <c r="Y306" i="3"/>
  <c r="AZ340" i="3"/>
  <c r="BA340" i="3" s="1"/>
  <c r="BB340" i="3" s="1"/>
  <c r="BP335" i="3"/>
  <c r="BV331" i="3"/>
  <c r="CC324" i="3"/>
  <c r="CD324" i="3" s="1"/>
  <c r="BP357" i="3"/>
  <c r="BY349" i="3"/>
  <c r="BP343" i="3"/>
  <c r="AU374" i="3"/>
  <c r="Y374" i="3"/>
  <c r="AZ373" i="3"/>
  <c r="BA373" i="3" s="1"/>
  <c r="BB373" i="3" s="1"/>
  <c r="BP370" i="3"/>
  <c r="BV367" i="3"/>
  <c r="BV366" i="3"/>
  <c r="BY365" i="3"/>
  <c r="BY364" i="3"/>
  <c r="BY360" i="3"/>
  <c r="BY387" i="3"/>
  <c r="AH383" i="3"/>
  <c r="AJ383" i="3" s="1"/>
  <c r="AK383" i="3" s="1"/>
  <c r="AH408" i="3"/>
  <c r="AJ408" i="3" s="1"/>
  <c r="AK408" i="3" s="1"/>
  <c r="BP405" i="3"/>
  <c r="BP403" i="3"/>
  <c r="Y401" i="3"/>
  <c r="AU400" i="3"/>
  <c r="BY422" i="3"/>
  <c r="AH422" i="3"/>
  <c r="AJ422" i="3" s="1"/>
  <c r="AK422" i="3" s="1"/>
  <c r="Y415" i="3"/>
  <c r="Y456" i="3"/>
  <c r="BV478" i="3"/>
  <c r="BY478" i="3"/>
  <c r="Y525" i="3"/>
  <c r="BY590" i="3"/>
  <c r="AZ337" i="3"/>
  <c r="BA337" i="3" s="1"/>
  <c r="BB337" i="3" s="1"/>
  <c r="BP347" i="3"/>
  <c r="AH372" i="3"/>
  <c r="AJ372" i="3" s="1"/>
  <c r="AK372" i="3" s="1"/>
  <c r="BV371" i="3"/>
  <c r="BP369" i="3"/>
  <c r="AH367" i="3"/>
  <c r="AJ367" i="3" s="1"/>
  <c r="AK367" i="3" s="1"/>
  <c r="BP384" i="3"/>
  <c r="AU378" i="3"/>
  <c r="AZ423" i="3"/>
  <c r="BA423" i="3" s="1"/>
  <c r="BB423" i="3" s="1"/>
  <c r="CC310" i="3"/>
  <c r="CD310" i="3" s="1"/>
  <c r="BY306" i="3"/>
  <c r="CC340" i="3"/>
  <c r="CD340" i="3" s="1"/>
  <c r="AU340" i="3"/>
  <c r="BY339" i="3"/>
  <c r="AU339" i="3"/>
  <c r="AU330" i="3"/>
  <c r="Y328" i="3"/>
  <c r="AU324" i="3"/>
  <c r="CC350" i="3"/>
  <c r="CD350" i="3" s="1"/>
  <c r="AZ348" i="3"/>
  <c r="BA348" i="3" s="1"/>
  <c r="BB348" i="3" s="1"/>
  <c r="Y347" i="3"/>
  <c r="AZ346" i="3"/>
  <c r="BA346" i="3" s="1"/>
  <c r="BB346" i="3" s="1"/>
  <c r="BP342" i="3"/>
  <c r="BP376" i="3"/>
  <c r="CC373" i="3"/>
  <c r="CD373" i="3" s="1"/>
  <c r="AU373" i="3"/>
  <c r="AH369" i="3"/>
  <c r="AJ369" i="3" s="1"/>
  <c r="AK369" i="3" s="1"/>
  <c r="BV364" i="3"/>
  <c r="AU363" i="3"/>
  <c r="BP390" i="3"/>
  <c r="BV380" i="3"/>
  <c r="CC379" i="3"/>
  <c r="CD379" i="3" s="1"/>
  <c r="AZ379" i="3"/>
  <c r="BA379" i="3" s="1"/>
  <c r="BB379" i="3" s="1"/>
  <c r="BP404" i="3"/>
  <c r="Y404" i="3"/>
  <c r="AU403" i="3"/>
  <c r="AZ402" i="3"/>
  <c r="BA402" i="3" s="1"/>
  <c r="BB402" i="3" s="1"/>
  <c r="AS398" i="3"/>
  <c r="AT398" i="3" s="1"/>
  <c r="AU398" i="3" s="1"/>
  <c r="AZ428" i="3"/>
  <c r="BA428" i="3" s="1"/>
  <c r="BB428" i="3" s="1"/>
  <c r="CC426" i="3"/>
  <c r="CD426" i="3" s="1"/>
  <c r="BV422" i="3"/>
  <c r="Y457" i="3"/>
  <c r="BV479" i="3"/>
  <c r="AF472" i="3"/>
  <c r="AJ472" i="3" s="1"/>
  <c r="AK472" i="3" s="1"/>
  <c r="AH498" i="3"/>
  <c r="AF498" i="3"/>
  <c r="BV491" i="3"/>
  <c r="AZ332" i="3"/>
  <c r="BA332" i="3" s="1"/>
  <c r="BB332" i="3" s="1"/>
  <c r="AZ328" i="3"/>
  <c r="BA328" i="3" s="1"/>
  <c r="BB328" i="3" s="1"/>
  <c r="AZ345" i="3"/>
  <c r="BA345" i="3" s="1"/>
  <c r="BB345" i="3" s="1"/>
  <c r="AZ376" i="3"/>
  <c r="BA376" i="3" s="1"/>
  <c r="BB376" i="3" s="1"/>
  <c r="AZ372" i="3"/>
  <c r="BA372" i="3" s="1"/>
  <c r="BB372" i="3" s="1"/>
  <c r="AZ365" i="3"/>
  <c r="BA365" i="3" s="1"/>
  <c r="BB365" i="3" s="1"/>
  <c r="AZ388" i="3"/>
  <c r="BA388" i="3" s="1"/>
  <c r="BB388" i="3" s="1"/>
  <c r="AZ385" i="3"/>
  <c r="BA385" i="3" s="1"/>
  <c r="BB385" i="3" s="1"/>
  <c r="AZ409" i="3"/>
  <c r="BA409" i="3" s="1"/>
  <c r="BB409" i="3" s="1"/>
  <c r="AZ406" i="3"/>
  <c r="BA406" i="3" s="1"/>
  <c r="BB406" i="3" s="1"/>
  <c r="AZ404" i="3"/>
  <c r="BA404" i="3" s="1"/>
  <c r="BB404" i="3" s="1"/>
  <c r="BV459" i="3"/>
  <c r="BY459" i="3"/>
  <c r="AH517" i="3"/>
  <c r="AF517" i="3"/>
  <c r="Y318" i="3"/>
  <c r="Y317" i="3"/>
  <c r="BP316" i="3"/>
  <c r="BP314" i="3"/>
  <c r="AZ338" i="3"/>
  <c r="BA338" i="3" s="1"/>
  <c r="BB338" i="3" s="1"/>
  <c r="AU333" i="3"/>
  <c r="CC332" i="3"/>
  <c r="CD332" i="3" s="1"/>
  <c r="CC327" i="3"/>
  <c r="CD327" i="3" s="1"/>
  <c r="AZ327" i="3"/>
  <c r="BA327" i="3" s="1"/>
  <c r="BB327" i="3" s="1"/>
  <c r="Y327" i="3"/>
  <c r="AF326" i="3"/>
  <c r="AJ326" i="3" s="1"/>
  <c r="AK326" i="3" s="1"/>
  <c r="AZ325" i="3"/>
  <c r="BA325" i="3" s="1"/>
  <c r="BB325" i="3" s="1"/>
  <c r="BY357" i="3"/>
  <c r="AZ356" i="3"/>
  <c r="BA356" i="3" s="1"/>
  <c r="BB356" i="3" s="1"/>
  <c r="BV351" i="3"/>
  <c r="AZ350" i="3"/>
  <c r="BA350" i="3" s="1"/>
  <c r="BB350" i="3" s="1"/>
  <c r="AU347" i="3"/>
  <c r="CC346" i="3"/>
  <c r="CD346" i="3" s="1"/>
  <c r="AU346" i="3"/>
  <c r="CC345" i="3"/>
  <c r="CD345" i="3" s="1"/>
  <c r="AZ344" i="3"/>
  <c r="BA344" i="3" s="1"/>
  <c r="BB344" i="3" s="1"/>
  <c r="Y344" i="3"/>
  <c r="Y342" i="3"/>
  <c r="CC375" i="3"/>
  <c r="CD375" i="3" s="1"/>
  <c r="BP366" i="3"/>
  <c r="Y394" i="3"/>
  <c r="BP392" i="3"/>
  <c r="AF390" i="3"/>
  <c r="AJ390" i="3" s="1"/>
  <c r="AK390" i="3" s="1"/>
  <c r="BV389" i="3"/>
  <c r="AH387" i="3"/>
  <c r="AJ387" i="3" s="1"/>
  <c r="AK387" i="3" s="1"/>
  <c r="BP383" i="3"/>
  <c r="Y383" i="3"/>
  <c r="AH381" i="3"/>
  <c r="AJ381" i="3" s="1"/>
  <c r="AK381" i="3" s="1"/>
  <c r="BV412" i="3"/>
  <c r="Y408" i="3"/>
  <c r="AU406" i="3"/>
  <c r="AZ405" i="3"/>
  <c r="BA405" i="3" s="1"/>
  <c r="BB405" i="3" s="1"/>
  <c r="CC403" i="3"/>
  <c r="CD403" i="3" s="1"/>
  <c r="CC427" i="3"/>
  <c r="CD427" i="3" s="1"/>
  <c r="CC423" i="3"/>
  <c r="CD423" i="3" s="1"/>
  <c r="Y416" i="3"/>
  <c r="Y441" i="3"/>
  <c r="CC465" i="3"/>
  <c r="CD465" i="3" s="1"/>
  <c r="BP473" i="3"/>
  <c r="Y516" i="3"/>
  <c r="BY332" i="3"/>
  <c r="AZ330" i="3"/>
  <c r="BA330" i="3" s="1"/>
  <c r="BB330" i="3" s="1"/>
  <c r="AU328" i="3"/>
  <c r="BY327" i="3"/>
  <c r="BP349" i="3"/>
  <c r="BY345" i="3"/>
  <c r="AZ375" i="3"/>
  <c r="BA375" i="3" s="1"/>
  <c r="BB375" i="3" s="1"/>
  <c r="AU372" i="3"/>
  <c r="BY394" i="3"/>
  <c r="Y384" i="3"/>
  <c r="AZ383" i="3"/>
  <c r="BA383" i="3" s="1"/>
  <c r="BB383" i="3" s="1"/>
  <c r="BY410" i="3"/>
  <c r="AU410" i="3"/>
  <c r="CC409" i="3"/>
  <c r="CD409" i="3" s="1"/>
  <c r="CC408" i="3"/>
  <c r="CD408" i="3" s="1"/>
  <c r="CC406" i="3"/>
  <c r="CD406" i="3" s="1"/>
  <c r="AS402" i="3"/>
  <c r="AT402" i="3" s="1"/>
  <c r="AU402" i="3" s="1"/>
  <c r="AF396" i="3"/>
  <c r="AH396" i="3"/>
  <c r="AZ429" i="3"/>
  <c r="BA429" i="3" s="1"/>
  <c r="BB429" i="3" s="1"/>
  <c r="BP425" i="3"/>
  <c r="AF439" i="3"/>
  <c r="AJ439" i="3" s="1"/>
  <c r="AK439" i="3" s="1"/>
  <c r="BV463" i="3"/>
  <c r="AH463" i="3"/>
  <c r="AF463" i="3"/>
  <c r="AZ470" i="3"/>
  <c r="BA470" i="3" s="1"/>
  <c r="BB470" i="3" s="1"/>
  <c r="BY468" i="3"/>
  <c r="BV492" i="3"/>
  <c r="BY535" i="3"/>
  <c r="AF532" i="3"/>
  <c r="AH532" i="3"/>
  <c r="AF544" i="3"/>
  <c r="AH544" i="3"/>
  <c r="BY318" i="3"/>
  <c r="CC317" i="3"/>
  <c r="CD317" i="3" s="1"/>
  <c r="AZ313" i="3"/>
  <c r="BA313" i="3" s="1"/>
  <c r="BB313" i="3" s="1"/>
  <c r="Y313" i="3"/>
  <c r="BP312" i="3"/>
  <c r="AF308" i="3"/>
  <c r="AJ308" i="3" s="1"/>
  <c r="AK308" i="3" s="1"/>
  <c r="BV330" i="3"/>
  <c r="BV329" i="3"/>
  <c r="BY328" i="3"/>
  <c r="BP325" i="3"/>
  <c r="CC355" i="3"/>
  <c r="CD355" i="3" s="1"/>
  <c r="BY347" i="3"/>
  <c r="BZ347" i="3" s="1"/>
  <c r="BY344" i="3"/>
  <c r="CC376" i="3"/>
  <c r="CD376" i="3" s="1"/>
  <c r="BV373" i="3"/>
  <c r="AZ370" i="3"/>
  <c r="BA370" i="3" s="1"/>
  <c r="BB370" i="3" s="1"/>
  <c r="AZ367" i="3"/>
  <c r="BA367" i="3" s="1"/>
  <c r="BB367" i="3" s="1"/>
  <c r="Y367" i="3"/>
  <c r="BY362" i="3"/>
  <c r="BY388" i="3"/>
  <c r="AU407" i="3"/>
  <c r="BC407" i="3" s="1"/>
  <c r="BP399" i="3"/>
  <c r="AZ424" i="3"/>
  <c r="BA424" i="3" s="1"/>
  <c r="BB424" i="3" s="1"/>
  <c r="AZ416" i="3"/>
  <c r="BA416" i="3" s="1"/>
  <c r="BB416" i="3" s="1"/>
  <c r="BM448" i="3"/>
  <c r="BO448" i="3"/>
  <c r="AH445" i="3"/>
  <c r="AF445" i="3"/>
  <c r="AU441" i="3"/>
  <c r="AU436" i="3"/>
  <c r="AH481" i="3"/>
  <c r="AJ481" i="3" s="1"/>
  <c r="AK481" i="3" s="1"/>
  <c r="BP502" i="3"/>
  <c r="BP551" i="3"/>
  <c r="AS546" i="3"/>
  <c r="AT546" i="3" s="1"/>
  <c r="AU546" i="3" s="1"/>
  <c r="AU322" i="3"/>
  <c r="BP321" i="3"/>
  <c r="BY317" i="3"/>
  <c r="Y315" i="3"/>
  <c r="Y314" i="3"/>
  <c r="CC337" i="3"/>
  <c r="CD337" i="3" s="1"/>
  <c r="BP351" i="3"/>
  <c r="AZ347" i="3"/>
  <c r="BA347" i="3" s="1"/>
  <c r="BB347" i="3" s="1"/>
  <c r="BY376" i="3"/>
  <c r="AU367" i="3"/>
  <c r="BP391" i="3"/>
  <c r="BY378" i="3"/>
  <c r="BY404" i="3"/>
  <c r="BZ404" i="3" s="1"/>
  <c r="BP400" i="3"/>
  <c r="BP426" i="3"/>
  <c r="AU424" i="3"/>
  <c r="BP474" i="3"/>
  <c r="AU470" i="3"/>
  <c r="BY504" i="3"/>
  <c r="BV504" i="3"/>
  <c r="BV538" i="3"/>
  <c r="CC548" i="3"/>
  <c r="CD548" i="3" s="1"/>
  <c r="AO418" i="3"/>
  <c r="AP418" i="3" s="1"/>
  <c r="AU418" i="3" s="1"/>
  <c r="Y448" i="3"/>
  <c r="AU442" i="3"/>
  <c r="CC441" i="3"/>
  <c r="CD441" i="3" s="1"/>
  <c r="CC432" i="3"/>
  <c r="CD432" i="3" s="1"/>
  <c r="CC466" i="3"/>
  <c r="CD466" i="3" s="1"/>
  <c r="CC461" i="3"/>
  <c r="CD461" i="3" s="1"/>
  <c r="AU457" i="3"/>
  <c r="Y454" i="3"/>
  <c r="BP480" i="3"/>
  <c r="Y476" i="3"/>
  <c r="AU475" i="3"/>
  <c r="AU495" i="3"/>
  <c r="Y495" i="3"/>
  <c r="BV490" i="3"/>
  <c r="AU519" i="3"/>
  <c r="BV505" i="3"/>
  <c r="BY505" i="3"/>
  <c r="Y526" i="3"/>
  <c r="BV554" i="3"/>
  <c r="Y543" i="3"/>
  <c r="BV574" i="3"/>
  <c r="AU569" i="3"/>
  <c r="BC569" i="3" s="1"/>
  <c r="AU393" i="3"/>
  <c r="BY392" i="3"/>
  <c r="Y392" i="3"/>
  <c r="BY390" i="3"/>
  <c r="BY380" i="3"/>
  <c r="Y380" i="3"/>
  <c r="BV409" i="3"/>
  <c r="BV407" i="3"/>
  <c r="BV406" i="3"/>
  <c r="CC404" i="3"/>
  <c r="CD404" i="3" s="1"/>
  <c r="CC400" i="3"/>
  <c r="CD400" i="3" s="1"/>
  <c r="CC399" i="3"/>
  <c r="CD399" i="3" s="1"/>
  <c r="AZ399" i="3"/>
  <c r="BA399" i="3" s="1"/>
  <c r="BB399" i="3" s="1"/>
  <c r="BV397" i="3"/>
  <c r="BY426" i="3"/>
  <c r="BY425" i="3"/>
  <c r="BZ425" i="3" s="1"/>
  <c r="BV423" i="3"/>
  <c r="BP422" i="3"/>
  <c r="Y422" i="3"/>
  <c r="AZ421" i="3"/>
  <c r="BA421" i="3" s="1"/>
  <c r="BB421" i="3" s="1"/>
  <c r="CC415" i="3"/>
  <c r="CD415" i="3" s="1"/>
  <c r="CC414" i="3"/>
  <c r="CD414" i="3" s="1"/>
  <c r="CC447" i="3"/>
  <c r="CD447" i="3" s="1"/>
  <c r="CC446" i="3"/>
  <c r="CD446" i="3" s="1"/>
  <c r="CC445" i="3"/>
  <c r="CD445" i="3" s="1"/>
  <c r="AZ444" i="3"/>
  <c r="BA444" i="3" s="1"/>
  <c r="BB444" i="3" s="1"/>
  <c r="Y439" i="3"/>
  <c r="BV434" i="3"/>
  <c r="BV433" i="3"/>
  <c r="BP459" i="3"/>
  <c r="CC453" i="3"/>
  <c r="CD453" i="3" s="1"/>
  <c r="AF452" i="3"/>
  <c r="AJ452" i="3" s="1"/>
  <c r="AK452" i="3" s="1"/>
  <c r="CC476" i="3"/>
  <c r="CD476" i="3" s="1"/>
  <c r="CC475" i="3"/>
  <c r="CD475" i="3" s="1"/>
  <c r="Y473" i="3"/>
  <c r="AZ472" i="3"/>
  <c r="BA472" i="3" s="1"/>
  <c r="BB472" i="3" s="1"/>
  <c r="Y472" i="3"/>
  <c r="AH468" i="3"/>
  <c r="AJ468" i="3" s="1"/>
  <c r="AK468" i="3" s="1"/>
  <c r="BY500" i="3"/>
  <c r="BY499" i="3"/>
  <c r="AZ498" i="3"/>
  <c r="BA498" i="3" s="1"/>
  <c r="BB498" i="3" s="1"/>
  <c r="BY495" i="3"/>
  <c r="CC494" i="3"/>
  <c r="CD494" i="3" s="1"/>
  <c r="BP492" i="3"/>
  <c r="BV489" i="3"/>
  <c r="BV488" i="3"/>
  <c r="AU515" i="3"/>
  <c r="BV508" i="3"/>
  <c r="AU529" i="3"/>
  <c r="AS528" i="3"/>
  <c r="AT528" i="3" s="1"/>
  <c r="AU528" i="3" s="1"/>
  <c r="AS524" i="3"/>
  <c r="AT524" i="3" s="1"/>
  <c r="AU524" i="3" s="1"/>
  <c r="BY522" i="3"/>
  <c r="BV522" i="3"/>
  <c r="AZ572" i="3"/>
  <c r="BA572" i="3" s="1"/>
  <c r="BB572" i="3" s="1"/>
  <c r="BV569" i="3"/>
  <c r="BV561" i="3"/>
  <c r="AH561" i="3"/>
  <c r="AJ561" i="3" s="1"/>
  <c r="AK561" i="3" s="1"/>
  <c r="BV591" i="3"/>
  <c r="BY591" i="3"/>
  <c r="Y596" i="3"/>
  <c r="BY420" i="3"/>
  <c r="BY445" i="3"/>
  <c r="AH435" i="3"/>
  <c r="AJ435" i="3" s="1"/>
  <c r="AK435" i="3" s="1"/>
  <c r="BY465" i="3"/>
  <c r="BZ465" i="3" s="1"/>
  <c r="BY464" i="3"/>
  <c r="AZ481" i="3"/>
  <c r="BA481" i="3" s="1"/>
  <c r="BB481" i="3" s="1"/>
  <c r="AU472" i="3"/>
  <c r="BP471" i="3"/>
  <c r="AZ489" i="3"/>
  <c r="BA489" i="3" s="1"/>
  <c r="BB489" i="3" s="1"/>
  <c r="BY486" i="3"/>
  <c r="AF520" i="3"/>
  <c r="AH520" i="3"/>
  <c r="AF522" i="3"/>
  <c r="AH522" i="3"/>
  <c r="BY405" i="3"/>
  <c r="BV403" i="3"/>
  <c r="CC401" i="3"/>
  <c r="CD401" i="3" s="1"/>
  <c r="AO426" i="3"/>
  <c r="AP426" i="3" s="1"/>
  <c r="AU426" i="3" s="1"/>
  <c r="CC421" i="3"/>
  <c r="CD421" i="3" s="1"/>
  <c r="AO419" i="3"/>
  <c r="AP419" i="3" s="1"/>
  <c r="AU419" i="3" s="1"/>
  <c r="BV441" i="3"/>
  <c r="AH434" i="3"/>
  <c r="AJ434" i="3" s="1"/>
  <c r="AK434" i="3" s="1"/>
  <c r="BO433" i="3"/>
  <c r="BP433" i="3" s="1"/>
  <c r="BY432" i="3"/>
  <c r="Y464" i="3"/>
  <c r="CC460" i="3"/>
  <c r="CD460" i="3" s="1"/>
  <c r="BP478" i="3"/>
  <c r="BY474" i="3"/>
  <c r="AH470" i="3"/>
  <c r="AF470" i="3"/>
  <c r="BV500" i="3"/>
  <c r="AF497" i="3"/>
  <c r="AJ497" i="3" s="1"/>
  <c r="AK497" i="3" s="1"/>
  <c r="BP491" i="3"/>
  <c r="BP513" i="3"/>
  <c r="AZ510" i="3"/>
  <c r="BA510" i="3" s="1"/>
  <c r="BB510" i="3" s="1"/>
  <c r="AZ509" i="3"/>
  <c r="BA509" i="3" s="1"/>
  <c r="BB509" i="3" s="1"/>
  <c r="AZ531" i="3"/>
  <c r="BA531" i="3" s="1"/>
  <c r="BB531" i="3" s="1"/>
  <c r="AF523" i="3"/>
  <c r="AH523" i="3"/>
  <c r="AZ559" i="3"/>
  <c r="BA559" i="3" s="1"/>
  <c r="BB559" i="3" s="1"/>
  <c r="BO436" i="3"/>
  <c r="BP436" i="3" s="1"/>
  <c r="BP466" i="3"/>
  <c r="BP465" i="3"/>
  <c r="AZ463" i="3"/>
  <c r="BA463" i="3" s="1"/>
  <c r="BB463" i="3" s="1"/>
  <c r="BP458" i="3"/>
  <c r="BP484" i="3"/>
  <c r="AZ478" i="3"/>
  <c r="BA478" i="3" s="1"/>
  <c r="BB478" i="3" s="1"/>
  <c r="AS474" i="3"/>
  <c r="AT474" i="3" s="1"/>
  <c r="AU474" i="3" s="1"/>
  <c r="BC474" i="3" s="1"/>
  <c r="AZ501" i="3"/>
  <c r="BA501" i="3" s="1"/>
  <c r="BB501" i="3" s="1"/>
  <c r="AS510" i="3"/>
  <c r="AT510" i="3" s="1"/>
  <c r="AU510" i="3" s="1"/>
  <c r="AZ504" i="3"/>
  <c r="BA504" i="3" s="1"/>
  <c r="BB504" i="3" s="1"/>
  <c r="AS531" i="3"/>
  <c r="AT531" i="3" s="1"/>
  <c r="AU531" i="3" s="1"/>
  <c r="BV402" i="3"/>
  <c r="AZ401" i="3"/>
  <c r="BA401" i="3" s="1"/>
  <c r="BB401" i="3" s="1"/>
  <c r="BY398" i="3"/>
  <c r="Y430" i="3"/>
  <c r="BP428" i="3"/>
  <c r="AZ422" i="3"/>
  <c r="BA422" i="3" s="1"/>
  <c r="BB422" i="3" s="1"/>
  <c r="Y418" i="3"/>
  <c r="BP416" i="3"/>
  <c r="AH416" i="3"/>
  <c r="AJ416" i="3" s="1"/>
  <c r="AK416" i="3" s="1"/>
  <c r="BV415" i="3"/>
  <c r="BV447" i="3"/>
  <c r="AH447" i="3"/>
  <c r="AJ447" i="3" s="1"/>
  <c r="AK447" i="3" s="1"/>
  <c r="BV439" i="3"/>
  <c r="AU438" i="3"/>
  <c r="AF433" i="3"/>
  <c r="AJ433" i="3" s="1"/>
  <c r="AK433" i="3" s="1"/>
  <c r="BM432" i="3"/>
  <c r="BP432" i="3" s="1"/>
  <c r="CC463" i="3"/>
  <c r="CD463" i="3" s="1"/>
  <c r="AH457" i="3"/>
  <c r="AJ457" i="3" s="1"/>
  <c r="AK457" i="3" s="1"/>
  <c r="BV456" i="3"/>
  <c r="BV455" i="3"/>
  <c r="BV454" i="3"/>
  <c r="BY453" i="3"/>
  <c r="Y452" i="3"/>
  <c r="AH483" i="3"/>
  <c r="AJ483" i="3" s="1"/>
  <c r="AK483" i="3" s="1"/>
  <c r="BV482" i="3"/>
  <c r="BZ482" i="3" s="1"/>
  <c r="BY480" i="3"/>
  <c r="CC478" i="3"/>
  <c r="CD478" i="3" s="1"/>
  <c r="AF475" i="3"/>
  <c r="AJ475" i="3" s="1"/>
  <c r="AK475" i="3" s="1"/>
  <c r="BY473" i="3"/>
  <c r="BV472" i="3"/>
  <c r="Y468" i="3"/>
  <c r="BP500" i="3"/>
  <c r="BV498" i="3"/>
  <c r="BP496" i="3"/>
  <c r="AH496" i="3"/>
  <c r="AJ496" i="3" s="1"/>
  <c r="AK496" i="3" s="1"/>
  <c r="BV494" i="3"/>
  <c r="BV493" i="3"/>
  <c r="BV517" i="3"/>
  <c r="AZ517" i="3"/>
  <c r="BA517" i="3" s="1"/>
  <c r="BB517" i="3" s="1"/>
  <c r="BV509" i="3"/>
  <c r="BP536" i="3"/>
  <c r="BP541" i="3"/>
  <c r="BV421" i="3"/>
  <c r="AH421" i="3"/>
  <c r="AJ421" i="3" s="1"/>
  <c r="AK421" i="3" s="1"/>
  <c r="BP419" i="3"/>
  <c r="BP417" i="3"/>
  <c r="AH446" i="3"/>
  <c r="AJ446" i="3" s="1"/>
  <c r="AK446" i="3" s="1"/>
  <c r="BY444" i="3"/>
  <c r="AH440" i="3"/>
  <c r="AJ440" i="3" s="1"/>
  <c r="AK440" i="3" s="1"/>
  <c r="AH453" i="3"/>
  <c r="AJ453" i="3" s="1"/>
  <c r="AK453" i="3" s="1"/>
  <c r="AZ451" i="3"/>
  <c r="BA451" i="3" s="1"/>
  <c r="BB451" i="3" s="1"/>
  <c r="AU480" i="3"/>
  <c r="AZ479" i="3"/>
  <c r="BA479" i="3" s="1"/>
  <c r="BB479" i="3" s="1"/>
  <c r="BP477" i="3"/>
  <c r="AZ469" i="3"/>
  <c r="BA469" i="3" s="1"/>
  <c r="BB469" i="3" s="1"/>
  <c r="BP501" i="3"/>
  <c r="AH500" i="3"/>
  <c r="AJ500" i="3" s="1"/>
  <c r="AK500" i="3" s="1"/>
  <c r="AF494" i="3"/>
  <c r="AJ494" i="3" s="1"/>
  <c r="AK494" i="3" s="1"/>
  <c r="AH515" i="3"/>
  <c r="AF515" i="3"/>
  <c r="AU534" i="3"/>
  <c r="AZ555" i="3"/>
  <c r="BA555" i="3" s="1"/>
  <c r="BB555" i="3" s="1"/>
  <c r="BP592" i="3"/>
  <c r="BP420" i="3"/>
  <c r="AZ418" i="3"/>
  <c r="BA418" i="3" s="1"/>
  <c r="BB418" i="3" s="1"/>
  <c r="AZ417" i="3"/>
  <c r="BA417" i="3" s="1"/>
  <c r="BB417" i="3" s="1"/>
  <c r="BY443" i="3"/>
  <c r="BY437" i="3"/>
  <c r="AZ435" i="3"/>
  <c r="BA435" i="3" s="1"/>
  <c r="BB435" i="3" s="1"/>
  <c r="AU462" i="3"/>
  <c r="AU450" i="3"/>
  <c r="BY479" i="3"/>
  <c r="BP499" i="3"/>
  <c r="AZ512" i="3"/>
  <c r="BA512" i="3" s="1"/>
  <c r="BB512" i="3" s="1"/>
  <c r="BY510" i="3"/>
  <c r="AZ508" i="3"/>
  <c r="BA508" i="3" s="1"/>
  <c r="BB508" i="3" s="1"/>
  <c r="AS618" i="3"/>
  <c r="AT618" i="3" s="1"/>
  <c r="AU618" i="3" s="1"/>
  <c r="BP401" i="3"/>
  <c r="CC430" i="3"/>
  <c r="CD430" i="3" s="1"/>
  <c r="Y426" i="3"/>
  <c r="Y425" i="3"/>
  <c r="CC422" i="3"/>
  <c r="CD422" i="3" s="1"/>
  <c r="Y420" i="3"/>
  <c r="CC418" i="3"/>
  <c r="CD418" i="3" s="1"/>
  <c r="BP414" i="3"/>
  <c r="Y443" i="3"/>
  <c r="AZ436" i="3"/>
  <c r="BA436" i="3" s="1"/>
  <c r="BB436" i="3" s="1"/>
  <c r="Y436" i="3"/>
  <c r="Y466" i="3"/>
  <c r="BY450" i="3"/>
  <c r="Y450" i="3"/>
  <c r="Y484" i="3"/>
  <c r="BV481" i="3"/>
  <c r="BY470" i="3"/>
  <c r="CC469" i="3"/>
  <c r="CD469" i="3" s="1"/>
  <c r="AU469" i="3"/>
  <c r="CC468" i="3"/>
  <c r="CD468" i="3" s="1"/>
  <c r="AS492" i="3"/>
  <c r="AT492" i="3" s="1"/>
  <c r="AU492" i="3" s="1"/>
  <c r="AU490" i="3"/>
  <c r="Y488" i="3"/>
  <c r="AZ520" i="3"/>
  <c r="BA520" i="3" s="1"/>
  <c r="BB520" i="3" s="1"/>
  <c r="AF516" i="3"/>
  <c r="AH516" i="3"/>
  <c r="BP515" i="3"/>
  <c r="AU508" i="3"/>
  <c r="BP528" i="3"/>
  <c r="AH551" i="3"/>
  <c r="AF551" i="3"/>
  <c r="BY573" i="3"/>
  <c r="BP564" i="3"/>
  <c r="BV553" i="3"/>
  <c r="BV549" i="3"/>
  <c r="AJ542" i="3"/>
  <c r="AK542" i="3" s="1"/>
  <c r="Y567" i="3"/>
  <c r="AJ562" i="3"/>
  <c r="AK562" i="3" s="1"/>
  <c r="BP559" i="3"/>
  <c r="BP558" i="3"/>
  <c r="AU590" i="3"/>
  <c r="CC589" i="3"/>
  <c r="CD589" i="3" s="1"/>
  <c r="AU589" i="3"/>
  <c r="CC588" i="3"/>
  <c r="CD588" i="3" s="1"/>
  <c r="Y587" i="3"/>
  <c r="CC581" i="3"/>
  <c r="CD581" i="3" s="1"/>
  <c r="CC472" i="3"/>
  <c r="CD472" i="3" s="1"/>
  <c r="CC471" i="3"/>
  <c r="CD471" i="3" s="1"/>
  <c r="AZ471" i="3"/>
  <c r="BA471" i="3" s="1"/>
  <c r="BB471" i="3" s="1"/>
  <c r="BV502" i="3"/>
  <c r="AZ499" i="3"/>
  <c r="BA499" i="3" s="1"/>
  <c r="BB499" i="3" s="1"/>
  <c r="Y499" i="3"/>
  <c r="CC496" i="3"/>
  <c r="CD496" i="3" s="1"/>
  <c r="BP493" i="3"/>
  <c r="BY492" i="3"/>
  <c r="BY491" i="3"/>
  <c r="AZ490" i="3"/>
  <c r="BA490" i="3" s="1"/>
  <c r="BB490" i="3" s="1"/>
  <c r="AJ488" i="3"/>
  <c r="AK488" i="3" s="1"/>
  <c r="BP487" i="3"/>
  <c r="CC515" i="3"/>
  <c r="CD515" i="3" s="1"/>
  <c r="BP514" i="3"/>
  <c r="AH512" i="3"/>
  <c r="AJ512" i="3" s="1"/>
  <c r="AK512" i="3" s="1"/>
  <c r="AH508" i="3"/>
  <c r="AJ508" i="3" s="1"/>
  <c r="AK508" i="3" s="1"/>
  <c r="BP538" i="3"/>
  <c r="BY537" i="3"/>
  <c r="AF536" i="3"/>
  <c r="AJ536" i="3" s="1"/>
  <c r="AK536" i="3" s="1"/>
  <c r="AH535" i="3"/>
  <c r="AJ535" i="3" s="1"/>
  <c r="AK535" i="3" s="1"/>
  <c r="BP531" i="3"/>
  <c r="AZ528" i="3"/>
  <c r="BA528" i="3" s="1"/>
  <c r="BB528" i="3" s="1"/>
  <c r="BY525" i="3"/>
  <c r="BP552" i="3"/>
  <c r="AH552" i="3"/>
  <c r="AJ552" i="3" s="1"/>
  <c r="AK552" i="3" s="1"/>
  <c r="CC550" i="3"/>
  <c r="CD550" i="3" s="1"/>
  <c r="AZ550" i="3"/>
  <c r="BA550" i="3" s="1"/>
  <c r="BB550" i="3" s="1"/>
  <c r="BV546" i="3"/>
  <c r="BY545" i="3"/>
  <c r="AU544" i="3"/>
  <c r="BC544" i="3" s="1"/>
  <c r="BP571" i="3"/>
  <c r="BP570" i="3"/>
  <c r="BY567" i="3"/>
  <c r="CC566" i="3"/>
  <c r="CD566" i="3" s="1"/>
  <c r="CC565" i="3"/>
  <c r="CD565" i="3" s="1"/>
  <c r="BV583" i="3"/>
  <c r="Y577" i="3"/>
  <c r="CC603" i="3"/>
  <c r="CD603" i="3" s="1"/>
  <c r="BP600" i="3"/>
  <c r="Y614" i="3"/>
  <c r="Y640" i="3"/>
  <c r="BV633" i="3"/>
  <c r="Y663" i="3"/>
  <c r="BP520" i="3"/>
  <c r="BY516" i="3"/>
  <c r="BY515" i="3"/>
  <c r="AZ514" i="3"/>
  <c r="BA514" i="3" s="1"/>
  <c r="BB514" i="3" s="1"/>
  <c r="BP510" i="3"/>
  <c r="BP508" i="3"/>
  <c r="BP535" i="3"/>
  <c r="AU525" i="3"/>
  <c r="AF524" i="3"/>
  <c r="AJ524" i="3" s="1"/>
  <c r="AK524" i="3" s="1"/>
  <c r="AH554" i="3"/>
  <c r="AJ554" i="3" s="1"/>
  <c r="AK554" i="3" s="1"/>
  <c r="AH549" i="3"/>
  <c r="AJ549" i="3" s="1"/>
  <c r="AK549" i="3" s="1"/>
  <c r="BY544" i="3"/>
  <c r="AZ541" i="3"/>
  <c r="BA541" i="3" s="1"/>
  <c r="BB541" i="3" s="1"/>
  <c r="BV588" i="3"/>
  <c r="AU587" i="3"/>
  <c r="BY585" i="3"/>
  <c r="Y615" i="3"/>
  <c r="AU648" i="3"/>
  <c r="AU514" i="3"/>
  <c r="BP511" i="3"/>
  <c r="BP509" i="3"/>
  <c r="Y504" i="3"/>
  <c r="BP537" i="3"/>
  <c r="BY534" i="3"/>
  <c r="BP525" i="3"/>
  <c r="BP523" i="3"/>
  <c r="BY540" i="3"/>
  <c r="BP574" i="3"/>
  <c r="BP573" i="3"/>
  <c r="AU604" i="3"/>
  <c r="AF602" i="3"/>
  <c r="AH602" i="3"/>
  <c r="AU598" i="3"/>
  <c r="BP594" i="3"/>
  <c r="BP616" i="3"/>
  <c r="AZ591" i="3"/>
  <c r="BA591" i="3" s="1"/>
  <c r="BB591" i="3" s="1"/>
  <c r="AF609" i="3"/>
  <c r="AH609" i="3"/>
  <c r="AO634" i="3"/>
  <c r="AP634" i="3" s="1"/>
  <c r="AU634" i="3" s="1"/>
  <c r="BY631" i="3"/>
  <c r="BY661" i="3"/>
  <c r="BZ661" i="3" s="1"/>
  <c r="BV660" i="3"/>
  <c r="CC653" i="3"/>
  <c r="CD653" i="3" s="1"/>
  <c r="BM650" i="3"/>
  <c r="BO650" i="3"/>
  <c r="AH674" i="3"/>
  <c r="AF674" i="3"/>
  <c r="Y672" i="3"/>
  <c r="AZ487" i="3"/>
  <c r="BA487" i="3" s="1"/>
  <c r="BB487" i="3" s="1"/>
  <c r="Y487" i="3"/>
  <c r="AZ486" i="3"/>
  <c r="BA486" i="3" s="1"/>
  <c r="BB486" i="3" s="1"/>
  <c r="AU518" i="3"/>
  <c r="Y512" i="3"/>
  <c r="AU511" i="3"/>
  <c r="BC511" i="3" s="1"/>
  <c r="AU506" i="3"/>
  <c r="CC505" i="3"/>
  <c r="CD505" i="3" s="1"/>
  <c r="AZ538" i="3"/>
  <c r="BA538" i="3" s="1"/>
  <c r="BB538" i="3" s="1"/>
  <c r="AU536" i="3"/>
  <c r="Y536" i="3"/>
  <c r="Y531" i="3"/>
  <c r="AZ530" i="3"/>
  <c r="BA530" i="3" s="1"/>
  <c r="BB530" i="3" s="1"/>
  <c r="BY524" i="3"/>
  <c r="AU556" i="3"/>
  <c r="CC555" i="3"/>
  <c r="CD555" i="3" s="1"/>
  <c r="AZ553" i="3"/>
  <c r="BA553" i="3" s="1"/>
  <c r="BB553" i="3" s="1"/>
  <c r="CC552" i="3"/>
  <c r="CD552" i="3" s="1"/>
  <c r="AZ552" i="3"/>
  <c r="BA552" i="3" s="1"/>
  <c r="BB552" i="3" s="1"/>
  <c r="Y552" i="3"/>
  <c r="BY541" i="3"/>
  <c r="AU574" i="3"/>
  <c r="AU573" i="3"/>
  <c r="BC573" i="3" s="1"/>
  <c r="AZ570" i="3"/>
  <c r="BA570" i="3" s="1"/>
  <c r="BB570" i="3" s="1"/>
  <c r="AH566" i="3"/>
  <c r="AJ566" i="3" s="1"/>
  <c r="AK566" i="3" s="1"/>
  <c r="AU562" i="3"/>
  <c r="AU561" i="3"/>
  <c r="BC561" i="3" s="1"/>
  <c r="CC560" i="3"/>
  <c r="CD560" i="3" s="1"/>
  <c r="CC559" i="3"/>
  <c r="CD559" i="3" s="1"/>
  <c r="BY558" i="3"/>
  <c r="AF590" i="3"/>
  <c r="AJ590" i="3" s="1"/>
  <c r="AK590" i="3" s="1"/>
  <c r="BP589" i="3"/>
  <c r="BV587" i="3"/>
  <c r="AF638" i="3"/>
  <c r="AJ638" i="3" s="1"/>
  <c r="AK638" i="3" s="1"/>
  <c r="AF634" i="3"/>
  <c r="AH634" i="3"/>
  <c r="AH631" i="3"/>
  <c r="AJ631" i="3" s="1"/>
  <c r="AK631" i="3" s="1"/>
  <c r="AF652" i="3"/>
  <c r="AH652" i="3"/>
  <c r="AZ535" i="3"/>
  <c r="BA535" i="3" s="1"/>
  <c r="BB535" i="3" s="1"/>
  <c r="BP548" i="3"/>
  <c r="BP545" i="3"/>
  <c r="BP565" i="3"/>
  <c r="BY563" i="3"/>
  <c r="BP588" i="3"/>
  <c r="AZ608" i="3"/>
  <c r="BA608" i="3" s="1"/>
  <c r="BB608" i="3" s="1"/>
  <c r="AZ607" i="3"/>
  <c r="BA607" i="3" s="1"/>
  <c r="BB607" i="3" s="1"/>
  <c r="BY599" i="3"/>
  <c r="BY648" i="3"/>
  <c r="BV648" i="3"/>
  <c r="BY488" i="3"/>
  <c r="BY487" i="3"/>
  <c r="CC486" i="3"/>
  <c r="CD486" i="3" s="1"/>
  <c r="CC520" i="3"/>
  <c r="CD520" i="3" s="1"/>
  <c r="CC519" i="3"/>
  <c r="CD519" i="3" s="1"/>
  <c r="BP519" i="3"/>
  <c r="CC512" i="3"/>
  <c r="CD512" i="3" s="1"/>
  <c r="CC511" i="3"/>
  <c r="CD511" i="3" s="1"/>
  <c r="CC538" i="3"/>
  <c r="CD538" i="3" s="1"/>
  <c r="CC535" i="3"/>
  <c r="CD535" i="3" s="1"/>
  <c r="AF533" i="3"/>
  <c r="AJ533" i="3" s="1"/>
  <c r="AK533" i="3" s="1"/>
  <c r="BV532" i="3"/>
  <c r="BZ532" i="3" s="1"/>
  <c r="CC530" i="3"/>
  <c r="CD530" i="3" s="1"/>
  <c r="BV524" i="3"/>
  <c r="AZ523" i="3"/>
  <c r="BA523" i="3" s="1"/>
  <c r="BB523" i="3" s="1"/>
  <c r="CC554" i="3"/>
  <c r="CD554" i="3" s="1"/>
  <c r="BY552" i="3"/>
  <c r="CC549" i="3"/>
  <c r="CD549" i="3" s="1"/>
  <c r="AH543" i="3"/>
  <c r="AJ543" i="3" s="1"/>
  <c r="AK543" i="3" s="1"/>
  <c r="BV541" i="3"/>
  <c r="BY574" i="3"/>
  <c r="CC571" i="3"/>
  <c r="CD571" i="3" s="1"/>
  <c r="BY570" i="3"/>
  <c r="BP566" i="3"/>
  <c r="BY562" i="3"/>
  <c r="AU591" i="3"/>
  <c r="AH588" i="3"/>
  <c r="AJ588" i="3" s="1"/>
  <c r="AK588" i="3" s="1"/>
  <c r="AF587" i="3"/>
  <c r="AJ587" i="3" s="1"/>
  <c r="AK587" i="3" s="1"/>
  <c r="BP586" i="3"/>
  <c r="Y583" i="3"/>
  <c r="AZ580" i="3"/>
  <c r="BA580" i="3" s="1"/>
  <c r="BB580" i="3" s="1"/>
  <c r="AF576" i="3"/>
  <c r="AH576" i="3"/>
  <c r="BV604" i="3"/>
  <c r="BY604" i="3"/>
  <c r="AZ624" i="3"/>
  <c r="BA624" i="3" s="1"/>
  <c r="BB624" i="3" s="1"/>
  <c r="AZ642" i="3"/>
  <c r="BA642" i="3" s="1"/>
  <c r="BB642" i="3" s="1"/>
  <c r="CC641" i="3"/>
  <c r="CD641" i="3" s="1"/>
  <c r="AF660" i="3"/>
  <c r="AH660" i="3"/>
  <c r="BV513" i="3"/>
  <c r="BZ513" i="3" s="1"/>
  <c r="BY512" i="3"/>
  <c r="BY511" i="3"/>
  <c r="CC537" i="3"/>
  <c r="CD537" i="3" s="1"/>
  <c r="AU535" i="3"/>
  <c r="BY531" i="3"/>
  <c r="BY530" i="3"/>
  <c r="BY529" i="3"/>
  <c r="BY554" i="3"/>
  <c r="BY571" i="3"/>
  <c r="BY569" i="3"/>
  <c r="AU580" i="3"/>
  <c r="CC579" i="3"/>
  <c r="CD579" i="3" s="1"/>
  <c r="AU608" i="3"/>
  <c r="BY620" i="3"/>
  <c r="BP612" i="3"/>
  <c r="BP644" i="3"/>
  <c r="BM657" i="3"/>
  <c r="BO657" i="3"/>
  <c r="Y652" i="3"/>
  <c r="BV582" i="3"/>
  <c r="BZ582" i="3" s="1"/>
  <c r="AU582" i="3"/>
  <c r="AJ610" i="3"/>
  <c r="AK610" i="3" s="1"/>
  <c r="Y606" i="3"/>
  <c r="AZ601" i="3"/>
  <c r="BA601" i="3" s="1"/>
  <c r="BB601" i="3" s="1"/>
  <c r="BV626" i="3"/>
  <c r="BP620" i="3"/>
  <c r="BV618" i="3"/>
  <c r="AZ616" i="3"/>
  <c r="BA616" i="3" s="1"/>
  <c r="BB616" i="3" s="1"/>
  <c r="BC616" i="3" s="1"/>
  <c r="Y616" i="3"/>
  <c r="AZ615" i="3"/>
  <c r="BA615" i="3" s="1"/>
  <c r="BB615" i="3" s="1"/>
  <c r="BY642" i="3"/>
  <c r="BZ642" i="3" s="1"/>
  <c r="CC640" i="3"/>
  <c r="CD640" i="3" s="1"/>
  <c r="BP639" i="3"/>
  <c r="AO635" i="3"/>
  <c r="AP635" i="3" s="1"/>
  <c r="AU635" i="3" s="1"/>
  <c r="BV634" i="3"/>
  <c r="BP631" i="3"/>
  <c r="AJ662" i="3"/>
  <c r="AK662" i="3" s="1"/>
  <c r="Y656" i="3"/>
  <c r="BO651" i="3"/>
  <c r="BP651" i="3" s="1"/>
  <c r="Y650" i="3"/>
  <c r="AZ649" i="3"/>
  <c r="BA649" i="3" s="1"/>
  <c r="BB649" i="3" s="1"/>
  <c r="Y673" i="3"/>
  <c r="AZ563" i="3"/>
  <c r="BA563" i="3" s="1"/>
  <c r="BB563" i="3" s="1"/>
  <c r="BC563" i="3" s="1"/>
  <c r="BP562" i="3"/>
  <c r="BP561" i="3"/>
  <c r="Y558" i="3"/>
  <c r="AZ592" i="3"/>
  <c r="BA592" i="3" s="1"/>
  <c r="BB592" i="3" s="1"/>
  <c r="Y592" i="3"/>
  <c r="AU588" i="3"/>
  <c r="BP585" i="3"/>
  <c r="AF584" i="3"/>
  <c r="AJ584" i="3" s="1"/>
  <c r="AK584" i="3" s="1"/>
  <c r="BV581" i="3"/>
  <c r="AZ581" i="3"/>
  <c r="BA581" i="3" s="1"/>
  <c r="BB581" i="3" s="1"/>
  <c r="Y578" i="3"/>
  <c r="AZ577" i="3"/>
  <c r="BA577" i="3" s="1"/>
  <c r="BB577" i="3" s="1"/>
  <c r="BY606" i="3"/>
  <c r="AU603" i="3"/>
  <c r="CC602" i="3"/>
  <c r="CD602" i="3" s="1"/>
  <c r="CC595" i="3"/>
  <c r="CD595" i="3" s="1"/>
  <c r="AH628" i="3"/>
  <c r="AJ628" i="3" s="1"/>
  <c r="AK628" i="3" s="1"/>
  <c r="AU622" i="3"/>
  <c r="CC615" i="3"/>
  <c r="CD615" i="3" s="1"/>
  <c r="CC614" i="3"/>
  <c r="CD614" i="3" s="1"/>
  <c r="Y613" i="3"/>
  <c r="AZ612" i="3"/>
  <c r="BA612" i="3" s="1"/>
  <c r="BB612" i="3" s="1"/>
  <c r="BY645" i="3"/>
  <c r="AO642" i="3"/>
  <c r="AP642" i="3" s="1"/>
  <c r="AU642" i="3" s="1"/>
  <c r="Y638" i="3"/>
  <c r="BP633" i="3"/>
  <c r="Y633" i="3"/>
  <c r="BP630" i="3"/>
  <c r="AZ662" i="3"/>
  <c r="BA662" i="3" s="1"/>
  <c r="BB662" i="3" s="1"/>
  <c r="BC662" i="3" s="1"/>
  <c r="BV653" i="3"/>
  <c r="Y653" i="3"/>
  <c r="AZ652" i="3"/>
  <c r="BA652" i="3" s="1"/>
  <c r="BB652" i="3" s="1"/>
  <c r="CC649" i="3"/>
  <c r="CD649" i="3" s="1"/>
  <c r="AU649" i="3"/>
  <c r="AF604" i="3"/>
  <c r="AJ604" i="3" s="1"/>
  <c r="AK604" i="3" s="1"/>
  <c r="AZ599" i="3"/>
  <c r="BA599" i="3" s="1"/>
  <c r="BB599" i="3" s="1"/>
  <c r="BC599" i="3" s="1"/>
  <c r="AU621" i="3"/>
  <c r="BC621" i="3" s="1"/>
  <c r="BP618" i="3"/>
  <c r="AJ641" i="3"/>
  <c r="AK641" i="3" s="1"/>
  <c r="AH635" i="3"/>
  <c r="AJ635" i="3" s="1"/>
  <c r="AK635" i="3" s="1"/>
  <c r="BP634" i="3"/>
  <c r="AZ664" i="3"/>
  <c r="BA664" i="3" s="1"/>
  <c r="BB664" i="3" s="1"/>
  <c r="AZ661" i="3"/>
  <c r="BA661" i="3" s="1"/>
  <c r="BB661" i="3" s="1"/>
  <c r="AU657" i="3"/>
  <c r="AF680" i="3"/>
  <c r="AJ680" i="3" s="1"/>
  <c r="AK680" i="3" s="1"/>
  <c r="AF668" i="3"/>
  <c r="AJ668" i="3" s="1"/>
  <c r="AK668" i="3" s="1"/>
  <c r="BP604" i="3"/>
  <c r="BP599" i="3"/>
  <c r="BP617" i="3"/>
  <c r="BP635" i="3"/>
  <c r="BO660" i="3"/>
  <c r="BP660" i="3" s="1"/>
  <c r="AZ655" i="3"/>
  <c r="BA655" i="3" s="1"/>
  <c r="BB655" i="3" s="1"/>
  <c r="AU652" i="3"/>
  <c r="AH681" i="3"/>
  <c r="AJ681" i="3" s="1"/>
  <c r="AK681" i="3" s="1"/>
  <c r="AH669" i="3"/>
  <c r="AJ669" i="3" s="1"/>
  <c r="AK669" i="3" s="1"/>
  <c r="AZ583" i="3"/>
  <c r="BA583" i="3" s="1"/>
  <c r="BB583" i="3" s="1"/>
  <c r="BV578" i="3"/>
  <c r="AZ610" i="3"/>
  <c r="BA610" i="3" s="1"/>
  <c r="BB610" i="3" s="1"/>
  <c r="Y610" i="3"/>
  <c r="BP607" i="3"/>
  <c r="BY605" i="3"/>
  <c r="BZ605" i="3" s="1"/>
  <c r="AU605" i="3"/>
  <c r="AZ604" i="3"/>
  <c r="BA604" i="3" s="1"/>
  <c r="BB604" i="3" s="1"/>
  <c r="BV602" i="3"/>
  <c r="AH597" i="3"/>
  <c r="AJ597" i="3" s="1"/>
  <c r="AK597" i="3" s="1"/>
  <c r="AZ628" i="3"/>
  <c r="BA628" i="3" s="1"/>
  <c r="BB628" i="3" s="1"/>
  <c r="AH626" i="3"/>
  <c r="AJ626" i="3" s="1"/>
  <c r="AK626" i="3" s="1"/>
  <c r="BV614" i="3"/>
  <c r="AU613" i="3"/>
  <c r="BY612" i="3"/>
  <c r="BZ612" i="3" s="1"/>
  <c r="Y637" i="3"/>
  <c r="CC630" i="3"/>
  <c r="CD630" i="3" s="1"/>
  <c r="CC664" i="3"/>
  <c r="CD664" i="3" s="1"/>
  <c r="CC661" i="3"/>
  <c r="CD661" i="3" s="1"/>
  <c r="BY659" i="3"/>
  <c r="AZ656" i="3"/>
  <c r="BA656" i="3" s="1"/>
  <c r="BB656" i="3" s="1"/>
  <c r="BY655" i="3"/>
  <c r="AU655" i="3"/>
  <c r="BO653" i="3"/>
  <c r="BP653" i="3" s="1"/>
  <c r="BY652" i="3"/>
  <c r="BY576" i="3"/>
  <c r="AU576" i="3"/>
  <c r="BP609" i="3"/>
  <c r="BP608" i="3"/>
  <c r="BP603" i="3"/>
  <c r="BY628" i="3"/>
  <c r="BP627" i="3"/>
  <c r="AF623" i="3"/>
  <c r="AJ623" i="3" s="1"/>
  <c r="AK623" i="3" s="1"/>
  <c r="CC620" i="3"/>
  <c r="CD620" i="3" s="1"/>
  <c r="Y619" i="3"/>
  <c r="Y618" i="3"/>
  <c r="BV615" i="3"/>
  <c r="AH615" i="3"/>
  <c r="AJ615" i="3" s="1"/>
  <c r="AK615" i="3" s="1"/>
  <c r="BV613" i="3"/>
  <c r="BV646" i="3"/>
  <c r="AH646" i="3"/>
  <c r="AJ646" i="3" s="1"/>
  <c r="AK646" i="3" s="1"/>
  <c r="CC638" i="3"/>
  <c r="CD638" i="3" s="1"/>
  <c r="AZ637" i="3"/>
  <c r="BA637" i="3" s="1"/>
  <c r="BB637" i="3" s="1"/>
  <c r="AZ633" i="3"/>
  <c r="BA633" i="3" s="1"/>
  <c r="BB633" i="3" s="1"/>
  <c r="BY630" i="3"/>
  <c r="BV662" i="3"/>
  <c r="AZ659" i="3"/>
  <c r="BA659" i="3" s="1"/>
  <c r="BB659" i="3" s="1"/>
  <c r="Y679" i="3"/>
  <c r="AF671" i="3"/>
  <c r="AJ671" i="3" s="1"/>
  <c r="AK671" i="3" s="1"/>
  <c r="Y667" i="3"/>
  <c r="BV586" i="3"/>
  <c r="BZ586" i="3" s="1"/>
  <c r="BP579" i="3"/>
  <c r="AZ609" i="3"/>
  <c r="BA609" i="3" s="1"/>
  <c r="BB609" i="3" s="1"/>
  <c r="BC609" i="3" s="1"/>
  <c r="AH603" i="3"/>
  <c r="AJ603" i="3" s="1"/>
  <c r="AK603" i="3" s="1"/>
  <c r="BP598" i="3"/>
  <c r="AF596" i="3"/>
  <c r="AJ596" i="3" s="1"/>
  <c r="AK596" i="3" s="1"/>
  <c r="AZ627" i="3"/>
  <c r="BA627" i="3" s="1"/>
  <c r="BB627" i="3" s="1"/>
  <c r="BP625" i="3"/>
  <c r="AZ618" i="3"/>
  <c r="BA618" i="3" s="1"/>
  <c r="BB618" i="3" s="1"/>
  <c r="BY638" i="3"/>
  <c r="AZ634" i="3"/>
  <c r="BA634" i="3" s="1"/>
  <c r="BB634" i="3" s="1"/>
  <c r="AH663" i="3"/>
  <c r="AJ663" i="3" s="1"/>
  <c r="AK663" i="3" s="1"/>
  <c r="BY651" i="3"/>
  <c r="BY610" i="3"/>
  <c r="BP606" i="3"/>
  <c r="BP602" i="3"/>
  <c r="BP601" i="3"/>
  <c r="AZ598" i="3"/>
  <c r="BA598" i="3" s="1"/>
  <c r="BB598" i="3" s="1"/>
  <c r="BP595" i="3"/>
  <c r="AZ623" i="3"/>
  <c r="BA623" i="3" s="1"/>
  <c r="BB623" i="3" s="1"/>
  <c r="BY619" i="3"/>
  <c r="BP645" i="3"/>
  <c r="AO638" i="3"/>
  <c r="AP638" i="3" s="1"/>
  <c r="AU638" i="3" s="1"/>
  <c r="AZ636" i="3"/>
  <c r="BA636" i="3" s="1"/>
  <c r="BB636" i="3" s="1"/>
  <c r="BY633" i="3"/>
  <c r="BY663" i="3"/>
  <c r="CC584" i="3"/>
  <c r="CD584" i="3" s="1"/>
  <c r="CC627" i="3"/>
  <c r="CD627" i="3" s="1"/>
  <c r="CC626" i="3"/>
  <c r="CD626" i="3" s="1"/>
  <c r="BP624" i="3"/>
  <c r="BY623" i="3"/>
  <c r="BP613" i="3"/>
  <c r="BP646" i="3"/>
  <c r="Y644" i="3"/>
  <c r="Y642" i="3"/>
  <c r="AZ641" i="3"/>
  <c r="BA641" i="3" s="1"/>
  <c r="BB641" i="3" s="1"/>
  <c r="AJ640" i="3"/>
  <c r="AK640" i="3" s="1"/>
  <c r="BV637" i="3"/>
  <c r="CC634" i="3"/>
  <c r="CD634" i="3" s="1"/>
  <c r="AO633" i="3"/>
  <c r="AP633" i="3" s="1"/>
  <c r="AU633" i="3" s="1"/>
  <c r="BV632" i="3"/>
  <c r="AO632" i="3"/>
  <c r="AP632" i="3" s="1"/>
  <c r="AU632" i="3" s="1"/>
  <c r="BV664" i="3"/>
  <c r="Y682" i="3"/>
  <c r="Y670" i="3"/>
  <c r="AZ677" i="3"/>
  <c r="BA677" i="3" s="1"/>
  <c r="BB677" i="3" s="1"/>
  <c r="AZ680" i="3"/>
  <c r="BA680" i="3" s="1"/>
  <c r="BB680" i="3" s="1"/>
  <c r="AZ674" i="3"/>
  <c r="BA674" i="3" s="1"/>
  <c r="BB674" i="3" s="1"/>
  <c r="AU664" i="3"/>
  <c r="BM661" i="3"/>
  <c r="BP661" i="3" s="1"/>
  <c r="AU659" i="3"/>
  <c r="BY658" i="3"/>
  <c r="BO654" i="3"/>
  <c r="BP654" i="3" s="1"/>
  <c r="BM649" i="3"/>
  <c r="BP649" i="3" s="1"/>
  <c r="BO659" i="3"/>
  <c r="BP659" i="3" s="1"/>
  <c r="AH657" i="3"/>
  <c r="AJ657" i="3" s="1"/>
  <c r="AK657" i="3" s="1"/>
  <c r="AS654" i="3"/>
  <c r="AT654" i="3" s="1"/>
  <c r="AU654" i="3" s="1"/>
  <c r="AH651" i="3"/>
  <c r="AJ651" i="3" s="1"/>
  <c r="AK651" i="3" s="1"/>
  <c r="BO658" i="3"/>
  <c r="BP658" i="3" s="1"/>
  <c r="AU656" i="3"/>
  <c r="BO656" i="3"/>
  <c r="BP656" i="3" s="1"/>
  <c r="AH654" i="3"/>
  <c r="AJ654" i="3" s="1"/>
  <c r="AK654" i="3" s="1"/>
  <c r="BP643" i="3"/>
  <c r="BP640" i="3"/>
  <c r="AU631" i="3"/>
  <c r="BC631" i="3" s="1"/>
  <c r="AH639" i="3"/>
  <c r="AJ639" i="3" s="1"/>
  <c r="AK639" i="3" s="1"/>
  <c r="AS636" i="3"/>
  <c r="AT636" i="3" s="1"/>
  <c r="AH645" i="3"/>
  <c r="AJ645" i="3" s="1"/>
  <c r="AK645" i="3" s="1"/>
  <c r="AH633" i="3"/>
  <c r="AJ633" i="3" s="1"/>
  <c r="AK633" i="3" s="1"/>
  <c r="AH636" i="3"/>
  <c r="AJ636" i="3" s="1"/>
  <c r="AK636" i="3" s="1"/>
  <c r="AU625" i="3"/>
  <c r="AU624" i="3"/>
  <c r="BP614" i="3"/>
  <c r="AU626" i="3"/>
  <c r="BY625" i="3"/>
  <c r="AH619" i="3"/>
  <c r="AJ619" i="3" s="1"/>
  <c r="AK619" i="3" s="1"/>
  <c r="AU614" i="3"/>
  <c r="AH624" i="3"/>
  <c r="AJ624" i="3" s="1"/>
  <c r="AK624" i="3" s="1"/>
  <c r="AU619" i="3"/>
  <c r="AH612" i="3"/>
  <c r="AJ612" i="3" s="1"/>
  <c r="AK612" i="3" s="1"/>
  <c r="AH617" i="3"/>
  <c r="AJ617" i="3" s="1"/>
  <c r="AK617" i="3" s="1"/>
  <c r="AU612" i="3"/>
  <c r="AU627" i="3"/>
  <c r="BY626" i="3"/>
  <c r="BY614" i="3"/>
  <c r="AH625" i="3"/>
  <c r="AJ625" i="3" s="1"/>
  <c r="AK625" i="3" s="1"/>
  <c r="AU620" i="3"/>
  <c r="AH618" i="3"/>
  <c r="AJ618" i="3" s="1"/>
  <c r="AK618" i="3" s="1"/>
  <c r="AU606" i="3"/>
  <c r="AU595" i="3"/>
  <c r="BC595" i="3" s="1"/>
  <c r="AU607" i="3"/>
  <c r="AH606" i="3"/>
  <c r="AJ606" i="3" s="1"/>
  <c r="AK606" i="3" s="1"/>
  <c r="AU601" i="3"/>
  <c r="BY600" i="3"/>
  <c r="AH594" i="3"/>
  <c r="AJ594" i="3" s="1"/>
  <c r="AK594" i="3" s="1"/>
  <c r="AH599" i="3"/>
  <c r="AJ599" i="3" s="1"/>
  <c r="AK599" i="3" s="1"/>
  <c r="AU594" i="3"/>
  <c r="BY608" i="3"/>
  <c r="BY596" i="3"/>
  <c r="AH607" i="3"/>
  <c r="AJ607" i="3" s="1"/>
  <c r="AK607" i="3" s="1"/>
  <c r="AU602" i="3"/>
  <c r="BY601" i="3"/>
  <c r="AH595" i="3"/>
  <c r="AJ595" i="3" s="1"/>
  <c r="AK595" i="3" s="1"/>
  <c r="AH600" i="3"/>
  <c r="AJ600" i="3" s="1"/>
  <c r="AK600" i="3" s="1"/>
  <c r="BP576" i="3"/>
  <c r="BP591" i="3"/>
  <c r="AU586" i="3"/>
  <c r="AU577" i="3"/>
  <c r="AH585" i="3"/>
  <c r="AJ585" i="3" s="1"/>
  <c r="AK585" i="3" s="1"/>
  <c r="AH581" i="3"/>
  <c r="AJ581" i="3" s="1"/>
  <c r="AK581" i="3" s="1"/>
  <c r="AU581" i="3"/>
  <c r="AH591" i="3"/>
  <c r="AJ591" i="3" s="1"/>
  <c r="AK591" i="3" s="1"/>
  <c r="AH579" i="3"/>
  <c r="AJ579" i="3" s="1"/>
  <c r="AK579" i="3" s="1"/>
  <c r="AU579" i="3"/>
  <c r="AU584" i="3"/>
  <c r="BY583" i="3"/>
  <c r="AH582" i="3"/>
  <c r="AJ582" i="3" s="1"/>
  <c r="AK582" i="3" s="1"/>
  <c r="AU571" i="3"/>
  <c r="BP572" i="3"/>
  <c r="AU559" i="3"/>
  <c r="BC559" i="3" s="1"/>
  <c r="AU567" i="3"/>
  <c r="BY566" i="3"/>
  <c r="AU572" i="3"/>
  <c r="AH565" i="3"/>
  <c r="AJ565" i="3" s="1"/>
  <c r="AK565" i="3" s="1"/>
  <c r="AU560" i="3"/>
  <c r="AH570" i="3"/>
  <c r="AJ570" i="3" s="1"/>
  <c r="AK570" i="3" s="1"/>
  <c r="AU565" i="3"/>
  <c r="AH558" i="3"/>
  <c r="AJ558" i="3" s="1"/>
  <c r="AK558" i="3" s="1"/>
  <c r="AU570" i="3"/>
  <c r="AH563" i="3"/>
  <c r="AJ563" i="3" s="1"/>
  <c r="AK563" i="3" s="1"/>
  <c r="AU558" i="3"/>
  <c r="AH568" i="3"/>
  <c r="AJ568" i="3" s="1"/>
  <c r="AK568" i="3" s="1"/>
  <c r="BY572" i="3"/>
  <c r="BZ572" i="3" s="1"/>
  <c r="BY560" i="3"/>
  <c r="AH571" i="3"/>
  <c r="AJ571" i="3" s="1"/>
  <c r="AK571" i="3" s="1"/>
  <c r="AU566" i="3"/>
  <c r="BY565" i="3"/>
  <c r="AH559" i="3"/>
  <c r="AJ559" i="3" s="1"/>
  <c r="AK559" i="3" s="1"/>
  <c r="AH564" i="3"/>
  <c r="AJ564" i="3" s="1"/>
  <c r="AK564" i="3" s="1"/>
  <c r="AU553" i="3"/>
  <c r="AU552" i="3"/>
  <c r="BP543" i="3"/>
  <c r="BP540" i="3"/>
  <c r="AU541" i="3"/>
  <c r="BP555" i="3"/>
  <c r="BP553" i="3"/>
  <c r="AU554" i="3"/>
  <c r="AU542" i="3"/>
  <c r="AH540" i="3"/>
  <c r="AJ540" i="3" s="1"/>
  <c r="AK540" i="3" s="1"/>
  <c r="AH545" i="3"/>
  <c r="AJ545" i="3" s="1"/>
  <c r="AK545" i="3" s="1"/>
  <c r="AU540" i="3"/>
  <c r="AU545" i="3"/>
  <c r="AU543" i="3"/>
  <c r="AU548" i="3"/>
  <c r="BY547" i="3"/>
  <c r="AH541" i="3"/>
  <c r="AJ541" i="3" s="1"/>
  <c r="AK541" i="3" s="1"/>
  <c r="AH546" i="3"/>
  <c r="AJ546" i="3" s="1"/>
  <c r="AK546" i="3" s="1"/>
  <c r="AU526" i="3"/>
  <c r="AU538" i="3"/>
  <c r="BP532" i="3"/>
  <c r="AU523" i="3"/>
  <c r="AU537" i="3"/>
  <c r="AH531" i="3"/>
  <c r="AJ531" i="3" s="1"/>
  <c r="AK531" i="3" s="1"/>
  <c r="AU533" i="3"/>
  <c r="BC533" i="3" s="1"/>
  <c r="BY538" i="3"/>
  <c r="AU527" i="3"/>
  <c r="BY526" i="3"/>
  <c r="AH537" i="3"/>
  <c r="AJ537" i="3" s="1"/>
  <c r="AK537" i="3" s="1"/>
  <c r="AU532" i="3"/>
  <c r="AH525" i="3"/>
  <c r="AJ525" i="3" s="1"/>
  <c r="AK525" i="3" s="1"/>
  <c r="AH530" i="3"/>
  <c r="AJ530" i="3" s="1"/>
  <c r="AK530" i="3" s="1"/>
  <c r="AU530" i="3"/>
  <c r="AH528" i="3"/>
  <c r="AJ528" i="3" s="1"/>
  <c r="AK528" i="3" s="1"/>
  <c r="AU517" i="3"/>
  <c r="AU516" i="3"/>
  <c r="BP517" i="3"/>
  <c r="BP504" i="3"/>
  <c r="AU505" i="3"/>
  <c r="AH513" i="3"/>
  <c r="AJ513" i="3" s="1"/>
  <c r="AK513" i="3" s="1"/>
  <c r="AH509" i="3"/>
  <c r="AJ509" i="3" s="1"/>
  <c r="AK509" i="3" s="1"/>
  <c r="AU504" i="3"/>
  <c r="AU509" i="3"/>
  <c r="BY518" i="3"/>
  <c r="AU512" i="3"/>
  <c r="AH510" i="3"/>
  <c r="AJ510" i="3" s="1"/>
  <c r="AK510" i="3" s="1"/>
  <c r="AU487" i="3"/>
  <c r="AU500" i="3"/>
  <c r="AU499" i="3"/>
  <c r="AU496" i="3"/>
  <c r="AU488" i="3"/>
  <c r="AH493" i="3"/>
  <c r="AJ493" i="3" s="1"/>
  <c r="AK493" i="3" s="1"/>
  <c r="AU486" i="3"/>
  <c r="BY502" i="3"/>
  <c r="AU491" i="3"/>
  <c r="BY490" i="3"/>
  <c r="AH501" i="3"/>
  <c r="AJ501" i="3" s="1"/>
  <c r="AK501" i="3" s="1"/>
  <c r="AH489" i="3"/>
  <c r="AJ489" i="3" s="1"/>
  <c r="AK489" i="3" s="1"/>
  <c r="AU494" i="3"/>
  <c r="BC494" i="3" s="1"/>
  <c r="BY493" i="3"/>
  <c r="AH492" i="3"/>
  <c r="AJ492" i="3" s="1"/>
  <c r="AK492" i="3" s="1"/>
  <c r="AU481" i="3"/>
  <c r="AJ469" i="3"/>
  <c r="AK469" i="3" s="1"/>
  <c r="BP469" i="3"/>
  <c r="BP481" i="3"/>
  <c r="AH477" i="3"/>
  <c r="AJ477" i="3" s="1"/>
  <c r="AK477" i="3" s="1"/>
  <c r="AH473" i="3"/>
  <c r="AJ473" i="3" s="1"/>
  <c r="AK473" i="3" s="1"/>
  <c r="AU468" i="3"/>
  <c r="BC468" i="3" s="1"/>
  <c r="AU473" i="3"/>
  <c r="AU483" i="3"/>
  <c r="AU471" i="3"/>
  <c r="AU476" i="3"/>
  <c r="BY475" i="3"/>
  <c r="AH474" i="3"/>
  <c r="AJ474" i="3" s="1"/>
  <c r="AK474" i="3" s="1"/>
  <c r="AU454" i="3"/>
  <c r="AU466" i="3"/>
  <c r="AU465" i="3"/>
  <c r="BC465" i="3" s="1"/>
  <c r="AU463" i="3"/>
  <c r="BP456" i="3"/>
  <c r="BP454" i="3"/>
  <c r="BP453" i="3"/>
  <c r="AU451" i="3"/>
  <c r="AH459" i="3"/>
  <c r="AJ459" i="3" s="1"/>
  <c r="AK459" i="3" s="1"/>
  <c r="AU461" i="3"/>
  <c r="BC461" i="3" s="1"/>
  <c r="BY460" i="3"/>
  <c r="AU455" i="3"/>
  <c r="BC455" i="3" s="1"/>
  <c r="AH458" i="3"/>
  <c r="AJ458" i="3" s="1"/>
  <c r="AK458" i="3" s="1"/>
  <c r="AU453" i="3"/>
  <c r="AU458" i="3"/>
  <c r="AH451" i="3"/>
  <c r="AJ451" i="3" s="1"/>
  <c r="AK451" i="3" s="1"/>
  <c r="AH456" i="3"/>
  <c r="AJ456" i="3" s="1"/>
  <c r="AK456" i="3" s="1"/>
  <c r="AU433" i="3"/>
  <c r="AU445" i="3"/>
  <c r="AU444" i="3"/>
  <c r="AU446" i="3"/>
  <c r="BO441" i="3"/>
  <c r="BP441" i="3" s="1"/>
  <c r="AU434" i="3"/>
  <c r="BO446" i="3"/>
  <c r="BP446" i="3" s="1"/>
  <c r="AH444" i="3"/>
  <c r="AJ444" i="3" s="1"/>
  <c r="AK444" i="3" s="1"/>
  <c r="AU439" i="3"/>
  <c r="BY438" i="3"/>
  <c r="BO434" i="3"/>
  <c r="BP434" i="3" s="1"/>
  <c r="AH432" i="3"/>
  <c r="AJ432" i="3" s="1"/>
  <c r="AK432" i="3" s="1"/>
  <c r="AH437" i="3"/>
  <c r="AJ437" i="3" s="1"/>
  <c r="AK437" i="3" s="1"/>
  <c r="AU432" i="3"/>
  <c r="BC432" i="3" s="1"/>
  <c r="BY446" i="3"/>
  <c r="BO442" i="3"/>
  <c r="BP442" i="3" s="1"/>
  <c r="BY434" i="3"/>
  <c r="BO447" i="3"/>
  <c r="BP447" i="3" s="1"/>
  <c r="AU440" i="3"/>
  <c r="BO435" i="3"/>
  <c r="BP435" i="3" s="1"/>
  <c r="BO440" i="3"/>
  <c r="BP440" i="3" s="1"/>
  <c r="AH438" i="3"/>
  <c r="AJ438" i="3" s="1"/>
  <c r="AK438" i="3" s="1"/>
  <c r="AU420" i="3"/>
  <c r="AU415" i="3"/>
  <c r="BP427" i="3"/>
  <c r="BP415" i="3"/>
  <c r="AH426" i="3"/>
  <c r="AJ426" i="3" s="1"/>
  <c r="AK426" i="3" s="1"/>
  <c r="AH414" i="3"/>
  <c r="AJ414" i="3" s="1"/>
  <c r="AK414" i="3" s="1"/>
  <c r="AH419" i="3"/>
  <c r="AJ419" i="3" s="1"/>
  <c r="AK419" i="3" s="1"/>
  <c r="AH424" i="3"/>
  <c r="AJ424" i="3" s="1"/>
  <c r="AK424" i="3" s="1"/>
  <c r="BY428" i="3"/>
  <c r="BY416" i="3"/>
  <c r="AH427" i="3"/>
  <c r="AJ427" i="3" s="1"/>
  <c r="AK427" i="3" s="1"/>
  <c r="AH415" i="3"/>
  <c r="AJ415" i="3" s="1"/>
  <c r="AK415" i="3" s="1"/>
  <c r="AH420" i="3"/>
  <c r="AJ420" i="3" s="1"/>
  <c r="AK420" i="3" s="1"/>
  <c r="AU409" i="3"/>
  <c r="AU397" i="3"/>
  <c r="AU408" i="3"/>
  <c r="BP409" i="3"/>
  <c r="BP408" i="3"/>
  <c r="BP406" i="3"/>
  <c r="BP397" i="3"/>
  <c r="BP396" i="3"/>
  <c r="AH405" i="3"/>
  <c r="AJ405" i="3" s="1"/>
  <c r="AK405" i="3" s="1"/>
  <c r="AH401" i="3"/>
  <c r="AJ401" i="3" s="1"/>
  <c r="AK401" i="3" s="1"/>
  <c r="AU396" i="3"/>
  <c r="AU401" i="3"/>
  <c r="AH411" i="3"/>
  <c r="AJ411" i="3" s="1"/>
  <c r="AK411" i="3" s="1"/>
  <c r="AH399" i="3"/>
  <c r="AJ399" i="3" s="1"/>
  <c r="AK399" i="3" s="1"/>
  <c r="AU411" i="3"/>
  <c r="AU399" i="3"/>
  <c r="AU404" i="3"/>
  <c r="BY403" i="3"/>
  <c r="AH402" i="3"/>
  <c r="AJ402" i="3" s="1"/>
  <c r="AK402" i="3" s="1"/>
  <c r="AU391" i="3"/>
  <c r="BP393" i="3"/>
  <c r="AU379" i="3"/>
  <c r="AU385" i="3"/>
  <c r="AU383" i="3"/>
  <c r="AH393" i="3"/>
  <c r="AJ393" i="3" s="1"/>
  <c r="AK393" i="3" s="1"/>
  <c r="AU388" i="3"/>
  <c r="AU381" i="3"/>
  <c r="AU386" i="3"/>
  <c r="BY385" i="3"/>
  <c r="AH384" i="3"/>
  <c r="AJ384" i="3" s="1"/>
  <c r="AK384" i="3" s="1"/>
  <c r="BP360" i="3"/>
  <c r="BP363" i="3"/>
  <c r="BP373" i="3"/>
  <c r="BP375" i="3"/>
  <c r="AH365" i="3"/>
  <c r="AJ365" i="3" s="1"/>
  <c r="AK365" i="3" s="1"/>
  <c r="AU365" i="3"/>
  <c r="AH368" i="3"/>
  <c r="AJ368" i="3" s="1"/>
  <c r="AK368" i="3" s="1"/>
  <c r="AU368" i="3"/>
  <c r="AH366" i="3"/>
  <c r="AJ366" i="3" s="1"/>
  <c r="AK366" i="3" s="1"/>
  <c r="BP350" i="3"/>
  <c r="BP358" i="3"/>
  <c r="BP346" i="3"/>
  <c r="AU358" i="3"/>
  <c r="AH351" i="3"/>
  <c r="AJ351" i="3" s="1"/>
  <c r="AK351" i="3" s="1"/>
  <c r="AH354" i="3"/>
  <c r="AJ354" i="3" s="1"/>
  <c r="AK354" i="3" s="1"/>
  <c r="AH342" i="3"/>
  <c r="AJ342" i="3" s="1"/>
  <c r="AK342" i="3" s="1"/>
  <c r="AU342" i="3"/>
  <c r="BY351" i="3"/>
  <c r="AU357" i="3"/>
  <c r="BC357" i="3" s="1"/>
  <c r="BY356" i="3"/>
  <c r="AH350" i="3"/>
  <c r="AJ350" i="3" s="1"/>
  <c r="AK350" i="3" s="1"/>
  <c r="AU345" i="3"/>
  <c r="AH355" i="3"/>
  <c r="AJ355" i="3" s="1"/>
  <c r="AK355" i="3" s="1"/>
  <c r="AU350" i="3"/>
  <c r="AH343" i="3"/>
  <c r="AJ343" i="3" s="1"/>
  <c r="AK343" i="3" s="1"/>
  <c r="AH348" i="3"/>
  <c r="AJ348" i="3" s="1"/>
  <c r="AK348" i="3" s="1"/>
  <c r="BP328" i="3"/>
  <c r="BY334" i="3"/>
  <c r="AH333" i="3"/>
  <c r="AJ333" i="3" s="1"/>
  <c r="AK333" i="3" s="1"/>
  <c r="AU335" i="3"/>
  <c r="BY338" i="3"/>
  <c r="BY326" i="3"/>
  <c r="AH337" i="3"/>
  <c r="AJ337" i="3" s="1"/>
  <c r="AK337" i="3" s="1"/>
  <c r="AU332" i="3"/>
  <c r="AH325" i="3"/>
  <c r="AJ325" i="3" s="1"/>
  <c r="AK325" i="3" s="1"/>
  <c r="AH330" i="3"/>
  <c r="AJ330" i="3" s="1"/>
  <c r="AK330" i="3" s="1"/>
  <c r="AU307" i="3"/>
  <c r="AU310" i="3"/>
  <c r="BP311" i="3"/>
  <c r="BP307" i="3"/>
  <c r="AU317" i="3"/>
  <c r="AH315" i="3"/>
  <c r="AJ315" i="3" s="1"/>
  <c r="AK315" i="3" s="1"/>
  <c r="AU318" i="3"/>
  <c r="AU306" i="3"/>
  <c r="AH316" i="3"/>
  <c r="AJ316" i="3" s="1"/>
  <c r="AK316" i="3" s="1"/>
  <c r="BY320" i="3"/>
  <c r="AU309" i="3"/>
  <c r="BY308" i="3"/>
  <c r="BZ308" i="3" s="1"/>
  <c r="AH319" i="3"/>
  <c r="AJ319" i="3" s="1"/>
  <c r="AK319" i="3" s="1"/>
  <c r="AU314" i="3"/>
  <c r="BY313" i="3"/>
  <c r="AH307" i="3"/>
  <c r="AJ307" i="3" s="1"/>
  <c r="AK307" i="3" s="1"/>
  <c r="AH312" i="3"/>
  <c r="AJ312" i="3" s="1"/>
  <c r="AK312" i="3" s="1"/>
  <c r="BP289" i="3"/>
  <c r="BP303" i="3"/>
  <c r="BP301" i="3"/>
  <c r="AU295" i="3"/>
  <c r="AU293" i="3"/>
  <c r="AH303" i="3"/>
  <c r="AJ303" i="3" s="1"/>
  <c r="AK303" i="3" s="1"/>
  <c r="AU298" i="3"/>
  <c r="AH291" i="3"/>
  <c r="AJ291" i="3" s="1"/>
  <c r="AK291" i="3" s="1"/>
  <c r="AH296" i="3"/>
  <c r="AJ296" i="3" s="1"/>
  <c r="AK296" i="3" s="1"/>
  <c r="AU296" i="3"/>
  <c r="AH294" i="3"/>
  <c r="AJ294" i="3" s="1"/>
  <c r="AK294" i="3" s="1"/>
  <c r="AU283" i="3"/>
  <c r="AU274" i="3"/>
  <c r="BY280" i="3"/>
  <c r="AH279" i="3"/>
  <c r="AJ279" i="3" s="1"/>
  <c r="AK279" i="3" s="1"/>
  <c r="AU281" i="3"/>
  <c r="AH280" i="3"/>
  <c r="AJ280" i="3" s="1"/>
  <c r="AK280" i="3" s="1"/>
  <c r="AU280" i="3"/>
  <c r="BY284" i="3"/>
  <c r="AH278" i="3"/>
  <c r="AJ278" i="3" s="1"/>
  <c r="AK278" i="3" s="1"/>
  <c r="BY272" i="3"/>
  <c r="AU278" i="3"/>
  <c r="AH276" i="3"/>
  <c r="AJ276" i="3" s="1"/>
  <c r="AK276" i="3" s="1"/>
  <c r="BP253" i="3"/>
  <c r="BY262" i="3"/>
  <c r="AH261" i="3"/>
  <c r="AJ261" i="3" s="1"/>
  <c r="AK261" i="3" s="1"/>
  <c r="AU263" i="3"/>
  <c r="AH267" i="3"/>
  <c r="AJ267" i="3" s="1"/>
  <c r="AK267" i="3" s="1"/>
  <c r="AU262" i="3"/>
  <c r="AH255" i="3"/>
  <c r="AJ255" i="3" s="1"/>
  <c r="AK255" i="3" s="1"/>
  <c r="AH260" i="3"/>
  <c r="AJ260" i="3" s="1"/>
  <c r="AK260" i="3" s="1"/>
  <c r="AU260" i="3"/>
  <c r="AH258" i="3"/>
  <c r="AJ258" i="3" s="1"/>
  <c r="AK258" i="3" s="1"/>
  <c r="BP235" i="3"/>
  <c r="AU247" i="3"/>
  <c r="AU241" i="3"/>
  <c r="AU235" i="3"/>
  <c r="AU248" i="3"/>
  <c r="AU236" i="3"/>
  <c r="AH246" i="3"/>
  <c r="AJ246" i="3" s="1"/>
  <c r="AK246" i="3" s="1"/>
  <c r="AH234" i="3"/>
  <c r="AJ234" i="3" s="1"/>
  <c r="AK234" i="3" s="1"/>
  <c r="AH249" i="3"/>
  <c r="AJ249" i="3" s="1"/>
  <c r="AK249" i="3" s="1"/>
  <c r="AU244" i="3"/>
  <c r="BY243" i="3"/>
  <c r="AH237" i="3"/>
  <c r="AJ237" i="3" s="1"/>
  <c r="AK237" i="3" s="1"/>
  <c r="AU249" i="3"/>
  <c r="AU237" i="3"/>
  <c r="AH247" i="3"/>
  <c r="AJ247" i="3" s="1"/>
  <c r="AK247" i="3" s="1"/>
  <c r="AU242" i="3"/>
  <c r="BY241" i="3"/>
  <c r="AH235" i="3"/>
  <c r="AJ235" i="3" s="1"/>
  <c r="AK235" i="3" s="1"/>
  <c r="AH240" i="3"/>
  <c r="AJ240" i="3" s="1"/>
  <c r="AK240" i="3" s="1"/>
  <c r="AU231" i="3"/>
  <c r="AU229" i="3"/>
  <c r="AU217" i="3"/>
  <c r="BY232" i="3"/>
  <c r="BO228" i="3"/>
  <c r="BP228" i="3" s="1"/>
  <c r="AU221" i="3"/>
  <c r="BY220" i="3"/>
  <c r="BO216" i="3"/>
  <c r="BP216" i="3" s="1"/>
  <c r="AH231" i="3"/>
  <c r="AJ231" i="3" s="1"/>
  <c r="AK231" i="3" s="1"/>
  <c r="AU226" i="3"/>
  <c r="AH219" i="3"/>
  <c r="AJ219" i="3" s="1"/>
  <c r="AK219" i="3" s="1"/>
  <c r="BO226" i="3"/>
  <c r="BP226" i="3" s="1"/>
  <c r="AH224" i="3"/>
  <c r="AJ224" i="3" s="1"/>
  <c r="AK224" i="3" s="1"/>
  <c r="BO231" i="3"/>
  <c r="BP231" i="3" s="1"/>
  <c r="AU224" i="3"/>
  <c r="BO219" i="3"/>
  <c r="BP219" i="3" s="1"/>
  <c r="BO224" i="3"/>
  <c r="BP224" i="3" s="1"/>
  <c r="AH222" i="3"/>
  <c r="AJ222" i="3" s="1"/>
  <c r="AK222" i="3" s="1"/>
  <c r="BP211" i="3"/>
  <c r="BP206" i="3"/>
  <c r="AH207" i="3"/>
  <c r="AJ207" i="3" s="1"/>
  <c r="AK207" i="3" s="1"/>
  <c r="AH203" i="3"/>
  <c r="AJ203" i="3" s="1"/>
  <c r="AK203" i="3" s="1"/>
  <c r="BY212" i="3"/>
  <c r="BZ212" i="3" s="1"/>
  <c r="BY200" i="3"/>
  <c r="AH211" i="3"/>
  <c r="AJ211" i="3" s="1"/>
  <c r="AK211" i="3" s="1"/>
  <c r="AH199" i="3"/>
  <c r="AJ199" i="3" s="1"/>
  <c r="AK199" i="3" s="1"/>
  <c r="AH204" i="3"/>
  <c r="AJ204" i="3" s="1"/>
  <c r="AK204" i="3" s="1"/>
  <c r="BP182" i="3"/>
  <c r="BP194" i="3"/>
  <c r="AU194" i="3"/>
  <c r="AH187" i="3"/>
  <c r="AJ187" i="3" s="1"/>
  <c r="AK187" i="3" s="1"/>
  <c r="AU182" i="3"/>
  <c r="AH192" i="3"/>
  <c r="AJ192" i="3" s="1"/>
  <c r="AK192" i="3" s="1"/>
  <c r="AH180" i="3"/>
  <c r="AJ180" i="3" s="1"/>
  <c r="AK180" i="3" s="1"/>
  <c r="BY194" i="3"/>
  <c r="BY182" i="3"/>
  <c r="AU188" i="3"/>
  <c r="AH186" i="3"/>
  <c r="AJ186" i="3" s="1"/>
  <c r="AK186" i="3" s="1"/>
  <c r="AU175" i="3"/>
  <c r="AU163" i="3"/>
  <c r="BP175" i="3"/>
  <c r="AU171" i="3"/>
  <c r="AH174" i="3"/>
  <c r="AJ174" i="3" s="1"/>
  <c r="AK174" i="3" s="1"/>
  <c r="AU169" i="3"/>
  <c r="AH162" i="3"/>
  <c r="AJ162" i="3" s="1"/>
  <c r="AK162" i="3" s="1"/>
  <c r="AH167" i="3"/>
  <c r="AJ167" i="3" s="1"/>
  <c r="AK167" i="3" s="1"/>
  <c r="AU162" i="3"/>
  <c r="BY176" i="3"/>
  <c r="BY164" i="3"/>
  <c r="AH175" i="3"/>
  <c r="AJ175" i="3" s="1"/>
  <c r="AK175" i="3" s="1"/>
  <c r="AU170" i="3"/>
  <c r="BY169" i="3"/>
  <c r="AH163" i="3"/>
  <c r="AJ163" i="3" s="1"/>
  <c r="AK163" i="3" s="1"/>
  <c r="AH168" i="3"/>
  <c r="AJ168" i="3" s="1"/>
  <c r="AK168" i="3" s="1"/>
  <c r="AU154" i="3"/>
  <c r="BC154" i="3" s="1"/>
  <c r="BP147" i="3"/>
  <c r="BP154" i="3"/>
  <c r="AU146" i="3"/>
  <c r="BY155" i="3"/>
  <c r="AH149" i="3"/>
  <c r="AJ149" i="3" s="1"/>
  <c r="AK149" i="3" s="1"/>
  <c r="AU144" i="3"/>
  <c r="AU149" i="3"/>
  <c r="AH159" i="3"/>
  <c r="AJ159" i="3" s="1"/>
  <c r="AK159" i="3" s="1"/>
  <c r="AH147" i="3"/>
  <c r="AJ147" i="3" s="1"/>
  <c r="AK147" i="3" s="1"/>
  <c r="AU152" i="3"/>
  <c r="BY151" i="3"/>
  <c r="AH150" i="3"/>
  <c r="AJ150" i="3" s="1"/>
  <c r="AK150" i="3" s="1"/>
  <c r="BP136" i="3"/>
  <c r="BZ140" i="3"/>
  <c r="AU136" i="3"/>
  <c r="AU140" i="3"/>
  <c r="AU139" i="3"/>
  <c r="BC139" i="3" s="1"/>
  <c r="AH133" i="3"/>
  <c r="AJ133" i="3" s="1"/>
  <c r="AK133" i="3" s="1"/>
  <c r="AU126" i="3"/>
  <c r="BY142" i="3"/>
  <c r="AH136" i="3"/>
  <c r="AJ136" i="3" s="1"/>
  <c r="AK136" i="3" s="1"/>
  <c r="AU131" i="3"/>
  <c r="AH141" i="3"/>
  <c r="AJ141" i="3" s="1"/>
  <c r="AK141" i="3" s="1"/>
  <c r="AH129" i="3"/>
  <c r="AJ129" i="3" s="1"/>
  <c r="AK129" i="3" s="1"/>
  <c r="AU134" i="3"/>
  <c r="BC134" i="3" s="1"/>
  <c r="BY133" i="3"/>
  <c r="AH132" i="3"/>
  <c r="AJ132" i="3" s="1"/>
  <c r="AK132" i="3" s="1"/>
  <c r="BP121" i="3"/>
  <c r="BP115" i="3"/>
  <c r="BP109" i="3"/>
  <c r="AU121" i="3"/>
  <c r="BC121" i="3" s="1"/>
  <c r="AU109" i="3"/>
  <c r="AH120" i="3"/>
  <c r="AJ120" i="3" s="1"/>
  <c r="AK120" i="3" s="1"/>
  <c r="AU115" i="3"/>
  <c r="AH108" i="3"/>
  <c r="AJ108" i="3" s="1"/>
  <c r="AK108" i="3" s="1"/>
  <c r="AH113" i="3"/>
  <c r="AJ113" i="3" s="1"/>
  <c r="AK113" i="3" s="1"/>
  <c r="AU116" i="3"/>
  <c r="BY115" i="3"/>
  <c r="AH114" i="3"/>
  <c r="AJ114" i="3" s="1"/>
  <c r="AK114" i="3" s="1"/>
  <c r="AU102" i="3"/>
  <c r="BP103" i="3"/>
  <c r="AU103" i="3"/>
  <c r="BP97" i="3"/>
  <c r="AU99" i="3"/>
  <c r="AH102" i="3"/>
  <c r="AJ102" i="3" s="1"/>
  <c r="AK102" i="3" s="1"/>
  <c r="AU97" i="3"/>
  <c r="AH90" i="3"/>
  <c r="AJ90" i="3" s="1"/>
  <c r="AK90" i="3" s="1"/>
  <c r="AH95" i="3"/>
  <c r="AJ95" i="3" s="1"/>
  <c r="AK95" i="3" s="1"/>
  <c r="AU90" i="3"/>
  <c r="AU95" i="3"/>
  <c r="BC95" i="3" s="1"/>
  <c r="AU98" i="3"/>
  <c r="BY97" i="3"/>
  <c r="AH96" i="3"/>
  <c r="AJ96" i="3" s="1"/>
  <c r="AK96" i="3" s="1"/>
  <c r="AU88" i="3"/>
  <c r="BP85" i="3"/>
  <c r="BP76" i="3"/>
  <c r="AU73" i="3"/>
  <c r="AU85" i="3"/>
  <c r="BC85" i="3" s="1"/>
  <c r="AU76" i="3"/>
  <c r="BP73" i="3"/>
  <c r="AU83" i="3"/>
  <c r="BY82" i="3"/>
  <c r="AH81" i="3"/>
  <c r="AJ81" i="3" s="1"/>
  <c r="AK81" i="3" s="1"/>
  <c r="AU82" i="3"/>
  <c r="BY86" i="3"/>
  <c r="BY74" i="3"/>
  <c r="BZ74" i="3" s="1"/>
  <c r="AU80" i="3"/>
  <c r="AH78" i="3"/>
  <c r="AJ78" i="3" s="1"/>
  <c r="AK78" i="3" s="1"/>
  <c r="AU55" i="3"/>
  <c r="BP54" i="3"/>
  <c r="AU67" i="3"/>
  <c r="AH63" i="3"/>
  <c r="AJ63" i="3" s="1"/>
  <c r="AK63" i="3" s="1"/>
  <c r="AH59" i="3"/>
  <c r="AJ59" i="3" s="1"/>
  <c r="AK59" i="3" s="1"/>
  <c r="AU54" i="3"/>
  <c r="AU59" i="3"/>
  <c r="AU69" i="3"/>
  <c r="AU57" i="3"/>
  <c r="AU62" i="3"/>
  <c r="BY61" i="3"/>
  <c r="AH55" i="3"/>
  <c r="AJ55" i="3" s="1"/>
  <c r="AK55" i="3" s="1"/>
  <c r="AH60" i="3"/>
  <c r="AJ60" i="3" s="1"/>
  <c r="AK60" i="3" s="1"/>
  <c r="AU37" i="3"/>
  <c r="AU49" i="3"/>
  <c r="AU48" i="3"/>
  <c r="BP49" i="3"/>
  <c r="AH48" i="3"/>
  <c r="AJ48" i="3" s="1"/>
  <c r="AK48" i="3" s="1"/>
  <c r="AU43" i="3"/>
  <c r="AH36" i="3"/>
  <c r="AJ36" i="3" s="1"/>
  <c r="AK36" i="3" s="1"/>
  <c r="AH41" i="3"/>
  <c r="AJ41" i="3" s="1"/>
  <c r="AK41" i="3" s="1"/>
  <c r="AU36" i="3"/>
  <c r="AU41" i="3"/>
  <c r="AU44" i="3"/>
  <c r="BY43" i="3"/>
  <c r="AH42" i="3"/>
  <c r="AJ42" i="3" s="1"/>
  <c r="AK42" i="3" s="1"/>
  <c r="AZ673" i="3"/>
  <c r="BA673" i="3" s="1"/>
  <c r="BB673" i="3" s="1"/>
  <c r="AU679" i="3"/>
  <c r="AU667" i="3"/>
  <c r="AU678" i="3"/>
  <c r="AU676" i="3"/>
  <c r="BC676" i="3" s="1"/>
  <c r="AZ679" i="3"/>
  <c r="BA679" i="3" s="1"/>
  <c r="BB679" i="3" s="1"/>
  <c r="AZ667" i="3"/>
  <c r="BA667" i="3" s="1"/>
  <c r="BB667" i="3" s="1"/>
  <c r="AZ678" i="3"/>
  <c r="BA678" i="3" s="1"/>
  <c r="BB678" i="3" s="1"/>
  <c r="AZ666" i="3"/>
  <c r="BA666" i="3" s="1"/>
  <c r="BB666" i="3" s="1"/>
  <c r="AU666" i="3"/>
  <c r="BC671" i="3"/>
  <c r="AS677" i="3"/>
  <c r="AT677" i="3" s="1"/>
  <c r="AU677" i="3" s="1"/>
  <c r="AS675" i="3"/>
  <c r="AT675" i="3" s="1"/>
  <c r="AU675" i="3" s="1"/>
  <c r="BC675" i="3" s="1"/>
  <c r="AS674" i="3"/>
  <c r="AT674" i="3" s="1"/>
  <c r="AU674" i="3" s="1"/>
  <c r="AS673" i="3"/>
  <c r="AT673" i="3" s="1"/>
  <c r="AU673" i="3" s="1"/>
  <c r="AS672" i="3"/>
  <c r="AT672" i="3" s="1"/>
  <c r="AU672" i="3" s="1"/>
  <c r="BC672" i="3" s="1"/>
  <c r="BC194" i="3" l="1"/>
  <c r="BC574" i="3"/>
  <c r="BC282" i="3"/>
  <c r="BZ203" i="3"/>
  <c r="BC64" i="3"/>
  <c r="BZ272" i="3"/>
  <c r="BC105" i="3"/>
  <c r="BC398" i="3"/>
  <c r="BZ621" i="3"/>
  <c r="BC564" i="3"/>
  <c r="BZ195" i="3"/>
  <c r="BZ274" i="3"/>
  <c r="BC126" i="3"/>
  <c r="BC540" i="3"/>
  <c r="BC217" i="3"/>
  <c r="BZ590" i="3"/>
  <c r="AJ385" i="3"/>
  <c r="AK385" i="3" s="1"/>
  <c r="BC234" i="3"/>
  <c r="AJ329" i="3"/>
  <c r="AK329" i="3" s="1"/>
  <c r="BC253" i="3"/>
  <c r="BS253" i="3" s="1"/>
  <c r="BZ510" i="3"/>
  <c r="BZ139" i="3"/>
  <c r="BC420" i="3"/>
  <c r="BC75" i="3"/>
  <c r="BS75" i="3" s="1"/>
  <c r="AJ346" i="3"/>
  <c r="AK346" i="3" s="1"/>
  <c r="BZ313" i="3"/>
  <c r="AJ375" i="3"/>
  <c r="AK375" i="3" s="1"/>
  <c r="BZ339" i="3"/>
  <c r="AJ254" i="3"/>
  <c r="AK254" i="3" s="1"/>
  <c r="AJ556" i="3"/>
  <c r="AK556" i="3" s="1"/>
  <c r="AJ238" i="3"/>
  <c r="AK238" i="3" s="1"/>
  <c r="BZ625" i="3"/>
  <c r="BC555" i="3"/>
  <c r="BS555" i="3" s="1"/>
  <c r="BZ289" i="3"/>
  <c r="BC329" i="3"/>
  <c r="BC104" i="3"/>
  <c r="BS104" i="3" s="1"/>
  <c r="BC166" i="3"/>
  <c r="BZ220" i="3"/>
  <c r="BC150" i="3"/>
  <c r="BS150" i="3" s="1"/>
  <c r="BC76" i="3"/>
  <c r="BC237" i="3"/>
  <c r="BZ559" i="3"/>
  <c r="BC50" i="3"/>
  <c r="BZ472" i="3"/>
  <c r="BZ61" i="3"/>
  <c r="BC266" i="3"/>
  <c r="AJ664" i="3"/>
  <c r="AK664" i="3" s="1"/>
  <c r="BZ298" i="3"/>
  <c r="BZ67" i="3"/>
  <c r="BC187" i="3"/>
  <c r="BZ231" i="3"/>
  <c r="BC668" i="3"/>
  <c r="BS668" i="3" s="1"/>
  <c r="BC448" i="3"/>
  <c r="BZ433" i="3"/>
  <c r="BZ369" i="3"/>
  <c r="BC170" i="3"/>
  <c r="BS170" i="3" s="1"/>
  <c r="BC113" i="3"/>
  <c r="BS113" i="3" s="1"/>
  <c r="BZ462" i="3"/>
  <c r="BC82" i="3"/>
  <c r="BZ182" i="3"/>
  <c r="BZ587" i="3"/>
  <c r="BC70" i="3"/>
  <c r="BS70" i="3" s="1"/>
  <c r="BC411" i="3"/>
  <c r="BS411" i="3" s="1"/>
  <c r="BZ580" i="3"/>
  <c r="BZ411" i="3"/>
  <c r="BC230" i="3"/>
  <c r="BZ340" i="3"/>
  <c r="BC98" i="3"/>
  <c r="BS98" i="3" s="1"/>
  <c r="BZ192" i="3"/>
  <c r="BC136" i="3"/>
  <c r="BZ515" i="3"/>
  <c r="BC46" i="3"/>
  <c r="BS46" i="3" s="1"/>
  <c r="BC200" i="3"/>
  <c r="BS200" i="3" s="1"/>
  <c r="BC83" i="3"/>
  <c r="BS83" i="3" s="1"/>
  <c r="BZ663" i="3"/>
  <c r="BZ570" i="3"/>
  <c r="BZ116" i="3"/>
  <c r="BZ536" i="3"/>
  <c r="BC326" i="3"/>
  <c r="AJ189" i="3"/>
  <c r="AK189" i="3" s="1"/>
  <c r="BS189" i="3" s="1"/>
  <c r="BC400" i="3"/>
  <c r="BC162" i="3"/>
  <c r="BC488" i="3"/>
  <c r="BZ56" i="3"/>
  <c r="BC141" i="3"/>
  <c r="BS141" i="3" s="1"/>
  <c r="BZ184" i="3"/>
  <c r="BZ391" i="3"/>
  <c r="BC315" i="3"/>
  <c r="BZ121" i="3"/>
  <c r="BC335" i="3"/>
  <c r="BS335" i="3" s="1"/>
  <c r="BZ494" i="3"/>
  <c r="BZ409" i="3"/>
  <c r="BZ216" i="3"/>
  <c r="BZ189" i="3"/>
  <c r="BZ44" i="3"/>
  <c r="BZ325" i="3"/>
  <c r="BZ295" i="3"/>
  <c r="BC567" i="3"/>
  <c r="BS567" i="3" s="1"/>
  <c r="BZ151" i="3"/>
  <c r="BC654" i="3"/>
  <c r="BZ387" i="3"/>
  <c r="BC177" i="3"/>
  <c r="BS177" i="3" s="1"/>
  <c r="BZ148" i="3"/>
  <c r="BZ135" i="3"/>
  <c r="BC132" i="3"/>
  <c r="BS132" i="3" s="1"/>
  <c r="BZ77" i="3"/>
  <c r="BZ656" i="3"/>
  <c r="BZ338" i="3"/>
  <c r="BC408" i="3"/>
  <c r="BS408" i="3" s="1"/>
  <c r="BZ65" i="3"/>
  <c r="BZ550" i="3"/>
  <c r="BC445" i="3"/>
  <c r="BC204" i="3"/>
  <c r="BS204" i="3" s="1"/>
  <c r="BC646" i="3"/>
  <c r="BS646" i="3" s="1"/>
  <c r="BC578" i="3"/>
  <c r="BZ376" i="3"/>
  <c r="BZ594" i="3"/>
  <c r="BZ498" i="3"/>
  <c r="BC442" i="3"/>
  <c r="BC160" i="3"/>
  <c r="BC100" i="3"/>
  <c r="BZ253" i="3"/>
  <c r="BZ154" i="3"/>
  <c r="BC242" i="3"/>
  <c r="BC415" i="3"/>
  <c r="BC364" i="3"/>
  <c r="BS364" i="3" s="1"/>
  <c r="BZ91" i="3"/>
  <c r="BC117" i="3"/>
  <c r="BZ381" i="3"/>
  <c r="BZ613" i="3"/>
  <c r="BC491" i="3"/>
  <c r="BZ602" i="3"/>
  <c r="BZ407" i="3"/>
  <c r="BZ306" i="3"/>
  <c r="BZ76" i="3"/>
  <c r="BC650" i="3"/>
  <c r="BC484" i="3"/>
  <c r="BC387" i="3"/>
  <c r="BS387" i="3" s="1"/>
  <c r="BZ403" i="3"/>
  <c r="BZ502" i="3"/>
  <c r="BC532" i="3"/>
  <c r="BZ658" i="3"/>
  <c r="BZ447" i="3"/>
  <c r="BZ464" i="3"/>
  <c r="BZ505" i="3"/>
  <c r="BZ349" i="3"/>
  <c r="BZ174" i="3"/>
  <c r="BZ49" i="3"/>
  <c r="BZ87" i="3"/>
  <c r="BZ249" i="3"/>
  <c r="BZ84" i="3"/>
  <c r="BZ202" i="3"/>
  <c r="BC506" i="3"/>
  <c r="BS506" i="3" s="1"/>
  <c r="BC173" i="3"/>
  <c r="BS173" i="3" s="1"/>
  <c r="BZ193" i="3"/>
  <c r="BC502" i="3"/>
  <c r="BS502" i="3" s="1"/>
  <c r="BC360" i="3"/>
  <c r="BZ173" i="3"/>
  <c r="BZ640" i="3"/>
  <c r="BC271" i="3"/>
  <c r="BC247" i="3"/>
  <c r="BC546" i="3"/>
  <c r="BS546" i="3" s="1"/>
  <c r="BZ96" i="3"/>
  <c r="BC129" i="3"/>
  <c r="BS129" i="3" s="1"/>
  <c r="BZ607" i="3"/>
  <c r="BZ190" i="3"/>
  <c r="BC600" i="3"/>
  <c r="BC682" i="3"/>
  <c r="BZ427" i="3"/>
  <c r="BZ48" i="3"/>
  <c r="BC175" i="3"/>
  <c r="BS175" i="3" s="1"/>
  <c r="BC562" i="3"/>
  <c r="BC479" i="3"/>
  <c r="BC356" i="3"/>
  <c r="BC437" i="3"/>
  <c r="BZ635" i="3"/>
  <c r="BC615" i="3"/>
  <c r="BS615" i="3" s="1"/>
  <c r="BC537" i="3"/>
  <c r="BZ652" i="3"/>
  <c r="BZ486" i="3"/>
  <c r="BZ330" i="3"/>
  <c r="BZ224" i="3"/>
  <c r="BZ484" i="3"/>
  <c r="BC63" i="3"/>
  <c r="BZ641" i="3"/>
  <c r="BZ368" i="3"/>
  <c r="BZ389" i="3"/>
  <c r="BC149" i="3"/>
  <c r="BS149" i="3" s="1"/>
  <c r="BC144" i="3"/>
  <c r="BS144" i="3" s="1"/>
  <c r="AU636" i="3"/>
  <c r="BC636" i="3" s="1"/>
  <c r="BS636" i="3" s="1"/>
  <c r="BZ517" i="3"/>
  <c r="BZ561" i="3"/>
  <c r="BC218" i="3"/>
  <c r="BS218" i="3" s="1"/>
  <c r="BZ598" i="3"/>
  <c r="BC430" i="3"/>
  <c r="BZ452" i="3"/>
  <c r="BC56" i="3"/>
  <c r="BC566" i="3"/>
  <c r="BS566" i="3" s="1"/>
  <c r="BC657" i="3"/>
  <c r="BC534" i="3"/>
  <c r="BS534" i="3" s="1"/>
  <c r="BC438" i="3"/>
  <c r="BC90" i="3"/>
  <c r="BC262" i="3"/>
  <c r="BZ664" i="3"/>
  <c r="BZ655" i="3"/>
  <c r="BZ511" i="3"/>
  <c r="BZ537" i="3"/>
  <c r="BZ406" i="3"/>
  <c r="BC337" i="3"/>
  <c r="BZ315" i="3"/>
  <c r="BZ255" i="3"/>
  <c r="BZ230" i="3"/>
  <c r="BZ113" i="3"/>
  <c r="BZ400" i="3"/>
  <c r="BZ442" i="3"/>
  <c r="BC133" i="3"/>
  <c r="BS133" i="3" s="1"/>
  <c r="BC477" i="3"/>
  <c r="BS477" i="3" s="1"/>
  <c r="BC670" i="3"/>
  <c r="BS670" i="3" s="1"/>
  <c r="BZ560" i="3"/>
  <c r="BC606" i="3"/>
  <c r="BC495" i="3"/>
  <c r="BS495" i="3" s="1"/>
  <c r="BZ331" i="3"/>
  <c r="BZ617" i="3"/>
  <c r="AJ430" i="3"/>
  <c r="AK430" i="3" s="1"/>
  <c r="AJ106" i="3"/>
  <c r="AK106" i="3" s="1"/>
  <c r="BS106" i="3" s="1"/>
  <c r="BZ321" i="3"/>
  <c r="BZ662" i="3"/>
  <c r="BZ581" i="3"/>
  <c r="BC209" i="3"/>
  <c r="BC42" i="3"/>
  <c r="BS42" i="3" s="1"/>
  <c r="BC425" i="3"/>
  <c r="BS425" i="3" s="1"/>
  <c r="BZ468" i="3"/>
  <c r="BZ357" i="3"/>
  <c r="BC447" i="3"/>
  <c r="BS447" i="3" s="1"/>
  <c r="BZ620" i="3"/>
  <c r="BZ480" i="3"/>
  <c r="BZ175" i="3"/>
  <c r="BC660" i="3"/>
  <c r="BC605" i="3"/>
  <c r="BS605" i="3" s="1"/>
  <c r="BZ653" i="3"/>
  <c r="BZ439" i="3"/>
  <c r="BZ342" i="3"/>
  <c r="BC225" i="3"/>
  <c r="BZ252" i="3"/>
  <c r="BZ523" i="3"/>
  <c r="BC586" i="3"/>
  <c r="BC545" i="3"/>
  <c r="BS545" i="3" s="1"/>
  <c r="BC625" i="3"/>
  <c r="BS625" i="3" s="1"/>
  <c r="BZ412" i="3"/>
  <c r="BC361" i="3"/>
  <c r="BZ344" i="3"/>
  <c r="AJ117" i="3"/>
  <c r="AK117" i="3" s="1"/>
  <c r="BZ166" i="3"/>
  <c r="BC592" i="3"/>
  <c r="BS592" i="3" s="1"/>
  <c r="BZ463" i="3"/>
  <c r="BZ234" i="3"/>
  <c r="BC310" i="3"/>
  <c r="BC584" i="3"/>
  <c r="BZ558" i="3"/>
  <c r="BZ159" i="3"/>
  <c r="BC597" i="3"/>
  <c r="BZ240" i="3"/>
  <c r="BC483" i="3"/>
  <c r="BS483" i="3" s="1"/>
  <c r="BC610" i="3"/>
  <c r="BS610" i="3" s="1"/>
  <c r="BZ264" i="3"/>
  <c r="BC542" i="3"/>
  <c r="BS542" i="3" s="1"/>
  <c r="BZ606" i="3"/>
  <c r="BC333" i="3"/>
  <c r="BS333" i="3" s="1"/>
  <c r="BZ555" i="3"/>
  <c r="AJ648" i="3"/>
  <c r="AK648" i="3" s="1"/>
  <c r="BZ473" i="3"/>
  <c r="BZ388" i="3"/>
  <c r="AJ423" i="3"/>
  <c r="AK423" i="3" s="1"/>
  <c r="BZ533" i="3"/>
  <c r="BC267" i="3"/>
  <c r="BS267" i="3" s="1"/>
  <c r="BZ528" i="3"/>
  <c r="BC643" i="3"/>
  <c r="BS643" i="3" s="1"/>
  <c r="BZ392" i="3"/>
  <c r="BC309" i="3"/>
  <c r="BS309" i="3" s="1"/>
  <c r="BC185" i="3"/>
  <c r="BS185" i="3" s="1"/>
  <c r="BZ627" i="3"/>
  <c r="BC658" i="3"/>
  <c r="BS658" i="3" s="1"/>
  <c r="BZ259" i="3"/>
  <c r="BZ579" i="3"/>
  <c r="BZ350" i="3"/>
  <c r="BZ219" i="3"/>
  <c r="BC57" i="3"/>
  <c r="BS57" i="3" s="1"/>
  <c r="BC99" i="3"/>
  <c r="BS99" i="3" s="1"/>
  <c r="BC627" i="3"/>
  <c r="BZ573" i="3"/>
  <c r="BZ489" i="3"/>
  <c r="BZ228" i="3"/>
  <c r="BZ102" i="3"/>
  <c r="BC565" i="3"/>
  <c r="BS565" i="3" s="1"/>
  <c r="BC376" i="3"/>
  <c r="BS376" i="3" s="1"/>
  <c r="BZ235" i="3"/>
  <c r="BZ129" i="3"/>
  <c r="BZ508" i="3"/>
  <c r="BC248" i="3"/>
  <c r="BC39" i="3"/>
  <c r="BS39" i="3" s="1"/>
  <c r="BC103" i="3"/>
  <c r="BS103" i="3" s="1"/>
  <c r="BZ495" i="3"/>
  <c r="BZ236" i="3"/>
  <c r="BZ218" i="3"/>
  <c r="BZ57" i="3"/>
  <c r="BC163" i="3"/>
  <c r="BS163" i="3" s="1"/>
  <c r="BZ518" i="3"/>
  <c r="BZ280" i="3"/>
  <c r="BC381" i="3"/>
  <c r="BS381" i="3" s="1"/>
  <c r="BC582" i="3"/>
  <c r="BS582" i="3" s="1"/>
  <c r="BZ260" i="3"/>
  <c r="BZ273" i="3"/>
  <c r="BZ577" i="3"/>
  <c r="BC493" i="3"/>
  <c r="BS493" i="3" s="1"/>
  <c r="BZ164" i="3"/>
  <c r="BC388" i="3"/>
  <c r="BS388" i="3" s="1"/>
  <c r="BZ208" i="3"/>
  <c r="BZ180" i="3"/>
  <c r="BC362" i="3"/>
  <c r="BS362" i="3" s="1"/>
  <c r="BC274" i="3"/>
  <c r="BS274" i="3" s="1"/>
  <c r="BZ529" i="3"/>
  <c r="AJ363" i="3"/>
  <c r="AK363" i="3" s="1"/>
  <c r="BZ136" i="3"/>
  <c r="BZ177" i="3"/>
  <c r="BZ429" i="3"/>
  <c r="BZ649" i="3"/>
  <c r="BZ278" i="3"/>
  <c r="BZ270" i="3"/>
  <c r="BC460" i="3"/>
  <c r="BS460" i="3" s="1"/>
  <c r="BC456" i="3"/>
  <c r="BS456" i="3" s="1"/>
  <c r="BC630" i="3"/>
  <c r="BS630" i="3" s="1"/>
  <c r="BZ483" i="3"/>
  <c r="BZ257" i="3"/>
  <c r="BC167" i="3"/>
  <c r="BS167" i="3" s="1"/>
  <c r="BZ624" i="3"/>
  <c r="BC156" i="3"/>
  <c r="BS156" i="3" s="1"/>
  <c r="BZ237" i="3"/>
  <c r="BC680" i="3"/>
  <c r="BS680" i="3" s="1"/>
  <c r="BZ209" i="3"/>
  <c r="BC91" i="3"/>
  <c r="BS91" i="3" s="1"/>
  <c r="BZ301" i="3"/>
  <c r="BC336" i="3"/>
  <c r="AJ499" i="3"/>
  <c r="AK499" i="3" s="1"/>
  <c r="BZ64" i="3"/>
  <c r="BC348" i="3"/>
  <c r="BS348" i="3" s="1"/>
  <c r="BC291" i="3"/>
  <c r="BC43" i="3"/>
  <c r="BS43" i="3" s="1"/>
  <c r="BZ142" i="3"/>
  <c r="BC275" i="3"/>
  <c r="BC220" i="3"/>
  <c r="BS220" i="3" s="1"/>
  <c r="BC172" i="3"/>
  <c r="BC124" i="3"/>
  <c r="BZ256" i="3"/>
  <c r="BZ353" i="3"/>
  <c r="BZ188" i="3"/>
  <c r="BZ396" i="3"/>
  <c r="BZ548" i="3"/>
  <c r="BZ609" i="3"/>
  <c r="BC505" i="3"/>
  <c r="BC450" i="3"/>
  <c r="BC325" i="3"/>
  <c r="BS325" i="3" s="1"/>
  <c r="BZ365" i="3"/>
  <c r="BZ296" i="3"/>
  <c r="BZ471" i="3"/>
  <c r="BZ98" i="3"/>
  <c r="BZ458" i="3"/>
  <c r="BC232" i="3"/>
  <c r="AJ616" i="3"/>
  <c r="AK616" i="3" s="1"/>
  <c r="BS616" i="3" s="1"/>
  <c r="BC203" i="3"/>
  <c r="BS203" i="3" s="1"/>
  <c r="AJ169" i="3"/>
  <c r="AK169" i="3" s="1"/>
  <c r="BZ51" i="3"/>
  <c r="BZ97" i="3"/>
  <c r="BC293" i="3"/>
  <c r="BS293" i="3" s="1"/>
  <c r="BZ638" i="3"/>
  <c r="BC550" i="3"/>
  <c r="BC285" i="3"/>
  <c r="BS285" i="3" s="1"/>
  <c r="BZ455" i="3"/>
  <c r="BC412" i="3"/>
  <c r="BZ163" i="3"/>
  <c r="BZ52" i="3"/>
  <c r="BC296" i="3"/>
  <c r="BC80" i="3"/>
  <c r="BS80" i="3" s="1"/>
  <c r="BZ285" i="3"/>
  <c r="BZ453" i="3"/>
  <c r="BZ312" i="3"/>
  <c r="BC96" i="3"/>
  <c r="BS96" i="3" s="1"/>
  <c r="BZ302" i="3"/>
  <c r="BC327" i="3"/>
  <c r="BS327" i="3" s="1"/>
  <c r="BZ266" i="3"/>
  <c r="BC256" i="3"/>
  <c r="BC249" i="3"/>
  <c r="BS249" i="3" s="1"/>
  <c r="BZ385" i="3"/>
  <c r="BZ632" i="3"/>
  <c r="BZ450" i="3"/>
  <c r="BZ459" i="3"/>
  <c r="BZ109" i="3"/>
  <c r="BZ279" i="3"/>
  <c r="BC283" i="3"/>
  <c r="BS283" i="3" s="1"/>
  <c r="BZ351" i="3"/>
  <c r="BZ600" i="3"/>
  <c r="BZ599" i="3"/>
  <c r="BC587" i="3"/>
  <c r="BS587" i="3" s="1"/>
  <c r="BC279" i="3"/>
  <c r="BS279" i="3" s="1"/>
  <c r="BZ104" i="3"/>
  <c r="BZ276" i="3"/>
  <c r="BZ535" i="3"/>
  <c r="BC429" i="3"/>
  <c r="BS429" i="3" s="1"/>
  <c r="BC260" i="3"/>
  <c r="BS260" i="3" s="1"/>
  <c r="BC512" i="3"/>
  <c r="BS512" i="3" s="1"/>
  <c r="BC661" i="3"/>
  <c r="BS661" i="3" s="1"/>
  <c r="BZ394" i="3"/>
  <c r="BC349" i="3"/>
  <c r="BS349" i="3" s="1"/>
  <c r="BZ355" i="3"/>
  <c r="BZ103" i="3"/>
  <c r="BC198" i="3"/>
  <c r="BS198" i="3" s="1"/>
  <c r="AJ128" i="3"/>
  <c r="AK128" i="3" s="1"/>
  <c r="BC276" i="3"/>
  <c r="BS276" i="3" s="1"/>
  <c r="BZ244" i="3"/>
  <c r="BZ636" i="3"/>
  <c r="BC278" i="3"/>
  <c r="BS278" i="3" s="1"/>
  <c r="BC496" i="3"/>
  <c r="BS496" i="3" s="1"/>
  <c r="BZ566" i="3"/>
  <c r="BZ651" i="3"/>
  <c r="BC435" i="3"/>
  <c r="BS435" i="3" s="1"/>
  <c r="AJ340" i="3"/>
  <c r="AK340" i="3" s="1"/>
  <c r="BC227" i="3"/>
  <c r="BC157" i="3"/>
  <c r="BP229" i="3"/>
  <c r="BZ595" i="3"/>
  <c r="BZ314" i="3"/>
  <c r="AJ268" i="3"/>
  <c r="AK268" i="3" s="1"/>
  <c r="BS450" i="3"/>
  <c r="BC207" i="3"/>
  <c r="BS207" i="3" s="1"/>
  <c r="BC176" i="3"/>
  <c r="BS176" i="3" s="1"/>
  <c r="BZ214" i="3"/>
  <c r="BC54" i="3"/>
  <c r="BS262" i="3"/>
  <c r="BC527" i="3"/>
  <c r="BS527" i="3" s="1"/>
  <c r="BC620" i="3"/>
  <c r="BS620" i="3" s="1"/>
  <c r="BC536" i="3"/>
  <c r="BS536" i="3" s="1"/>
  <c r="BC443" i="3"/>
  <c r="BS443" i="3" s="1"/>
  <c r="BC228" i="3"/>
  <c r="BC246" i="3"/>
  <c r="BS246" i="3" s="1"/>
  <c r="BZ41" i="3"/>
  <c r="BZ63" i="3"/>
  <c r="BZ363" i="3"/>
  <c r="BZ619" i="3"/>
  <c r="BC576" i="3"/>
  <c r="BZ443" i="3"/>
  <c r="BC286" i="3"/>
  <c r="BS286" i="3" s="1"/>
  <c r="BC384" i="3"/>
  <c r="BS384" i="3" s="1"/>
  <c r="BC351" i="3"/>
  <c r="BS351" i="3" s="1"/>
  <c r="BC202" i="3"/>
  <c r="BS202" i="3" s="1"/>
  <c r="BC236" i="3"/>
  <c r="BC280" i="3"/>
  <c r="BS280" i="3" s="1"/>
  <c r="BC358" i="3"/>
  <c r="BS358" i="3" s="1"/>
  <c r="BC473" i="3"/>
  <c r="BS473" i="3" s="1"/>
  <c r="BC516" i="3"/>
  <c r="BC623" i="3"/>
  <c r="BS623" i="3" s="1"/>
  <c r="BC613" i="3"/>
  <c r="BS613" i="3" s="1"/>
  <c r="BC316" i="3"/>
  <c r="BS316" i="3" s="1"/>
  <c r="AJ586" i="3"/>
  <c r="AK586" i="3" s="1"/>
  <c r="BS586" i="3" s="1"/>
  <c r="AJ356" i="3"/>
  <c r="AK356" i="3" s="1"/>
  <c r="BC120" i="3"/>
  <c r="BS120" i="3" s="1"/>
  <c r="BC300" i="3"/>
  <c r="BS300" i="3" s="1"/>
  <c r="BC40" i="3"/>
  <c r="BZ258" i="3"/>
  <c r="AJ54" i="3"/>
  <c r="AK54" i="3" s="1"/>
  <c r="BZ428" i="3"/>
  <c r="BZ437" i="3"/>
  <c r="BC350" i="3"/>
  <c r="BS350" i="3" s="1"/>
  <c r="BC385" i="3"/>
  <c r="BS385" i="3" s="1"/>
  <c r="BC571" i="3"/>
  <c r="BS571" i="3" s="1"/>
  <c r="BZ623" i="3"/>
  <c r="BZ615" i="3"/>
  <c r="BC501" i="3"/>
  <c r="BS501" i="3" s="1"/>
  <c r="BC441" i="3"/>
  <c r="BZ247" i="3"/>
  <c r="BZ131" i="3"/>
  <c r="BC498" i="3"/>
  <c r="BZ111" i="3"/>
  <c r="BZ585" i="3"/>
  <c r="BC67" i="3"/>
  <c r="BS67" i="3" s="1"/>
  <c r="BZ545" i="3"/>
  <c r="BZ352" i="3"/>
  <c r="BZ414" i="3"/>
  <c r="BC241" i="3"/>
  <c r="BZ487" i="3"/>
  <c r="BZ456" i="3"/>
  <c r="BZ445" i="3"/>
  <c r="BC524" i="3"/>
  <c r="BS524" i="3" s="1"/>
  <c r="BZ380" i="3"/>
  <c r="BZ263" i="3"/>
  <c r="BC547" i="3"/>
  <c r="BS547" i="3" s="1"/>
  <c r="BC102" i="3"/>
  <c r="BS102" i="3" s="1"/>
  <c r="BC55" i="3"/>
  <c r="BZ326" i="3"/>
  <c r="BC530" i="3"/>
  <c r="BS530" i="3" s="1"/>
  <c r="BZ420" i="3"/>
  <c r="BZ390" i="3"/>
  <c r="BC288" i="3"/>
  <c r="BS288" i="3" s="1"/>
  <c r="BZ199" i="3"/>
  <c r="BC110" i="3"/>
  <c r="BS110" i="3" s="1"/>
  <c r="BC380" i="3"/>
  <c r="BC59" i="3"/>
  <c r="BS59" i="3" s="1"/>
  <c r="BC41" i="3"/>
  <c r="BS41" i="3" s="1"/>
  <c r="BC318" i="3"/>
  <c r="BC433" i="3"/>
  <c r="BS433" i="3" s="1"/>
  <c r="BZ565" i="3"/>
  <c r="BC560" i="3"/>
  <c r="BS560" i="3" s="1"/>
  <c r="BS681" i="3"/>
  <c r="BZ530" i="3"/>
  <c r="BZ371" i="3"/>
  <c r="BS507" i="3"/>
  <c r="BZ386" i="3"/>
  <c r="BZ435" i="3"/>
  <c r="BC212" i="3"/>
  <c r="BS212" i="3" s="1"/>
  <c r="BC585" i="3"/>
  <c r="BS585" i="3" s="1"/>
  <c r="BZ520" i="3"/>
  <c r="BZ546" i="3"/>
  <c r="BZ54" i="3"/>
  <c r="BZ201" i="3"/>
  <c r="BC272" i="3"/>
  <c r="BS272" i="3" s="1"/>
  <c r="BC165" i="3"/>
  <c r="BS165" i="3" s="1"/>
  <c r="BC231" i="3"/>
  <c r="BC500" i="3"/>
  <c r="BS500" i="3" s="1"/>
  <c r="BZ526" i="3"/>
  <c r="BC572" i="3"/>
  <c r="BS572" i="3" s="1"/>
  <c r="BC612" i="3"/>
  <c r="BS612" i="3" s="1"/>
  <c r="BC589" i="3"/>
  <c r="BS589" i="3" s="1"/>
  <c r="BC520" i="3"/>
  <c r="BZ402" i="3"/>
  <c r="BC529" i="3"/>
  <c r="BC313" i="3"/>
  <c r="BS313" i="3" s="1"/>
  <c r="BC324" i="3"/>
  <c r="BS324" i="3" s="1"/>
  <c r="BC240" i="3"/>
  <c r="BZ316" i="3"/>
  <c r="BC206" i="3"/>
  <c r="BZ527" i="3"/>
  <c r="BZ451" i="3"/>
  <c r="BZ430" i="3"/>
  <c r="BZ291" i="3"/>
  <c r="BC342" i="3"/>
  <c r="BS342" i="3" s="1"/>
  <c r="BC446" i="3"/>
  <c r="BS446" i="3" s="1"/>
  <c r="BC548" i="3"/>
  <c r="BS548" i="3" s="1"/>
  <c r="BC581" i="3"/>
  <c r="BS581" i="3" s="1"/>
  <c r="BC632" i="3"/>
  <c r="BS632" i="3" s="1"/>
  <c r="BC644" i="3"/>
  <c r="BS644" i="3" s="1"/>
  <c r="BZ618" i="3"/>
  <c r="BZ360" i="3"/>
  <c r="BZ254" i="3"/>
  <c r="BZ644" i="3"/>
  <c r="BC628" i="3"/>
  <c r="BS628" i="3" s="1"/>
  <c r="BZ588" i="3"/>
  <c r="BZ324" i="3"/>
  <c r="BC417" i="3"/>
  <c r="BS417" i="3" s="1"/>
  <c r="BC123" i="3"/>
  <c r="BS123" i="3" s="1"/>
  <c r="AJ321" i="3"/>
  <c r="AK321" i="3" s="1"/>
  <c r="BS126" i="3"/>
  <c r="BC543" i="3"/>
  <c r="BS543" i="3" s="1"/>
  <c r="BZ601" i="3"/>
  <c r="BC590" i="3"/>
  <c r="BS590" i="3" s="1"/>
  <c r="BC393" i="3"/>
  <c r="BS393" i="3" s="1"/>
  <c r="BZ318" i="3"/>
  <c r="BZ332" i="3"/>
  <c r="BZ213" i="3"/>
  <c r="BZ181" i="3"/>
  <c r="BC168" i="3"/>
  <c r="BS168" i="3" s="1"/>
  <c r="BC663" i="3"/>
  <c r="BZ448" i="3"/>
  <c r="BZ45" i="3"/>
  <c r="BZ506" i="3"/>
  <c r="BZ307" i="3"/>
  <c r="BC653" i="3"/>
  <c r="BC314" i="3"/>
  <c r="BS314" i="3" s="1"/>
  <c r="BC602" i="3"/>
  <c r="AJ652" i="3"/>
  <c r="AK652" i="3" s="1"/>
  <c r="BC556" i="3"/>
  <c r="BS556" i="3" s="1"/>
  <c r="BZ631" i="3"/>
  <c r="BC648" i="3"/>
  <c r="BS648" i="3" s="1"/>
  <c r="BZ421" i="3"/>
  <c r="BZ205" i="3"/>
  <c r="AJ379" i="3"/>
  <c r="AK379" i="3" s="1"/>
  <c r="BC302" i="3"/>
  <c r="BS154" i="3"/>
  <c r="BZ105" i="3"/>
  <c r="BZ100" i="3"/>
  <c r="BZ196" i="3"/>
  <c r="BZ564" i="3"/>
  <c r="BS51" i="3"/>
  <c r="BZ348" i="3"/>
  <c r="BZ310" i="3"/>
  <c r="BC392" i="3"/>
  <c r="BS392" i="3" s="1"/>
  <c r="BZ206" i="3"/>
  <c r="BC649" i="3"/>
  <c r="BC116" i="3"/>
  <c r="BS116" i="3" s="1"/>
  <c r="BS549" i="3"/>
  <c r="BZ630" i="3"/>
  <c r="BZ474" i="3"/>
  <c r="BC426" i="3"/>
  <c r="BS426" i="3" s="1"/>
  <c r="BZ343" i="3"/>
  <c r="BC164" i="3"/>
  <c r="BC522" i="3"/>
  <c r="BZ155" i="3"/>
  <c r="BC386" i="3"/>
  <c r="BZ610" i="3"/>
  <c r="BZ512" i="3"/>
  <c r="BC475" i="3"/>
  <c r="BS475" i="3" s="1"/>
  <c r="BC418" i="3"/>
  <c r="BS418" i="3" s="1"/>
  <c r="BC403" i="3"/>
  <c r="BC138" i="3"/>
  <c r="BS138" i="3" s="1"/>
  <c r="BC94" i="3"/>
  <c r="BS94" i="3" s="1"/>
  <c r="BC38" i="3"/>
  <c r="BS38" i="3" s="1"/>
  <c r="BS84" i="3"/>
  <c r="BZ476" i="3"/>
  <c r="BZ335" i="3"/>
  <c r="BC635" i="3"/>
  <c r="BS635" i="3" s="1"/>
  <c r="BC367" i="3"/>
  <c r="BS367" i="3" s="1"/>
  <c r="BZ130" i="3"/>
  <c r="BZ60" i="3"/>
  <c r="BZ40" i="3"/>
  <c r="BZ250" i="3"/>
  <c r="BZ58" i="3"/>
  <c r="BZ271" i="3"/>
  <c r="BZ144" i="3"/>
  <c r="BZ650" i="3"/>
  <c r="BZ222" i="3"/>
  <c r="BC290" i="3"/>
  <c r="BZ85" i="3"/>
  <c r="BZ516" i="3"/>
  <c r="BZ290" i="3"/>
  <c r="BZ438" i="3"/>
  <c r="BC295" i="3"/>
  <c r="BC504" i="3"/>
  <c r="BS504" i="3" s="1"/>
  <c r="BZ583" i="3"/>
  <c r="BZ509" i="3"/>
  <c r="BZ293" i="3"/>
  <c r="BC383" i="3"/>
  <c r="BS383" i="3" s="1"/>
  <c r="BZ552" i="3"/>
  <c r="BZ432" i="3"/>
  <c r="BZ423" i="3"/>
  <c r="BC374" i="3"/>
  <c r="BS374" i="3" s="1"/>
  <c r="BZ292" i="3"/>
  <c r="BC186" i="3"/>
  <c r="BS186" i="3" s="1"/>
  <c r="BZ128" i="3"/>
  <c r="BC191" i="3"/>
  <c r="BS191" i="3" s="1"/>
  <c r="BZ603" i="3"/>
  <c r="BZ149" i="3"/>
  <c r="BC390" i="3"/>
  <c r="BS390" i="3" s="1"/>
  <c r="BZ466" i="3"/>
  <c r="BZ384" i="3"/>
  <c r="BC257" i="3"/>
  <c r="BS257" i="3" s="1"/>
  <c r="BC190" i="3"/>
  <c r="BS190" i="3" s="1"/>
  <c r="AJ514" i="3"/>
  <c r="AK514" i="3" s="1"/>
  <c r="BZ72" i="3"/>
  <c r="BZ297" i="3"/>
  <c r="BZ311" i="3"/>
  <c r="BC264" i="3"/>
  <c r="BS264" i="3" s="1"/>
  <c r="BC238" i="3"/>
  <c r="BS238" i="3" s="1"/>
  <c r="BC518" i="3"/>
  <c r="BS518" i="3" s="1"/>
  <c r="BZ147" i="3"/>
  <c r="BC115" i="3"/>
  <c r="BS115" i="3" s="1"/>
  <c r="BC72" i="3"/>
  <c r="BS72" i="3" s="1"/>
  <c r="BC486" i="3"/>
  <c r="BS486" i="3" s="1"/>
  <c r="BC531" i="3"/>
  <c r="BS531" i="3" s="1"/>
  <c r="BZ329" i="3"/>
  <c r="AJ396" i="3"/>
  <c r="AK396" i="3" s="1"/>
  <c r="BZ207" i="3"/>
  <c r="BZ178" i="3"/>
  <c r="BZ542" i="3"/>
  <c r="BS484" i="3"/>
  <c r="BC210" i="3"/>
  <c r="BS210" i="3" s="1"/>
  <c r="AJ394" i="3"/>
  <c r="AK394" i="3" s="1"/>
  <c r="BS394" i="3" s="1"/>
  <c r="BC79" i="3"/>
  <c r="BP438" i="3"/>
  <c r="BZ158" i="3"/>
  <c r="BS135" i="3"/>
  <c r="BZ59" i="3"/>
  <c r="BC263" i="3"/>
  <c r="BC109" i="3"/>
  <c r="BS109" i="3" s="1"/>
  <c r="BS675" i="3"/>
  <c r="BZ499" i="3"/>
  <c r="BZ362" i="3"/>
  <c r="BZ345" i="3"/>
  <c r="BC352" i="3"/>
  <c r="BS352" i="3" s="1"/>
  <c r="AJ208" i="3"/>
  <c r="AK208" i="3" s="1"/>
  <c r="BC151" i="3"/>
  <c r="AJ621" i="3"/>
  <c r="AK621" i="3" s="1"/>
  <c r="BS621" i="3" s="1"/>
  <c r="BZ584" i="3"/>
  <c r="BZ569" i="3"/>
  <c r="BC254" i="3"/>
  <c r="BS254" i="3" s="1"/>
  <c r="BZ170" i="3"/>
  <c r="BZ354" i="3"/>
  <c r="BZ441" i="3"/>
  <c r="BC297" i="3"/>
  <c r="BS297" i="3" s="1"/>
  <c r="AJ227" i="3"/>
  <c r="AK227" i="3" s="1"/>
  <c r="BZ475" i="3"/>
  <c r="BS671" i="3"/>
  <c r="BZ426" i="3"/>
  <c r="BC519" i="3"/>
  <c r="BS519" i="3" s="1"/>
  <c r="BC184" i="3"/>
  <c r="BS184" i="3" s="1"/>
  <c r="BC158" i="3"/>
  <c r="BS158" i="3" s="1"/>
  <c r="BC334" i="3"/>
  <c r="BS334" i="3" s="1"/>
  <c r="AJ622" i="3"/>
  <c r="AK622" i="3" s="1"/>
  <c r="BZ370" i="3"/>
  <c r="BS172" i="3"/>
  <c r="BC119" i="3"/>
  <c r="BS119" i="3" s="1"/>
  <c r="BC221" i="3"/>
  <c r="BS221" i="3" s="1"/>
  <c r="BC169" i="3"/>
  <c r="BZ563" i="3"/>
  <c r="BC405" i="3"/>
  <c r="BS405" i="3" s="1"/>
  <c r="BC331" i="3"/>
  <c r="BS331" i="3" s="1"/>
  <c r="BC265" i="3"/>
  <c r="BS265" i="3" s="1"/>
  <c r="BC68" i="3"/>
  <c r="BS68" i="3" s="1"/>
  <c r="BZ543" i="3"/>
  <c r="BZ408" i="3"/>
  <c r="BC482" i="3"/>
  <c r="BS482" i="3" s="1"/>
  <c r="BC268" i="3"/>
  <c r="BZ232" i="3"/>
  <c r="BZ397" i="3"/>
  <c r="BZ373" i="3"/>
  <c r="BC252" i="3"/>
  <c r="BS252" i="3" s="1"/>
  <c r="BC321" i="3"/>
  <c r="BC596" i="3"/>
  <c r="BS596" i="3" s="1"/>
  <c r="BP664" i="3"/>
  <c r="BZ493" i="3"/>
  <c r="BC182" i="3"/>
  <c r="BZ320" i="3"/>
  <c r="BZ567" i="3"/>
  <c r="BS361" i="3"/>
  <c r="BC369" i="3"/>
  <c r="BS369" i="3" s="1"/>
  <c r="BZ127" i="3"/>
  <c r="BZ657" i="3"/>
  <c r="BZ424" i="3"/>
  <c r="BZ66" i="3"/>
  <c r="BC73" i="3"/>
  <c r="BS73" i="3" s="1"/>
  <c r="BS663" i="3"/>
  <c r="BS513" i="3"/>
  <c r="BC171" i="3"/>
  <c r="BC224" i="3"/>
  <c r="BS224" i="3" s="1"/>
  <c r="BC332" i="3"/>
  <c r="BS332" i="3" s="1"/>
  <c r="BC44" i="3"/>
  <c r="BS44" i="3" s="1"/>
  <c r="BC640" i="3"/>
  <c r="BS640" i="3" s="1"/>
  <c r="BC655" i="3"/>
  <c r="BZ531" i="3"/>
  <c r="BC363" i="3"/>
  <c r="BC338" i="3"/>
  <c r="BS338" i="3" s="1"/>
  <c r="BC196" i="3"/>
  <c r="BS196" i="3" s="1"/>
  <c r="BC250" i="3"/>
  <c r="BZ501" i="3"/>
  <c r="BZ596" i="3"/>
  <c r="BC458" i="3"/>
  <c r="BS458" i="3" s="1"/>
  <c r="BZ169" i="3"/>
  <c r="BC229" i="3"/>
  <c r="BC404" i="3"/>
  <c r="BZ660" i="3"/>
  <c r="BZ549" i="3"/>
  <c r="BZ378" i="3"/>
  <c r="BZ364" i="3"/>
  <c r="BZ126" i="3"/>
  <c r="BZ317" i="3"/>
  <c r="BZ283" i="3"/>
  <c r="BZ167" i="3"/>
  <c r="BC146" i="3"/>
  <c r="BS146" i="3" s="1"/>
  <c r="BC298" i="3"/>
  <c r="BS298" i="3" s="1"/>
  <c r="BC453" i="3"/>
  <c r="BS453" i="3" s="1"/>
  <c r="BZ571" i="3"/>
  <c r="BC427" i="3"/>
  <c r="BS427" i="3" s="1"/>
  <c r="BC470" i="3"/>
  <c r="BC436" i="3"/>
  <c r="BS436" i="3" s="1"/>
  <c r="BZ248" i="3"/>
  <c r="BZ211" i="3"/>
  <c r="BC366" i="3"/>
  <c r="BS366" i="3" s="1"/>
  <c r="AJ153" i="3"/>
  <c r="AK153" i="3" s="1"/>
  <c r="BS153" i="3" s="1"/>
  <c r="BZ78" i="3"/>
  <c r="AJ462" i="3"/>
  <c r="AK462" i="3" s="1"/>
  <c r="BZ461" i="3"/>
  <c r="BZ553" i="3"/>
  <c r="BZ383" i="3"/>
  <c r="BS468" i="3"/>
  <c r="BC618" i="3"/>
  <c r="BS618" i="3" s="1"/>
  <c r="BZ366" i="3"/>
  <c r="BC216" i="3"/>
  <c r="BZ616" i="3"/>
  <c r="BC570" i="3"/>
  <c r="BS570" i="3" s="1"/>
  <c r="BZ540" i="3"/>
  <c r="BS578" i="3"/>
  <c r="BC492" i="3"/>
  <c r="BS492" i="3" s="1"/>
  <c r="BC370" i="3"/>
  <c r="BZ327" i="3"/>
  <c r="BZ367" i="3"/>
  <c r="BZ470" i="3"/>
  <c r="BC255" i="3"/>
  <c r="BS255" i="3" s="1"/>
  <c r="BZ123" i="3"/>
  <c r="BC222" i="3"/>
  <c r="BS222" i="3" s="1"/>
  <c r="BS569" i="3"/>
  <c r="BC77" i="3"/>
  <c r="BZ507" i="3"/>
  <c r="BC619" i="3"/>
  <c r="BS619" i="3" s="1"/>
  <c r="BZ454" i="3"/>
  <c r="BZ415" i="3"/>
  <c r="BC148" i="3"/>
  <c r="BS148" i="3" s="1"/>
  <c r="BZ95" i="3"/>
  <c r="BC81" i="3"/>
  <c r="BS81" i="3" s="1"/>
  <c r="BS672" i="3"/>
  <c r="AJ93" i="3"/>
  <c r="AK93" i="3" s="1"/>
  <c r="BZ514" i="3"/>
  <c r="BS505" i="3"/>
  <c r="BZ185" i="3"/>
  <c r="BZ645" i="3"/>
  <c r="BC397" i="3"/>
  <c r="BS397" i="3" s="1"/>
  <c r="BS461" i="3"/>
  <c r="BC622" i="3"/>
  <c r="BZ410" i="3"/>
  <c r="BC211" i="3"/>
  <c r="BS211" i="3" s="1"/>
  <c r="BC155" i="3"/>
  <c r="BS155" i="3" s="1"/>
  <c r="AJ627" i="3"/>
  <c r="AK627" i="3" s="1"/>
  <c r="BC452" i="3"/>
  <c r="BS452" i="3" s="1"/>
  <c r="AJ92" i="3"/>
  <c r="AK92" i="3" s="1"/>
  <c r="BC66" i="3"/>
  <c r="BC489" i="3"/>
  <c r="BS489" i="3" s="1"/>
  <c r="BC551" i="3"/>
  <c r="BC638" i="3"/>
  <c r="BS638" i="3" s="1"/>
  <c r="BZ534" i="3"/>
  <c r="BS479" i="3"/>
  <c r="BZ108" i="3"/>
  <c r="BZ38" i="3"/>
  <c r="BZ481" i="3"/>
  <c r="BZ419" i="3"/>
  <c r="BZ277" i="3"/>
  <c r="BS669" i="3"/>
  <c r="BC454" i="3"/>
  <c r="BS454" i="3" s="1"/>
  <c r="BZ547" i="3"/>
  <c r="BC594" i="3"/>
  <c r="BS594" i="3" s="1"/>
  <c r="BC604" i="3"/>
  <c r="BS604" i="3" s="1"/>
  <c r="BS682" i="3"/>
  <c r="BC480" i="3"/>
  <c r="BS480" i="3" s="1"/>
  <c r="AJ523" i="3"/>
  <c r="AK523" i="3" s="1"/>
  <c r="BZ422" i="3"/>
  <c r="BC243" i="3"/>
  <c r="BS243" i="3" s="1"/>
  <c r="BZ75" i="3"/>
  <c r="BC183" i="3"/>
  <c r="AJ37" i="3"/>
  <c r="AK37" i="3" s="1"/>
  <c r="BC371" i="3"/>
  <c r="BC319" i="3"/>
  <c r="BS319" i="3" s="1"/>
  <c r="BC464" i="3"/>
  <c r="BZ246" i="3"/>
  <c r="BC112" i="3"/>
  <c r="BS112" i="3" s="1"/>
  <c r="BC192" i="3"/>
  <c r="BS192" i="3" s="1"/>
  <c r="BZ496" i="3"/>
  <c r="BZ375" i="3"/>
  <c r="BZ275" i="3"/>
  <c r="BZ241" i="3"/>
  <c r="BZ544" i="3"/>
  <c r="BC378" i="3"/>
  <c r="BZ146" i="3"/>
  <c r="BC93" i="3"/>
  <c r="BC421" i="3"/>
  <c r="BS421" i="3" s="1"/>
  <c r="BS236" i="3"/>
  <c r="BC391" i="3"/>
  <c r="BC509" i="3"/>
  <c r="BS509" i="3" s="1"/>
  <c r="BC626" i="3"/>
  <c r="BS626" i="3" s="1"/>
  <c r="BZ574" i="3"/>
  <c r="BC598" i="3"/>
  <c r="BS598" i="3" s="1"/>
  <c r="BC462" i="3"/>
  <c r="BZ522" i="3"/>
  <c r="BS282" i="3"/>
  <c r="BZ80" i="3"/>
  <c r="BP655" i="3"/>
  <c r="BZ156" i="3"/>
  <c r="BC245" i="3"/>
  <c r="BS245" i="3" s="1"/>
  <c r="BZ334" i="3"/>
  <c r="BC525" i="3"/>
  <c r="BS525" i="3" s="1"/>
  <c r="BC402" i="3"/>
  <c r="BC439" i="3"/>
  <c r="BZ608" i="3"/>
  <c r="BS90" i="3"/>
  <c r="BZ86" i="3"/>
  <c r="BC317" i="3"/>
  <c r="BZ434" i="3"/>
  <c r="AJ404" i="3"/>
  <c r="AK404" i="3" s="1"/>
  <c r="BZ469" i="3"/>
  <c r="BC92" i="3"/>
  <c r="BC108" i="3"/>
  <c r="BS108" i="3" s="1"/>
  <c r="BZ221" i="3"/>
  <c r="BC58" i="3"/>
  <c r="BS58" i="3" s="1"/>
  <c r="BC159" i="3"/>
  <c r="BS159" i="3" s="1"/>
  <c r="BZ200" i="3"/>
  <c r="BC226" i="3"/>
  <c r="BS226" i="3" s="1"/>
  <c r="BS312" i="3"/>
  <c r="BZ634" i="3"/>
  <c r="BZ562" i="3"/>
  <c r="AJ516" i="3"/>
  <c r="AK516" i="3" s="1"/>
  <c r="BZ379" i="3"/>
  <c r="BC320" i="3"/>
  <c r="BS320" i="3" s="1"/>
  <c r="BZ191" i="3"/>
  <c r="AJ370" i="3"/>
  <c r="AK370" i="3" s="1"/>
  <c r="BZ70" i="3"/>
  <c r="AJ601" i="3"/>
  <c r="AK601" i="3" s="1"/>
  <c r="BS568" i="3"/>
  <c r="BC603" i="3"/>
  <c r="BS603" i="3" s="1"/>
  <c r="BZ444" i="3"/>
  <c r="AJ520" i="3"/>
  <c r="AK520" i="3" s="1"/>
  <c r="BC372" i="3"/>
  <c r="BS372" i="3" s="1"/>
  <c r="AJ403" i="3"/>
  <c r="AK403" i="3" s="1"/>
  <c r="BZ225" i="3"/>
  <c r="AJ164" i="3"/>
  <c r="AK164" i="3" s="1"/>
  <c r="BZ150" i="3"/>
  <c r="BC651" i="3"/>
  <c r="BS651" i="3" s="1"/>
  <c r="AJ573" i="3"/>
  <c r="AK573" i="3" s="1"/>
  <c r="BS573" i="3" s="1"/>
  <c r="BZ265" i="3"/>
  <c r="BC37" i="3"/>
  <c r="BZ157" i="3"/>
  <c r="BC343" i="3"/>
  <c r="BS343" i="3" s="1"/>
  <c r="BC423" i="3"/>
  <c r="BC645" i="3"/>
  <c r="BS645" i="3" s="1"/>
  <c r="BS631" i="3"/>
  <c r="BZ398" i="3"/>
  <c r="BS166" i="3"/>
  <c r="BZ622" i="3"/>
  <c r="BZ322" i="3"/>
  <c r="BZ303" i="3"/>
  <c r="BC416" i="3"/>
  <c r="BS416" i="3" s="1"/>
  <c r="BC354" i="3"/>
  <c r="BS354" i="3" s="1"/>
  <c r="BZ319" i="3"/>
  <c r="BC193" i="3"/>
  <c r="BZ132" i="3"/>
  <c r="BC52" i="3"/>
  <c r="BS52" i="3" s="1"/>
  <c r="BZ217" i="3"/>
  <c r="BZ242" i="3"/>
  <c r="BZ568" i="3"/>
  <c r="BZ176" i="3"/>
  <c r="BC440" i="3"/>
  <c r="BS440" i="3" s="1"/>
  <c r="BZ440" i="3"/>
  <c r="BC270" i="3"/>
  <c r="BS270" i="3" s="1"/>
  <c r="BZ172" i="3"/>
  <c r="AJ407" i="3"/>
  <c r="AK407" i="3" s="1"/>
  <c r="BS407" i="3" s="1"/>
  <c r="BC118" i="3"/>
  <c r="BS118" i="3" s="1"/>
  <c r="AJ183" i="3"/>
  <c r="AK183" i="3" s="1"/>
  <c r="BC476" i="3"/>
  <c r="BS476" i="3" s="1"/>
  <c r="BS606" i="3"/>
  <c r="BC583" i="3"/>
  <c r="BS583" i="3" s="1"/>
  <c r="AJ498" i="3"/>
  <c r="AK498" i="3" s="1"/>
  <c r="BZ137" i="3"/>
  <c r="BC344" i="3"/>
  <c r="BS45" i="3"/>
  <c r="BZ597" i="3"/>
  <c r="BC62" i="3"/>
  <c r="BS62" i="3" s="1"/>
  <c r="BC607" i="3"/>
  <c r="BS607" i="3" s="1"/>
  <c r="BC652" i="3"/>
  <c r="BC469" i="3"/>
  <c r="BS469" i="3" s="1"/>
  <c r="BC410" i="3"/>
  <c r="BS410" i="3" s="1"/>
  <c r="BC346" i="3"/>
  <c r="BS346" i="3" s="1"/>
  <c r="BC289" i="3"/>
  <c r="BS289" i="3" s="1"/>
  <c r="BZ145" i="3"/>
  <c r="BZ106" i="3"/>
  <c r="BZ281" i="3"/>
  <c r="AJ182" i="3"/>
  <c r="AK182" i="3" s="1"/>
  <c r="BZ337" i="3"/>
  <c r="BC208" i="3"/>
  <c r="BZ262" i="3"/>
  <c r="BC641" i="3"/>
  <c r="BS641" i="3" s="1"/>
  <c r="BC457" i="3"/>
  <c r="BS457" i="3" s="1"/>
  <c r="BZ294" i="3"/>
  <c r="BZ309" i="3"/>
  <c r="BZ223" i="3"/>
  <c r="BC178" i="3"/>
  <c r="BS178" i="3" s="1"/>
  <c r="AJ380" i="3"/>
  <c r="AK380" i="3" s="1"/>
  <c r="BZ50" i="3"/>
  <c r="BC308" i="3"/>
  <c r="BS308" i="3" s="1"/>
  <c r="BZ358" i="3"/>
  <c r="BC617" i="3"/>
  <c r="BS617" i="3" s="1"/>
  <c r="BC307" i="3"/>
  <c r="BS307" i="3" s="1"/>
  <c r="BZ356" i="3"/>
  <c r="BC434" i="3"/>
  <c r="BS434" i="3" s="1"/>
  <c r="BS284" i="3"/>
  <c r="BS442" i="3"/>
  <c r="BZ554" i="3"/>
  <c r="BC69" i="3"/>
  <c r="BS69" i="3" s="1"/>
  <c r="BZ133" i="3"/>
  <c r="BC244" i="3"/>
  <c r="BS244" i="3" s="1"/>
  <c r="BC306" i="3"/>
  <c r="BS491" i="3"/>
  <c r="BC523" i="3"/>
  <c r="BZ626" i="3"/>
  <c r="BC656" i="3"/>
  <c r="BS656" i="3" s="1"/>
  <c r="BC639" i="3"/>
  <c r="BS639" i="3" s="1"/>
  <c r="BZ659" i="3"/>
  <c r="BC514" i="3"/>
  <c r="BC515" i="3"/>
  <c r="BZ504" i="3"/>
  <c r="AJ532" i="3"/>
  <c r="AK532" i="3" s="1"/>
  <c r="BS326" i="3"/>
  <c r="BS389" i="3"/>
  <c r="AJ464" i="3"/>
  <c r="AK464" i="3" s="1"/>
  <c r="BZ267" i="3"/>
  <c r="BZ286" i="3"/>
  <c r="BZ162" i="3"/>
  <c r="BZ134" i="3"/>
  <c r="BZ229" i="3"/>
  <c r="BP445" i="3"/>
  <c r="BZ119" i="3"/>
  <c r="BP652" i="3"/>
  <c r="AJ157" i="3"/>
  <c r="AK157" i="3" s="1"/>
  <c r="BZ399" i="3"/>
  <c r="BZ417" i="3"/>
  <c r="AJ400" i="3"/>
  <c r="AK400" i="3" s="1"/>
  <c r="BZ153" i="3"/>
  <c r="BC87" i="3"/>
  <c r="BS87" i="3" s="1"/>
  <c r="AJ344" i="3"/>
  <c r="AK344" i="3" s="1"/>
  <c r="BC674" i="3"/>
  <c r="BS64" i="3"/>
  <c r="BS441" i="3"/>
  <c r="BC49" i="3"/>
  <c r="BS49" i="3" s="1"/>
  <c r="BS63" i="3"/>
  <c r="BZ446" i="3"/>
  <c r="BC466" i="3"/>
  <c r="BS466" i="3" s="1"/>
  <c r="BZ646" i="3"/>
  <c r="BC588" i="3"/>
  <c r="BS588" i="3" s="1"/>
  <c r="BS662" i="3"/>
  <c r="BC508" i="3"/>
  <c r="BS508" i="3" s="1"/>
  <c r="BC478" i="3"/>
  <c r="BS478" i="3" s="1"/>
  <c r="BP439" i="3"/>
  <c r="BS242" i="3"/>
  <c r="BC78" i="3"/>
  <c r="BS78" i="3" s="1"/>
  <c r="AJ275" i="3"/>
  <c r="AK275" i="3" s="1"/>
  <c r="AJ171" i="3"/>
  <c r="AK171" i="3" s="1"/>
  <c r="BC213" i="3"/>
  <c r="BS213" i="3" s="1"/>
  <c r="BC235" i="3"/>
  <c r="BS235" i="3" s="1"/>
  <c r="BC538" i="3"/>
  <c r="BS538" i="3" s="1"/>
  <c r="BC292" i="3"/>
  <c r="BS292" i="3" s="1"/>
  <c r="BZ261" i="3"/>
  <c r="AJ676" i="3"/>
  <c r="AK676" i="3" s="1"/>
  <c r="BS676" i="3" s="1"/>
  <c r="BZ374" i="3"/>
  <c r="BZ637" i="3"/>
  <c r="BS357" i="3"/>
  <c r="BC152" i="3"/>
  <c r="BS152" i="3" s="1"/>
  <c r="BC499" i="3"/>
  <c r="BC634" i="3"/>
  <c r="BZ576" i="3"/>
  <c r="BZ525" i="3"/>
  <c r="BC419" i="3"/>
  <c r="BS419" i="3" s="1"/>
  <c r="AJ360" i="3"/>
  <c r="AK360" i="3" s="1"/>
  <c r="AJ248" i="3"/>
  <c r="AK248" i="3" s="1"/>
  <c r="BS248" i="3" s="1"/>
  <c r="BC174" i="3"/>
  <c r="BS174" i="3" s="1"/>
  <c r="BS142" i="3"/>
  <c r="BC60" i="3"/>
  <c r="BS60" i="3" s="1"/>
  <c r="AJ230" i="3"/>
  <c r="AK230" i="3" s="1"/>
  <c r="BS230" i="3" s="1"/>
  <c r="BC353" i="3"/>
  <c r="BS353" i="3" s="1"/>
  <c r="BZ288" i="3"/>
  <c r="BC554" i="3"/>
  <c r="BS554" i="3" s="1"/>
  <c r="AJ602" i="3"/>
  <c r="AK602" i="3" s="1"/>
  <c r="BC277" i="3"/>
  <c r="BS277" i="3" s="1"/>
  <c r="BC223" i="3"/>
  <c r="BS223" i="3" s="1"/>
  <c r="BZ282" i="3"/>
  <c r="BZ245" i="3"/>
  <c r="AJ160" i="3"/>
  <c r="AK160" i="3" s="1"/>
  <c r="BS160" i="3" s="1"/>
  <c r="AJ77" i="3"/>
  <c r="AK77" i="3" s="1"/>
  <c r="BS74" i="3"/>
  <c r="AJ310" i="3"/>
  <c r="AK310" i="3" s="1"/>
  <c r="BC140" i="3"/>
  <c r="BS140" i="3" s="1"/>
  <c r="BC526" i="3"/>
  <c r="BS526" i="3" s="1"/>
  <c r="BC579" i="3"/>
  <c r="BS579" i="3" s="1"/>
  <c r="BC322" i="3"/>
  <c r="BS322" i="3" s="1"/>
  <c r="BC382" i="3"/>
  <c r="BS382" i="3" s="1"/>
  <c r="BC258" i="3"/>
  <c r="BS258" i="3" s="1"/>
  <c r="BC195" i="3"/>
  <c r="BS195" i="3" s="1"/>
  <c r="BZ110" i="3"/>
  <c r="BZ490" i="3"/>
  <c r="BZ115" i="3"/>
  <c r="BC188" i="3"/>
  <c r="BS188" i="3" s="1"/>
  <c r="BC396" i="3"/>
  <c r="BZ416" i="3"/>
  <c r="BC487" i="3"/>
  <c r="BS487" i="3" s="1"/>
  <c r="BC558" i="3"/>
  <c r="BS558" i="3" s="1"/>
  <c r="BZ304" i="3"/>
  <c r="BZ382" i="3"/>
  <c r="BS151" i="3"/>
  <c r="AJ455" i="3"/>
  <c r="AK455" i="3" s="1"/>
  <c r="BS455" i="3" s="1"/>
  <c r="BZ94" i="3"/>
  <c r="BC517" i="3"/>
  <c r="BS95" i="3"/>
  <c r="BC379" i="3"/>
  <c r="BC553" i="3"/>
  <c r="BS553" i="3" s="1"/>
  <c r="BS563" i="3"/>
  <c r="BC624" i="3"/>
  <c r="BS624" i="3" s="1"/>
  <c r="BZ578" i="3"/>
  <c r="BC642" i="3"/>
  <c r="BS642" i="3" s="1"/>
  <c r="BS574" i="3"/>
  <c r="BC528" i="3"/>
  <c r="BS528" i="3" s="1"/>
  <c r="AJ544" i="3"/>
  <c r="AK544" i="3" s="1"/>
  <c r="BS544" i="3" s="1"/>
  <c r="BC373" i="3"/>
  <c r="BS373" i="3" s="1"/>
  <c r="BC339" i="3"/>
  <c r="BS339" i="3" s="1"/>
  <c r="AJ391" i="3"/>
  <c r="AK391" i="3" s="1"/>
  <c r="BC303" i="3"/>
  <c r="BS303" i="3" s="1"/>
  <c r="BZ497" i="3"/>
  <c r="BZ372" i="3"/>
  <c r="BC205" i="3"/>
  <c r="BS205" i="3" s="1"/>
  <c r="BZ42" i="3"/>
  <c r="BZ39" i="3"/>
  <c r="BZ643" i="3"/>
  <c r="BZ227" i="3"/>
  <c r="BZ43" i="3"/>
  <c r="BZ194" i="3"/>
  <c r="BS234" i="3"/>
  <c r="BS315" i="3"/>
  <c r="BC368" i="3"/>
  <c r="BS368" i="3" s="1"/>
  <c r="BZ460" i="3"/>
  <c r="BZ492" i="3"/>
  <c r="BS550" i="3"/>
  <c r="BS529" i="3"/>
  <c r="BZ138" i="3"/>
  <c r="BS217" i="3"/>
  <c r="BC114" i="3"/>
  <c r="BS114" i="3" s="1"/>
  <c r="BZ551" i="3"/>
  <c r="BC48" i="3"/>
  <c r="BS48" i="3" s="1"/>
  <c r="BS465" i="3"/>
  <c r="BC591" i="3"/>
  <c r="BS591" i="3" s="1"/>
  <c r="BS494" i="3"/>
  <c r="BZ405" i="3"/>
  <c r="BS511" i="3"/>
  <c r="BC406" i="3"/>
  <c r="BC340" i="3"/>
  <c r="AJ209" i="3"/>
  <c r="AK209" i="3" s="1"/>
  <c r="BC145" i="3"/>
  <c r="BS145" i="3" s="1"/>
  <c r="BZ346" i="3"/>
  <c r="BC219" i="3"/>
  <c r="BS219" i="3" s="1"/>
  <c r="AJ228" i="3"/>
  <c r="AK228" i="3" s="1"/>
  <c r="AJ181" i="3"/>
  <c r="AK181" i="3" s="1"/>
  <c r="BS181" i="3" s="1"/>
  <c r="AJ241" i="3"/>
  <c r="AK241" i="3" s="1"/>
  <c r="BZ46" i="3"/>
  <c r="BZ68" i="3"/>
  <c r="BC365" i="3"/>
  <c r="BS365" i="3" s="1"/>
  <c r="BC414" i="3"/>
  <c r="BS414" i="3" s="1"/>
  <c r="BS564" i="3"/>
  <c r="BC614" i="3"/>
  <c r="BS614" i="3" s="1"/>
  <c r="BZ628" i="3"/>
  <c r="BS597" i="3"/>
  <c r="BC580" i="3"/>
  <c r="BS580" i="3" s="1"/>
  <c r="BC355" i="3"/>
  <c r="BS355" i="3" s="1"/>
  <c r="BS225" i="3"/>
  <c r="BZ62" i="3"/>
  <c r="BZ83" i="3"/>
  <c r="BC201" i="3"/>
  <c r="BS201" i="3" s="1"/>
  <c r="BC47" i="3"/>
  <c r="BS47" i="3" s="1"/>
  <c r="AJ412" i="3"/>
  <c r="AK412" i="3" s="1"/>
  <c r="AJ130" i="3"/>
  <c r="AK130" i="3" s="1"/>
  <c r="BS130" i="3" s="1"/>
  <c r="BS356" i="3"/>
  <c r="BP448" i="3"/>
  <c r="BS448" i="3" s="1"/>
  <c r="BC259" i="3"/>
  <c r="BS259" i="3" s="1"/>
  <c r="AJ137" i="3"/>
  <c r="AK137" i="3" s="1"/>
  <c r="BS137" i="3" s="1"/>
  <c r="AJ134" i="3"/>
  <c r="AK134" i="3" s="1"/>
  <c r="BS134" i="3" s="1"/>
  <c r="AJ193" i="3"/>
  <c r="AK193" i="3" s="1"/>
  <c r="BC666" i="3"/>
  <c r="BS666" i="3" s="1"/>
  <c r="BC97" i="3"/>
  <c r="BS97" i="3" s="1"/>
  <c r="BS187" i="3"/>
  <c r="BC428" i="3"/>
  <c r="BS428" i="3" s="1"/>
  <c r="BC451" i="3"/>
  <c r="BS451" i="3" s="1"/>
  <c r="BS474" i="3"/>
  <c r="BS584" i="3"/>
  <c r="BS599" i="3"/>
  <c r="BZ614" i="3"/>
  <c r="AJ576" i="3"/>
  <c r="AK576" i="3" s="1"/>
  <c r="BZ541" i="3"/>
  <c r="AJ674" i="3"/>
  <c r="AK674" i="3" s="1"/>
  <c r="AJ551" i="3"/>
  <c r="AK551" i="3" s="1"/>
  <c r="AJ515" i="3"/>
  <c r="AK515" i="3" s="1"/>
  <c r="AJ522" i="3"/>
  <c r="AK522" i="3" s="1"/>
  <c r="BC330" i="3"/>
  <c r="BS330" i="3" s="1"/>
  <c r="AJ317" i="3"/>
  <c r="AK317" i="3" s="1"/>
  <c r="AJ194" i="3"/>
  <c r="AK194" i="3" s="1"/>
  <c r="BS194" i="3" s="1"/>
  <c r="AJ206" i="3"/>
  <c r="AK206" i="3" s="1"/>
  <c r="BZ186" i="3"/>
  <c r="AJ378" i="3"/>
  <c r="AK378" i="3" s="1"/>
  <c r="AJ302" i="3"/>
  <c r="AK302" i="3" s="1"/>
  <c r="BC180" i="3"/>
  <c r="BS180" i="3" s="1"/>
  <c r="BZ47" i="3"/>
  <c r="AJ40" i="3"/>
  <c r="AK40" i="3" s="1"/>
  <c r="BS40" i="3" s="1"/>
  <c r="AJ306" i="3"/>
  <c r="AK306" i="3" s="1"/>
  <c r="AJ76" i="3"/>
  <c r="AK76" i="3" s="1"/>
  <c r="BS76" i="3" s="1"/>
  <c r="BS337" i="3"/>
  <c r="BC481" i="3"/>
  <c r="BS481" i="3" s="1"/>
  <c r="BP650" i="3"/>
  <c r="BS650" i="3" s="1"/>
  <c r="AJ470" i="3"/>
  <c r="AK470" i="3" s="1"/>
  <c r="AJ517" i="3"/>
  <c r="AK517" i="3" s="1"/>
  <c r="AJ311" i="3"/>
  <c r="AK311" i="3" s="1"/>
  <c r="BS311" i="3" s="1"/>
  <c r="AJ56" i="3"/>
  <c r="AK56" i="3" s="1"/>
  <c r="AJ82" i="3"/>
  <c r="AK82" i="3" s="1"/>
  <c r="BS82" i="3" s="1"/>
  <c r="BC345" i="3"/>
  <c r="BS345" i="3" s="1"/>
  <c r="BC399" i="3"/>
  <c r="BS399" i="3" s="1"/>
  <c r="BS237" i="3"/>
  <c r="BC471" i="3"/>
  <c r="BS471" i="3" s="1"/>
  <c r="BC601" i="3"/>
  <c r="BP657" i="3"/>
  <c r="BS657" i="3" s="1"/>
  <c r="BZ491" i="3"/>
  <c r="BZ478" i="3"/>
  <c r="BP444" i="3"/>
  <c r="AJ336" i="3"/>
  <c r="AK336" i="3" s="1"/>
  <c r="AJ318" i="3"/>
  <c r="AK318" i="3" s="1"/>
  <c r="AJ409" i="3"/>
  <c r="AK409" i="3" s="1"/>
  <c r="AJ371" i="3"/>
  <c r="AK371" i="3" s="1"/>
  <c r="AJ216" i="3"/>
  <c r="AK216" i="3" s="1"/>
  <c r="AJ290" i="3"/>
  <c r="AK290" i="3" s="1"/>
  <c r="BC127" i="3"/>
  <c r="BS127" i="3" s="1"/>
  <c r="BP232" i="3"/>
  <c r="AJ653" i="3"/>
  <c r="AK653" i="3" s="1"/>
  <c r="BZ93" i="3"/>
  <c r="AJ124" i="3"/>
  <c r="AK124" i="3" s="1"/>
  <c r="BC131" i="3"/>
  <c r="BS131" i="3" s="1"/>
  <c r="BZ243" i="3"/>
  <c r="AJ660" i="3"/>
  <c r="AK660" i="3" s="1"/>
  <c r="BS660" i="3" s="1"/>
  <c r="BZ328" i="3"/>
  <c r="AJ111" i="3"/>
  <c r="AK111" i="3" s="1"/>
  <c r="AJ50" i="3"/>
  <c r="AK50" i="3" s="1"/>
  <c r="BS50" i="3" s="1"/>
  <c r="AJ79" i="3"/>
  <c r="AK79" i="3" s="1"/>
  <c r="BZ88" i="3"/>
  <c r="AJ463" i="3"/>
  <c r="AK463" i="3" s="1"/>
  <c r="BC88" i="3"/>
  <c r="BS88" i="3" s="1"/>
  <c r="BS85" i="3"/>
  <c r="BS239" i="3"/>
  <c r="BS488" i="3"/>
  <c r="BS497" i="3"/>
  <c r="BS595" i="3"/>
  <c r="BC510" i="3"/>
  <c r="BS510" i="3" s="1"/>
  <c r="BC424" i="3"/>
  <c r="BS424" i="3" s="1"/>
  <c r="BC301" i="3"/>
  <c r="BS301" i="3" s="1"/>
  <c r="BS304" i="3"/>
  <c r="BC128" i="3"/>
  <c r="BC111" i="3"/>
  <c r="BC65" i="3"/>
  <c r="BS65" i="3" s="1"/>
  <c r="AJ649" i="3"/>
  <c r="AK649" i="3" s="1"/>
  <c r="BS86" i="3"/>
  <c r="BS329" i="3"/>
  <c r="BC401" i="3"/>
  <c r="BS401" i="3" s="1"/>
  <c r="BC444" i="3"/>
  <c r="BC633" i="3"/>
  <c r="BS633" i="3" s="1"/>
  <c r="BC637" i="3"/>
  <c r="BS637" i="3" s="1"/>
  <c r="BS273" i="3"/>
  <c r="BS271" i="3"/>
  <c r="BS61" i="3"/>
  <c r="BC541" i="3"/>
  <c r="BS541" i="3" s="1"/>
  <c r="BZ37" i="3"/>
  <c r="BS139" i="3"/>
  <c r="BS296" i="3"/>
  <c r="BS561" i="3"/>
  <c r="AJ634" i="3"/>
  <c r="AK634" i="3" s="1"/>
  <c r="BZ524" i="3"/>
  <c r="BC347" i="3"/>
  <c r="AJ347" i="3"/>
  <c r="AK347" i="3" s="1"/>
  <c r="BZ300" i="3"/>
  <c r="AJ295" i="3"/>
  <c r="AK295" i="3" s="1"/>
  <c r="AJ100" i="3"/>
  <c r="AK100" i="3" s="1"/>
  <c r="AJ250" i="3"/>
  <c r="AK250" i="3" s="1"/>
  <c r="BC147" i="3"/>
  <c r="BS147" i="3" s="1"/>
  <c r="AJ677" i="3"/>
  <c r="AK677" i="3" s="1"/>
  <c r="BS533" i="3"/>
  <c r="BS459" i="3"/>
  <c r="BC214" i="3"/>
  <c r="BS214" i="3" s="1"/>
  <c r="BZ284" i="3"/>
  <c r="BC36" i="3"/>
  <c r="BS36" i="3" s="1"/>
  <c r="BS240" i="3"/>
  <c r="BS266" i="3"/>
  <c r="BS415" i="3"/>
  <c r="BS562" i="3"/>
  <c r="BZ633" i="3"/>
  <c r="BZ479" i="3"/>
  <c r="BC472" i="3"/>
  <c r="BS472" i="3" s="1"/>
  <c r="BZ500" i="3"/>
  <c r="BC375" i="3"/>
  <c r="BS375" i="3" s="1"/>
  <c r="BC294" i="3"/>
  <c r="BS294" i="3" s="1"/>
  <c r="BS256" i="3"/>
  <c r="BZ124" i="3"/>
  <c r="BC199" i="3"/>
  <c r="BS199" i="3" s="1"/>
  <c r="BZ648" i="3"/>
  <c r="BS101" i="3"/>
  <c r="BC409" i="3"/>
  <c r="BC679" i="3"/>
  <c r="BS679" i="3" s="1"/>
  <c r="BS263" i="3"/>
  <c r="BS291" i="3"/>
  <c r="BS55" i="3"/>
  <c r="BZ82" i="3"/>
  <c r="BC281" i="3"/>
  <c r="BS281" i="3" s="1"/>
  <c r="BC422" i="3"/>
  <c r="BS422" i="3" s="1"/>
  <c r="BC463" i="3"/>
  <c r="BZ538" i="3"/>
  <c r="BC552" i="3"/>
  <c r="BS552" i="3" s="1"/>
  <c r="BC577" i="3"/>
  <c r="BC659" i="3"/>
  <c r="BS659" i="3" s="1"/>
  <c r="BC664" i="3"/>
  <c r="BC608" i="3"/>
  <c r="BS608" i="3" s="1"/>
  <c r="BC535" i="3"/>
  <c r="BS535" i="3" s="1"/>
  <c r="BZ604" i="3"/>
  <c r="BZ488" i="3"/>
  <c r="AJ609" i="3"/>
  <c r="AK609" i="3" s="1"/>
  <c r="BS609" i="3" s="1"/>
  <c r="BC490" i="3"/>
  <c r="BS490" i="3" s="1"/>
  <c r="BZ591" i="3"/>
  <c r="AJ445" i="3"/>
  <c r="AK445" i="3" s="1"/>
  <c r="BC328" i="3"/>
  <c r="AJ386" i="3"/>
  <c r="AK386" i="3" s="1"/>
  <c r="BS386" i="3" s="1"/>
  <c r="AJ328" i="3"/>
  <c r="AK328" i="3" s="1"/>
  <c r="AJ406" i="3"/>
  <c r="AK406" i="3" s="1"/>
  <c r="AJ299" i="3"/>
  <c r="AK299" i="3" s="1"/>
  <c r="BS299" i="3" s="1"/>
  <c r="BC122" i="3"/>
  <c r="BS122" i="3" s="1"/>
  <c r="BZ55" i="3"/>
  <c r="AJ398" i="3"/>
  <c r="AK398" i="3" s="1"/>
  <c r="AJ66" i="3"/>
  <c r="AK66" i="3" s="1"/>
  <c r="AJ577" i="3"/>
  <c r="AK577" i="3" s="1"/>
  <c r="BC667" i="3"/>
  <c r="BS667" i="3" s="1"/>
  <c r="BC673" i="3"/>
  <c r="BS673" i="3" s="1"/>
  <c r="BC677" i="3"/>
  <c r="BS654" i="3"/>
  <c r="BS600" i="3"/>
  <c r="BS559" i="3"/>
  <c r="BS540" i="3"/>
  <c r="BS537" i="3"/>
  <c r="BS437" i="3"/>
  <c r="BS432" i="3"/>
  <c r="BS420" i="3"/>
  <c r="BS402" i="3"/>
  <c r="BS261" i="3"/>
  <c r="BS247" i="3"/>
  <c r="BS231" i="3"/>
  <c r="BS162" i="3"/>
  <c r="BS136" i="3"/>
  <c r="BS121" i="3"/>
  <c r="BS105" i="3"/>
  <c r="BC678" i="3"/>
  <c r="BS678" i="3" s="1"/>
  <c r="BS398" i="3" l="1"/>
  <c r="BS400" i="3"/>
  <c r="BS499" i="3"/>
  <c r="BS379" i="3"/>
  <c r="BS117" i="3"/>
  <c r="BS470" i="3"/>
  <c r="BS653" i="3"/>
  <c r="BS360" i="3"/>
  <c r="BS100" i="3"/>
  <c r="BS295" i="3"/>
  <c r="BS209" i="3"/>
  <c r="BS275" i="3"/>
  <c r="BS54" i="3"/>
  <c r="BS56" i="3"/>
  <c r="BS124" i="3"/>
  <c r="BS430" i="3"/>
  <c r="BS206" i="3"/>
  <c r="BS310" i="3"/>
  <c r="BS317" i="3"/>
  <c r="BS403" i="3"/>
  <c r="BS523" i="3"/>
  <c r="BS232" i="3"/>
  <c r="BS532" i="3"/>
  <c r="BS92" i="3"/>
  <c r="BS290" i="3"/>
  <c r="BS404" i="3"/>
  <c r="BS438" i="3"/>
  <c r="BS396" i="3"/>
  <c r="BS627" i="3"/>
  <c r="BS171" i="3"/>
  <c r="BS378" i="3"/>
  <c r="BS576" i="3"/>
  <c r="BS423" i="3"/>
  <c r="BS363" i="3"/>
  <c r="BS336" i="3"/>
  <c r="BS227" i="3"/>
  <c r="BS412" i="3"/>
  <c r="BS318" i="3"/>
  <c r="BS128" i="3"/>
  <c r="BS229" i="3"/>
  <c r="BS169" i="3"/>
  <c r="BS439" i="3"/>
  <c r="BS321" i="3"/>
  <c r="BS601" i="3"/>
  <c r="BS302" i="3"/>
  <c r="BS268" i="3"/>
  <c r="BS498" i="3"/>
  <c r="BS516" i="3"/>
  <c r="BS157" i="3"/>
  <c r="BS164" i="3"/>
  <c r="BS462" i="3"/>
  <c r="BS228" i="3"/>
  <c r="BS602" i="3"/>
  <c r="BS520" i="3"/>
  <c r="BS241" i="3"/>
  <c r="BS522" i="3"/>
  <c r="BS340" i="3"/>
  <c r="BS514" i="3"/>
  <c r="BS380" i="3"/>
  <c r="BS655" i="3"/>
  <c r="BS649" i="3"/>
  <c r="BS250" i="3"/>
  <c r="BS445" i="3"/>
  <c r="BS182" i="3"/>
  <c r="BS444" i="3"/>
  <c r="BS79" i="3"/>
  <c r="BS370" i="3"/>
  <c r="BS622" i="3"/>
  <c r="BS391" i="3"/>
  <c r="BS208" i="3"/>
  <c r="BS674" i="3"/>
  <c r="BS464" i="3"/>
  <c r="BS183" i="3"/>
  <c r="BS37" i="3"/>
  <c r="BS216" i="3"/>
  <c r="BS664" i="3"/>
  <c r="BS93" i="3"/>
  <c r="BS66" i="3"/>
  <c r="BS306" i="3"/>
  <c r="BS515" i="3"/>
  <c r="BS652" i="3"/>
  <c r="BS517" i="3"/>
  <c r="BS551" i="3"/>
  <c r="BS371" i="3"/>
  <c r="BS77" i="3"/>
  <c r="BS406" i="3"/>
  <c r="BS328" i="3"/>
  <c r="BS344" i="3"/>
  <c r="BS634" i="3"/>
  <c r="BS193" i="3"/>
  <c r="BS677" i="3"/>
  <c r="BS409" i="3"/>
  <c r="BS577" i="3"/>
  <c r="BS463" i="3"/>
  <c r="BS347" i="3"/>
  <c r="BS111" i="3"/>
  <c r="CB449" i="3"/>
  <c r="E156" i="7" l="1" a="1"/>
  <c r="E156" i="7" s="1"/>
  <c r="C201" i="7" s="1"/>
  <c r="F156" i="7" a="1"/>
  <c r="F156" i="7" s="1"/>
  <c r="C203" i="7" s="1"/>
  <c r="G156" i="7" a="1"/>
  <c r="G156" i="7" s="1"/>
  <c r="C205" i="7" s="1"/>
  <c r="D182" i="7"/>
  <c r="H114" i="7" a="1"/>
  <c r="H114" i="7" s="1"/>
  <c r="H133" i="7" a="1"/>
  <c r="H133" i="7" s="1"/>
  <c r="H144" i="7" a="1"/>
  <c r="H144" i="7" s="1"/>
  <c r="G105" i="7" a="1"/>
  <c r="G105" i="7" s="1"/>
  <c r="G114" i="7" a="1"/>
  <c r="G114" i="7" s="1"/>
  <c r="G124" i="7" a="1"/>
  <c r="G124" i="7" s="1"/>
  <c r="G145" i="7" a="1"/>
  <c r="G145" i="7" s="1"/>
  <c r="F105" i="7" a="1"/>
  <c r="F105" i="7" s="1"/>
  <c r="F113" i="7" a="1"/>
  <c r="F113" i="7" s="1"/>
  <c r="F123" i="7" a="1"/>
  <c r="F123" i="7" s="1"/>
  <c r="F144" i="7" a="1"/>
  <c r="F144" i="7" s="1"/>
  <c r="G125" i="7" a="1"/>
  <c r="G125" i="7" s="1"/>
  <c r="F114" i="7" a="1"/>
  <c r="F114" i="7" s="1"/>
  <c r="F134" i="7" a="1"/>
  <c r="F134" i="7" s="1"/>
  <c r="F125" i="7" a="1"/>
  <c r="F125" i="7" s="1"/>
  <c r="F127" i="7" a="1"/>
  <c r="F127" i="7" s="1"/>
  <c r="F149" i="7" a="1"/>
  <c r="F149" i="7" s="1"/>
  <c r="G112" i="7" a="1"/>
  <c r="G112" i="7" s="1"/>
  <c r="H122" i="7" a="1"/>
  <c r="H122" i="7" s="1"/>
  <c r="F133" i="7" a="1"/>
  <c r="F133" i="7" s="1"/>
  <c r="H106" i="7" a="1"/>
  <c r="H106" i="7" s="1"/>
  <c r="H115" i="7" a="1"/>
  <c r="H115" i="7" s="1"/>
  <c r="H123" i="7" a="1"/>
  <c r="H123" i="7" s="1"/>
  <c r="H145" i="7" a="1"/>
  <c r="H145" i="7" s="1"/>
  <c r="G115" i="7" a="1"/>
  <c r="G115" i="7" s="1"/>
  <c r="G135" i="7" a="1"/>
  <c r="G135" i="7" s="1"/>
  <c r="G146" i="7" a="1"/>
  <c r="G146" i="7" s="1"/>
  <c r="F124" i="7" a="1"/>
  <c r="F124" i="7" s="1"/>
  <c r="F145" i="7" a="1"/>
  <c r="F145" i="7" s="1"/>
  <c r="F135" i="7" a="1"/>
  <c r="F135" i="7" s="1"/>
  <c r="F148" i="7" a="1"/>
  <c r="F148" i="7" s="1"/>
  <c r="F141" i="7" a="1"/>
  <c r="F141" i="7" s="1"/>
  <c r="H142" i="7" a="1"/>
  <c r="H142" i="7" s="1"/>
  <c r="F142" i="7" a="1"/>
  <c r="F142" i="7" s="1"/>
  <c r="G113" i="7" a="1"/>
  <c r="G113" i="7" s="1"/>
  <c r="F112" i="7" a="1"/>
  <c r="F112" i="7" s="1"/>
  <c r="H107" i="7" a="1"/>
  <c r="H107" i="7" s="1"/>
  <c r="H124" i="7" a="1"/>
  <c r="H124" i="7" s="1"/>
  <c r="H134" i="7" a="1"/>
  <c r="H134" i="7" s="1"/>
  <c r="H146" i="7" a="1"/>
  <c r="H146" i="7" s="1"/>
  <c r="G106" i="7" a="1"/>
  <c r="G106" i="7" s="1"/>
  <c r="G116" i="7" a="1"/>
  <c r="G116" i="7" s="1"/>
  <c r="G126" i="7" a="1"/>
  <c r="G126" i="7" s="1"/>
  <c r="G136" i="7" a="1"/>
  <c r="G136" i="7" s="1"/>
  <c r="G147" i="7" a="1"/>
  <c r="G147" i="7" s="1"/>
  <c r="F106" i="7" a="1"/>
  <c r="F106" i="7" s="1"/>
  <c r="F115" i="7" a="1"/>
  <c r="F115" i="7" s="1"/>
  <c r="F146" i="7" a="1"/>
  <c r="F146" i="7" s="1"/>
  <c r="G142" i="7" a="1"/>
  <c r="G142" i="7" s="1"/>
  <c r="G104" i="7" a="1"/>
  <c r="G104" i="7" s="1"/>
  <c r="H105" i="7" a="1"/>
  <c r="H105" i="7" s="1"/>
  <c r="F122" i="7" a="1"/>
  <c r="F122" i="7" s="1"/>
  <c r="H108" i="7" a="1"/>
  <c r="H108" i="7" s="1"/>
  <c r="H116" i="7" a="1"/>
  <c r="H116" i="7" s="1"/>
  <c r="H125" i="7" a="1"/>
  <c r="H125" i="7" s="1"/>
  <c r="H135" i="7" a="1"/>
  <c r="H135" i="7" s="1"/>
  <c r="H147" i="7" a="1"/>
  <c r="H147" i="7" s="1"/>
  <c r="G107" i="7" a="1"/>
  <c r="G107" i="7" s="1"/>
  <c r="G127" i="7" a="1"/>
  <c r="G127" i="7" s="1"/>
  <c r="G137" i="7" a="1"/>
  <c r="G137" i="7" s="1"/>
  <c r="G148" i="7" a="1"/>
  <c r="G148" i="7" s="1"/>
  <c r="F107" i="7" a="1"/>
  <c r="F107" i="7" s="1"/>
  <c r="F126" i="7" a="1"/>
  <c r="F126" i="7" s="1"/>
  <c r="F136" i="7" a="1"/>
  <c r="F136" i="7" s="1"/>
  <c r="F147" i="7" a="1"/>
  <c r="F147" i="7" s="1"/>
  <c r="F137" i="7" a="1"/>
  <c r="F137" i="7" s="1"/>
  <c r="F131" i="7" a="1"/>
  <c r="F131" i="7" s="1"/>
  <c r="G143" i="7" a="1"/>
  <c r="G143" i="7" s="1"/>
  <c r="H143" i="7" a="1"/>
  <c r="H143" i="7" s="1"/>
  <c r="H100" i="7" a="1"/>
  <c r="H100" i="7" s="1"/>
  <c r="H109" i="7" a="1"/>
  <c r="H109" i="7" s="1"/>
  <c r="H126" i="7" a="1"/>
  <c r="H126" i="7" s="1"/>
  <c r="H136" i="7" a="1"/>
  <c r="H136" i="7" s="1"/>
  <c r="H148" i="7" a="1"/>
  <c r="H148" i="7" s="1"/>
  <c r="G108" i="7" a="1"/>
  <c r="G108" i="7" s="1"/>
  <c r="G117" i="7" a="1"/>
  <c r="G117" i="7" s="1"/>
  <c r="G128" i="7" a="1"/>
  <c r="G128" i="7" s="1"/>
  <c r="G138" i="7" a="1"/>
  <c r="G138" i="7" s="1"/>
  <c r="G149" i="7" a="1"/>
  <c r="G149" i="7" s="1"/>
  <c r="F108" i="7" a="1"/>
  <c r="F108" i="7" s="1"/>
  <c r="F116" i="7" a="1"/>
  <c r="F116" i="7" s="1"/>
  <c r="G132" i="7" a="1"/>
  <c r="G132" i="7" s="1"/>
  <c r="F104" i="7" a="1"/>
  <c r="F104" i="7" s="1"/>
  <c r="G123" i="7" a="1"/>
  <c r="G123" i="7" s="1"/>
  <c r="H101" i="7" a="1"/>
  <c r="H101" i="7" s="1"/>
  <c r="H117" i="7" a="1"/>
  <c r="H117" i="7" s="1"/>
  <c r="H127" i="7" a="1"/>
  <c r="H127" i="7" s="1"/>
  <c r="H137" i="7" a="1"/>
  <c r="H137" i="7" s="1"/>
  <c r="H149" i="7" a="1"/>
  <c r="H149" i="7" s="1"/>
  <c r="G109" i="7" a="1"/>
  <c r="G109" i="7" s="1"/>
  <c r="G118" i="7" a="1"/>
  <c r="G118" i="7" s="1"/>
  <c r="G139" i="7" a="1"/>
  <c r="G139" i="7" s="1"/>
  <c r="F100" i="7" a="1"/>
  <c r="F100" i="7" s="1"/>
  <c r="F109" i="7" a="1"/>
  <c r="F109" i="7" s="1"/>
  <c r="F117" i="7" a="1"/>
  <c r="F117" i="7" s="1"/>
  <c r="F138" i="7" a="1"/>
  <c r="F138" i="7" s="1"/>
  <c r="G133" i="7" a="1"/>
  <c r="G133" i="7" s="1"/>
  <c r="H132" i="7" a="1"/>
  <c r="H132" i="7" s="1"/>
  <c r="H102" i="7" a="1"/>
  <c r="H102" i="7" s="1"/>
  <c r="H110" i="7" a="1"/>
  <c r="H110" i="7" s="1"/>
  <c r="H118" i="7" a="1"/>
  <c r="H118" i="7" s="1"/>
  <c r="H138" i="7" a="1"/>
  <c r="H138" i="7" s="1"/>
  <c r="G100" i="7" a="1"/>
  <c r="G100" i="7" s="1"/>
  <c r="G110" i="7" a="1"/>
  <c r="G110" i="7" s="1"/>
  <c r="G119" i="7" a="1"/>
  <c r="G119" i="7" s="1"/>
  <c r="G129" i="7" a="1"/>
  <c r="G129" i="7" s="1"/>
  <c r="G140" i="7" a="1"/>
  <c r="G140" i="7" s="1"/>
  <c r="F101" i="7" a="1"/>
  <c r="F101" i="7" s="1"/>
  <c r="F118" i="7" a="1"/>
  <c r="F118" i="7" s="1"/>
  <c r="F128" i="7" a="1"/>
  <c r="F128" i="7" s="1"/>
  <c r="F139" i="7" a="1"/>
  <c r="F139" i="7" s="1"/>
  <c r="H121" i="7" a="1"/>
  <c r="H121" i="7" s="1"/>
  <c r="G103" i="7" a="1"/>
  <c r="G103" i="7" s="1"/>
  <c r="F111" i="7" a="1"/>
  <c r="F111" i="7" s="1"/>
  <c r="H131" i="7" a="1"/>
  <c r="H131" i="7" s="1"/>
  <c r="H113" i="7" a="1"/>
  <c r="H113" i="7" s="1"/>
  <c r="F143" i="7" a="1"/>
  <c r="F143" i="7" s="1"/>
  <c r="H103" i="7" a="1"/>
  <c r="H103" i="7" s="1"/>
  <c r="H119" i="7" a="1"/>
  <c r="H119" i="7" s="1"/>
  <c r="H128" i="7" a="1"/>
  <c r="H128" i="7" s="1"/>
  <c r="H139" i="7" a="1"/>
  <c r="H139" i="7" s="1"/>
  <c r="G101" i="7" a="1"/>
  <c r="G101" i="7" s="1"/>
  <c r="G120" i="7" a="1"/>
  <c r="G120" i="7" s="1"/>
  <c r="G130" i="7" a="1"/>
  <c r="G130" i="7" s="1"/>
  <c r="F102" i="7" a="1"/>
  <c r="F102" i="7" s="1"/>
  <c r="F110" i="7" a="1"/>
  <c r="F110" i="7" s="1"/>
  <c r="F119" i="7" a="1"/>
  <c r="F119" i="7" s="1"/>
  <c r="F129" i="7" a="1"/>
  <c r="F129" i="7" s="1"/>
  <c r="H111" i="7" a="1"/>
  <c r="H111" i="7" s="1"/>
  <c r="H120" i="7" a="1"/>
  <c r="H120" i="7" s="1"/>
  <c r="H129" i="7" a="1"/>
  <c r="H129" i="7" s="1"/>
  <c r="H140" i="7" a="1"/>
  <c r="H140" i="7" s="1"/>
  <c r="G102" i="7" a="1"/>
  <c r="G102" i="7" s="1"/>
  <c r="G111" i="7" a="1"/>
  <c r="G111" i="7" s="1"/>
  <c r="G121" i="7" a="1"/>
  <c r="G121" i="7" s="1"/>
  <c r="G131" i="7" a="1"/>
  <c r="G131" i="7" s="1"/>
  <c r="G141" i="7" a="1"/>
  <c r="G141" i="7" s="1"/>
  <c r="F103" i="7" a="1"/>
  <c r="F103" i="7" s="1"/>
  <c r="F120" i="7" a="1"/>
  <c r="F120" i="7" s="1"/>
  <c r="F130" i="7" a="1"/>
  <c r="F130" i="7" s="1"/>
  <c r="F140" i="7" a="1"/>
  <c r="F140" i="7" s="1"/>
  <c r="H104" i="7" a="1"/>
  <c r="H104" i="7" s="1"/>
  <c r="H130" i="7" a="1"/>
  <c r="H130" i="7" s="1"/>
  <c r="H141" i="7" a="1"/>
  <c r="H141" i="7" s="1"/>
  <c r="G122" i="7" a="1"/>
  <c r="G122" i="7" s="1"/>
  <c r="F121" i="7" a="1"/>
  <c r="F121" i="7" s="1"/>
  <c r="H112" i="7" a="1"/>
  <c r="H112" i="7" s="1"/>
  <c r="F132" i="7" a="1"/>
  <c r="F132" i="7" s="1"/>
  <c r="G134" i="7" a="1"/>
  <c r="G134" i="7" s="1"/>
  <c r="G144" i="7" a="1"/>
  <c r="G144" i="7" s="1"/>
  <c r="C156" i="7"/>
  <c r="D156" i="7" s="1"/>
  <c r="J8" i="6" s="1"/>
  <c r="G222" i="7" l="1"/>
  <c r="G209" i="7"/>
  <c r="I156" i="7"/>
  <c r="D163" i="7" s="1"/>
  <c r="D195" i="7"/>
  <c r="D193" i="7"/>
  <c r="D194" i="7"/>
  <c r="E102" i="7"/>
  <c r="E114" i="7"/>
  <c r="E126" i="7"/>
  <c r="E138" i="7"/>
  <c r="E103" i="7"/>
  <c r="E115" i="7"/>
  <c r="E127" i="7"/>
  <c r="E139" i="7"/>
  <c r="E104" i="7"/>
  <c r="E116" i="7"/>
  <c r="E128" i="7"/>
  <c r="E140" i="7"/>
  <c r="E105" i="7"/>
  <c r="E117" i="7"/>
  <c r="E129" i="7"/>
  <c r="E141" i="7"/>
  <c r="E106" i="7"/>
  <c r="E118" i="7"/>
  <c r="E130" i="7"/>
  <c r="E142" i="7"/>
  <c r="E120" i="7"/>
  <c r="E132" i="7"/>
  <c r="E109" i="7"/>
  <c r="E133" i="7"/>
  <c r="E122" i="7"/>
  <c r="E134" i="7"/>
  <c r="E111" i="7"/>
  <c r="E135" i="7"/>
  <c r="E112" i="7"/>
  <c r="E124" i="7"/>
  <c r="E148" i="7"/>
  <c r="E113" i="7"/>
  <c r="E125" i="7"/>
  <c r="E149" i="7"/>
  <c r="E107" i="7"/>
  <c r="E119" i="7"/>
  <c r="E131" i="7"/>
  <c r="E143" i="7"/>
  <c r="E108" i="7"/>
  <c r="E144" i="7"/>
  <c r="E121" i="7"/>
  <c r="E145" i="7"/>
  <c r="E110" i="7"/>
  <c r="E146" i="7"/>
  <c r="E123" i="7"/>
  <c r="E147" i="7"/>
  <c r="E100" i="7"/>
  <c r="E136" i="7"/>
  <c r="E101" i="7"/>
  <c r="E137" i="7"/>
  <c r="G214" i="7" l="1"/>
  <c r="G221" i="7"/>
  <c r="D169" i="7"/>
  <c r="D168" i="7"/>
  <c r="D162" i="7"/>
  <c r="D161" i="7"/>
  <c r="V7" i="6"/>
  <c r="T8" i="6"/>
  <c r="R8" i="6"/>
  <c r="P8" i="6"/>
  <c r="N8" i="6"/>
  <c r="F8" i="6"/>
  <c r="D8" i="6"/>
  <c r="AE35" i="3"/>
  <c r="AE53" i="3"/>
  <c r="AE71" i="3"/>
  <c r="AE89" i="3"/>
  <c r="AE107" i="3"/>
  <c r="AE125" i="3"/>
  <c r="AE143" i="3"/>
  <c r="AE161" i="3"/>
  <c r="AE179" i="3"/>
  <c r="AE197" i="3"/>
  <c r="AE215" i="3"/>
  <c r="AE233" i="3"/>
  <c r="AE251" i="3"/>
  <c r="AE269" i="3"/>
  <c r="AE287" i="3"/>
  <c r="AE305" i="3"/>
  <c r="AE323" i="3"/>
  <c r="AE341" i="3"/>
  <c r="AE359" i="3"/>
  <c r="AE377" i="3"/>
  <c r="AE395" i="3"/>
  <c r="AE413" i="3"/>
  <c r="AE431" i="3"/>
  <c r="AE449" i="3"/>
  <c r="AE467" i="3"/>
  <c r="AE485" i="3"/>
  <c r="AE503" i="3"/>
  <c r="AE521" i="3"/>
  <c r="AE539" i="3"/>
  <c r="AE557" i="3"/>
  <c r="AE575" i="3"/>
  <c r="AE593" i="3"/>
  <c r="AF593" i="3" s="1"/>
  <c r="AE611" i="3"/>
  <c r="AE629" i="3"/>
  <c r="AE647" i="3"/>
  <c r="AE665" i="3"/>
  <c r="AF6" i="6" l="1"/>
  <c r="G210" i="7"/>
  <c r="D175" i="7"/>
  <c r="AD6" i="6" s="1"/>
  <c r="D166" i="7"/>
  <c r="D170" i="7"/>
  <c r="B8" i="6"/>
  <c r="Q221" i="7" a="1"/>
  <c r="K221" i="7" a="1"/>
  <c r="S222" i="7" a="1"/>
  <c r="Y221" i="7" a="1"/>
  <c r="L221" i="7" a="1"/>
  <c r="L222" i="7" a="1"/>
  <c r="J221" i="7" a="1"/>
  <c r="M221" i="7" a="1"/>
  <c r="Y214" i="7" a="1"/>
  <c r="I221" i="7" a="1"/>
  <c r="X221" i="7" a="1"/>
  <c r="O222" i="7" a="1"/>
  <c r="V214" i="7" a="1"/>
  <c r="V222" i="7" a="1"/>
  <c r="S214" i="7" a="1"/>
  <c r="U222" i="7" a="1"/>
  <c r="R221" i="7" a="1"/>
  <c r="U221" i="7" a="1"/>
  <c r="N222" i="7" a="1"/>
  <c r="M214" i="7" a="1"/>
  <c r="N214" i="7" a="1"/>
  <c r="X214" i="7" a="1"/>
  <c r="S221" i="7" a="1"/>
  <c r="X222" i="7" a="1"/>
  <c r="T221" i="7" a="1"/>
  <c r="Q222" i="7" a="1"/>
  <c r="K222" i="7" a="1"/>
  <c r="I214" i="7" a="1"/>
  <c r="R214" i="7" a="1"/>
  <c r="P214" i="7" a="1"/>
  <c r="N221" i="7" a="1"/>
  <c r="R222" i="7" a="1"/>
  <c r="T222" i="7" a="1"/>
  <c r="V221" i="7" a="1"/>
  <c r="J222" i="7" a="1"/>
  <c r="W222" i="7" a="1"/>
  <c r="W221" i="7" a="1"/>
  <c r="P222" i="7" a="1"/>
  <c r="M222" i="7" a="1"/>
  <c r="T214" i="7" a="1"/>
  <c r="I222" i="7" a="1"/>
  <c r="U214" i="7" a="1"/>
  <c r="W214" i="7" a="1"/>
  <c r="Q214" i="7" a="1"/>
  <c r="O221" i="7" a="1"/>
  <c r="Y222" i="7" a="1"/>
  <c r="L214" i="7" a="1"/>
  <c r="J214" i="7" a="1"/>
  <c r="K214" i="7" a="1"/>
  <c r="O214" i="7" a="1"/>
  <c r="P221" i="7" a="1"/>
  <c r="P221" i="7" l="1"/>
  <c r="O214" i="7"/>
  <c r="K214" i="7"/>
  <c r="J214" i="7"/>
  <c r="L214" i="7"/>
  <c r="Y222" i="7"/>
  <c r="O221" i="7"/>
  <c r="Q214" i="7"/>
  <c r="W214" i="7"/>
  <c r="U214" i="7"/>
  <c r="I222" i="7"/>
  <c r="J144" i="7" s="1"/>
  <c r="T214" i="7"/>
  <c r="M222" i="7"/>
  <c r="P222" i="7"/>
  <c r="W221" i="7"/>
  <c r="W222" i="7"/>
  <c r="J222" i="7"/>
  <c r="V221" i="7"/>
  <c r="T222" i="7"/>
  <c r="R222" i="7"/>
  <c r="N221" i="7"/>
  <c r="P214" i="7"/>
  <c r="R214" i="7"/>
  <c r="I214" i="7"/>
  <c r="J131" i="7" s="1"/>
  <c r="K222" i="7"/>
  <c r="Q222" i="7"/>
  <c r="T221" i="7"/>
  <c r="X222" i="7"/>
  <c r="S221" i="7"/>
  <c r="X214" i="7"/>
  <c r="N214" i="7"/>
  <c r="M214" i="7"/>
  <c r="N222" i="7"/>
  <c r="U221" i="7"/>
  <c r="R221" i="7"/>
  <c r="U222" i="7"/>
  <c r="S214" i="7"/>
  <c r="V222" i="7"/>
  <c r="V214" i="7"/>
  <c r="O222" i="7"/>
  <c r="X221" i="7"/>
  <c r="I221" i="7"/>
  <c r="J109" i="7" s="1"/>
  <c r="F251" i="7" s="1"/>
  <c r="Y214" i="7"/>
  <c r="M221" i="7"/>
  <c r="J221" i="7"/>
  <c r="L222" i="7"/>
  <c r="L221" i="7"/>
  <c r="Y221" i="7"/>
  <c r="S222" i="7"/>
  <c r="K221" i="7"/>
  <c r="Q221" i="7"/>
  <c r="J143" i="7"/>
  <c r="J129" i="7"/>
  <c r="J118" i="7"/>
  <c r="BI31" i="6"/>
  <c r="D184" i="7"/>
  <c r="D186" i="7" s="1"/>
  <c r="K144" i="7"/>
  <c r="K131" i="7"/>
  <c r="K136" i="7"/>
  <c r="K111" i="7"/>
  <c r="K120" i="7"/>
  <c r="K109" i="7"/>
  <c r="K118" i="7"/>
  <c r="K143" i="7"/>
  <c r="K129" i="7"/>
  <c r="K119" i="7"/>
  <c r="J119" i="7" l="1"/>
  <c r="J136" i="7"/>
  <c r="J120" i="7"/>
  <c r="J111" i="7"/>
  <c r="F264" i="7" s="1"/>
  <c r="BN32" i="6" s="1"/>
  <c r="BI32" i="6"/>
  <c r="BI26" i="6"/>
  <c r="BI19" i="6"/>
  <c r="BN19" i="6"/>
  <c r="BE19" i="6"/>
  <c r="F262" i="7"/>
  <c r="BN30" i="6" s="1"/>
  <c r="F258" i="7"/>
  <c r="BE26" i="6" s="1"/>
  <c r="F263" i="7"/>
  <c r="F260" i="7"/>
  <c r="BN28" i="6" s="1"/>
  <c r="F259" i="7"/>
  <c r="F261" i="7"/>
  <c r="BN29" i="6" s="1"/>
  <c r="BI27" i="6"/>
  <c r="BI29" i="6"/>
  <c r="BI28" i="6"/>
  <c r="BI30" i="6"/>
  <c r="G227" i="7"/>
  <c r="BQ35" i="3"/>
  <c r="BQ53" i="3"/>
  <c r="BQ71" i="3"/>
  <c r="BQ89" i="3"/>
  <c r="BQ107" i="3"/>
  <c r="BQ125" i="3"/>
  <c r="BQ143" i="3"/>
  <c r="BQ161" i="3"/>
  <c r="BQ179" i="3"/>
  <c r="BQ197" i="3"/>
  <c r="BQ215" i="3"/>
  <c r="BQ233" i="3"/>
  <c r="BQ251" i="3"/>
  <c r="BQ269" i="3"/>
  <c r="BQ287" i="3"/>
  <c r="BQ305" i="3"/>
  <c r="BQ323" i="3"/>
  <c r="BQ341" i="3"/>
  <c r="BQ359" i="3"/>
  <c r="BQ377" i="3"/>
  <c r="BQ395" i="3"/>
  <c r="BQ413" i="3"/>
  <c r="BQ431" i="3"/>
  <c r="BQ449" i="3"/>
  <c r="BQ467" i="3"/>
  <c r="BQ485" i="3"/>
  <c r="BQ503" i="3"/>
  <c r="BQ521" i="3"/>
  <c r="BQ539" i="3"/>
  <c r="BQ557" i="3"/>
  <c r="BQ575" i="3"/>
  <c r="BQ593" i="3"/>
  <c r="BQ611" i="3"/>
  <c r="BQ629" i="3"/>
  <c r="BQ647" i="3"/>
  <c r="BQ665" i="3"/>
  <c r="BE32" i="6" l="1"/>
  <c r="BE30" i="6"/>
  <c r="BN26" i="6"/>
  <c r="BN31" i="6"/>
  <c r="BE31" i="6"/>
  <c r="BN27" i="6"/>
  <c r="BE29" i="6"/>
  <c r="BE27" i="6"/>
  <c r="BE28" i="6"/>
  <c r="D173" i="7"/>
  <c r="AH6" i="6" s="1"/>
  <c r="D172" i="7"/>
  <c r="CB233" i="3"/>
  <c r="CB35" i="3"/>
  <c r="CB53" i="3"/>
  <c r="CB71" i="3"/>
  <c r="CB89" i="3"/>
  <c r="CB107" i="3"/>
  <c r="CB125" i="3"/>
  <c r="CB143" i="3"/>
  <c r="CB161" i="3"/>
  <c r="CB179" i="3"/>
  <c r="CB197" i="3"/>
  <c r="CB215" i="3"/>
  <c r="CB251" i="3"/>
  <c r="CB269" i="3"/>
  <c r="CB287" i="3"/>
  <c r="CB305" i="3"/>
  <c r="CB323" i="3"/>
  <c r="CB341" i="3"/>
  <c r="CB359" i="3"/>
  <c r="CB377" i="3"/>
  <c r="CB395" i="3"/>
  <c r="CB413" i="3"/>
  <c r="CB431" i="3"/>
  <c r="CB467" i="3"/>
  <c r="CB485" i="3"/>
  <c r="CB503" i="3"/>
  <c r="CB521" i="3"/>
  <c r="CB539" i="3"/>
  <c r="CB557" i="3"/>
  <c r="CB575" i="3"/>
  <c r="CB593" i="3"/>
  <c r="CB611" i="3"/>
  <c r="CB629" i="3"/>
  <c r="CB647" i="3"/>
  <c r="CB665" i="3"/>
  <c r="CA35" i="3"/>
  <c r="CA53" i="3"/>
  <c r="CA71" i="3"/>
  <c r="CA89" i="3"/>
  <c r="CA107" i="3"/>
  <c r="CA125" i="3"/>
  <c r="CA143" i="3"/>
  <c r="CA161" i="3"/>
  <c r="CA179" i="3"/>
  <c r="CA197" i="3"/>
  <c r="CA215" i="3"/>
  <c r="CA233" i="3"/>
  <c r="CA251" i="3"/>
  <c r="CA269" i="3"/>
  <c r="CA287" i="3"/>
  <c r="CA305" i="3"/>
  <c r="CA323" i="3"/>
  <c r="CA341" i="3"/>
  <c r="CA359" i="3"/>
  <c r="CA377" i="3"/>
  <c r="CA395" i="3"/>
  <c r="CA413" i="3"/>
  <c r="CA431" i="3"/>
  <c r="CA449" i="3"/>
  <c r="CA467" i="3"/>
  <c r="CA485" i="3"/>
  <c r="CA503" i="3"/>
  <c r="CA521" i="3"/>
  <c r="CA539" i="3"/>
  <c r="CA557" i="3"/>
  <c r="CC557" i="3" s="1"/>
  <c r="CD557" i="3" s="1"/>
  <c r="CA575" i="3"/>
  <c r="CA593" i="3"/>
  <c r="CA611" i="3"/>
  <c r="CA629" i="3"/>
  <c r="CA647" i="3"/>
  <c r="CA665" i="3"/>
  <c r="BU35" i="3"/>
  <c r="BU53" i="3"/>
  <c r="BU71" i="3"/>
  <c r="BU89" i="3"/>
  <c r="BU107" i="3"/>
  <c r="BU125" i="3"/>
  <c r="BU143" i="3"/>
  <c r="BU161" i="3"/>
  <c r="BU179" i="3"/>
  <c r="BU197" i="3"/>
  <c r="BU215" i="3"/>
  <c r="BU233" i="3"/>
  <c r="BU251" i="3"/>
  <c r="BU269" i="3"/>
  <c r="BU287" i="3"/>
  <c r="BU305" i="3"/>
  <c r="BU323" i="3"/>
  <c r="BU341" i="3"/>
  <c r="BU359" i="3"/>
  <c r="BU377" i="3"/>
  <c r="BU395" i="3"/>
  <c r="BU413" i="3"/>
  <c r="BU431" i="3"/>
  <c r="BU449" i="3"/>
  <c r="BU467" i="3"/>
  <c r="BU485" i="3"/>
  <c r="BU503" i="3"/>
  <c r="BU521" i="3"/>
  <c r="BU539" i="3"/>
  <c r="BU557" i="3"/>
  <c r="BU575" i="3"/>
  <c r="BU593" i="3"/>
  <c r="BU611" i="3"/>
  <c r="BU629" i="3"/>
  <c r="BU647" i="3"/>
  <c r="BU665" i="3"/>
  <c r="BT35" i="3"/>
  <c r="BT53" i="3"/>
  <c r="BT71" i="3"/>
  <c r="BT89" i="3"/>
  <c r="BT107" i="3"/>
  <c r="BT125" i="3"/>
  <c r="BT143" i="3"/>
  <c r="BT161" i="3"/>
  <c r="BT179" i="3"/>
  <c r="BT197" i="3"/>
  <c r="BT215" i="3"/>
  <c r="BT233" i="3"/>
  <c r="BT251" i="3"/>
  <c r="BT269" i="3"/>
  <c r="BT287" i="3"/>
  <c r="BT305" i="3"/>
  <c r="BT323" i="3"/>
  <c r="BT341" i="3"/>
  <c r="BT359" i="3"/>
  <c r="BT377" i="3"/>
  <c r="BT395" i="3"/>
  <c r="BT413" i="3"/>
  <c r="BT431" i="3"/>
  <c r="BT449" i="3"/>
  <c r="BT467" i="3"/>
  <c r="BT485" i="3"/>
  <c r="BT503" i="3"/>
  <c r="BT521" i="3"/>
  <c r="BT539" i="3"/>
  <c r="BT557" i="3"/>
  <c r="BT575" i="3"/>
  <c r="BT593" i="3"/>
  <c r="BT611" i="3"/>
  <c r="BT629" i="3"/>
  <c r="BT647" i="3"/>
  <c r="BT665" i="3"/>
  <c r="BW53" i="3"/>
  <c r="BW71" i="3"/>
  <c r="BW89" i="3"/>
  <c r="BW107" i="3"/>
  <c r="BW125" i="3"/>
  <c r="BW143" i="3"/>
  <c r="BW161" i="3"/>
  <c r="BW179" i="3"/>
  <c r="BW197" i="3"/>
  <c r="BW215" i="3"/>
  <c r="BW233" i="3"/>
  <c r="BW251" i="3"/>
  <c r="BW269" i="3"/>
  <c r="BW287" i="3"/>
  <c r="BW305" i="3"/>
  <c r="BW323" i="3"/>
  <c r="BW341" i="3"/>
  <c r="BW359" i="3"/>
  <c r="BW377" i="3"/>
  <c r="BW395" i="3"/>
  <c r="BW413" i="3"/>
  <c r="BW431" i="3"/>
  <c r="BW449" i="3"/>
  <c r="BW467" i="3"/>
  <c r="BW485" i="3"/>
  <c r="BW503" i="3"/>
  <c r="BW521" i="3"/>
  <c r="BW539" i="3"/>
  <c r="BW557" i="3"/>
  <c r="BW575" i="3"/>
  <c r="BW593" i="3"/>
  <c r="BW611" i="3"/>
  <c r="BW629" i="3"/>
  <c r="BW647" i="3"/>
  <c r="BW665" i="3"/>
  <c r="BW35" i="3"/>
  <c r="L665" i="3"/>
  <c r="O665" i="3" s="1"/>
  <c r="W665" i="3"/>
  <c r="AA665" i="3"/>
  <c r="AL665" i="3" s="1"/>
  <c r="AF665" i="3"/>
  <c r="AM665" i="3"/>
  <c r="AN665" i="3"/>
  <c r="AO665" i="3"/>
  <c r="AP665" i="3"/>
  <c r="AQ665" i="3"/>
  <c r="AS665" i="3" s="1"/>
  <c r="AT665" i="3" s="1"/>
  <c r="AW665" i="3"/>
  <c r="AY665" i="3" s="1"/>
  <c r="BD665" i="3"/>
  <c r="BO665" i="3" s="1"/>
  <c r="BF665" i="3"/>
  <c r="BG665" i="3"/>
  <c r="BM665" i="3"/>
  <c r="L449" i="3"/>
  <c r="O449" i="3" s="1"/>
  <c r="W449" i="3"/>
  <c r="AA449" i="3"/>
  <c r="AL449" i="3" s="1"/>
  <c r="AF449" i="3"/>
  <c r="AM449" i="3"/>
  <c r="AN449" i="3"/>
  <c r="AO449" i="3"/>
  <c r="AP449" i="3"/>
  <c r="AQ449" i="3"/>
  <c r="AS449" i="3" s="1"/>
  <c r="AT449" i="3" s="1"/>
  <c r="AW449" i="3"/>
  <c r="AY449" i="3" s="1"/>
  <c r="BD449" i="3"/>
  <c r="BO449" i="3" s="1"/>
  <c r="BF449" i="3"/>
  <c r="BG449" i="3"/>
  <c r="BM449" i="3"/>
  <c r="L233" i="3"/>
  <c r="O233" i="3" s="1"/>
  <c r="W233" i="3"/>
  <c r="AA233" i="3"/>
  <c r="AL233" i="3" s="1"/>
  <c r="AF233" i="3"/>
  <c r="AM233" i="3"/>
  <c r="AN233" i="3"/>
  <c r="AO233" i="3"/>
  <c r="AP233" i="3"/>
  <c r="AQ233" i="3"/>
  <c r="AS233" i="3" s="1"/>
  <c r="AT233" i="3" s="1"/>
  <c r="AW233" i="3"/>
  <c r="AY233" i="3" s="1"/>
  <c r="BD233" i="3"/>
  <c r="BO233" i="3" s="1"/>
  <c r="BF233" i="3"/>
  <c r="BG233" i="3"/>
  <c r="BM233" i="3"/>
  <c r="H7" i="6"/>
  <c r="Y227" i="7" a="1"/>
  <c r="K227" i="7" a="1"/>
  <c r="W227" i="7" a="1"/>
  <c r="I227" i="7" a="1"/>
  <c r="R227" i="7" a="1"/>
  <c r="O227" i="7" a="1"/>
  <c r="V227" i="7" a="1"/>
  <c r="J227" i="7" a="1"/>
  <c r="U227" i="7" a="1"/>
  <c r="S227" i="7" a="1"/>
  <c r="L227" i="7" a="1"/>
  <c r="M227" i="7" a="1"/>
  <c r="N227" i="7" a="1"/>
  <c r="T227" i="7" a="1"/>
  <c r="P227" i="7" a="1"/>
  <c r="Q227" i="7" a="1"/>
  <c r="X227" i="7" a="1"/>
  <c r="X227" i="7" l="1"/>
  <c r="X229" i="7" s="1"/>
  <c r="Q227" i="7"/>
  <c r="Q229" i="7" s="1"/>
  <c r="P227" i="7"/>
  <c r="P229" i="7" s="1"/>
  <c r="T227" i="7"/>
  <c r="T229" i="7" s="1"/>
  <c r="N227" i="7"/>
  <c r="N229" i="7" s="1"/>
  <c r="M227" i="7"/>
  <c r="M229" i="7" s="1"/>
  <c r="L227" i="7"/>
  <c r="L229" i="7" s="1"/>
  <c r="S227" i="7"/>
  <c r="S229" i="7" s="1"/>
  <c r="U227" i="7"/>
  <c r="U229" i="7" s="1"/>
  <c r="J227" i="7"/>
  <c r="J229" i="7" s="1"/>
  <c r="V227" i="7"/>
  <c r="V229" i="7" s="1"/>
  <c r="O227" i="7"/>
  <c r="O229" i="7" s="1"/>
  <c r="R227" i="7"/>
  <c r="R229" i="7" s="1"/>
  <c r="I227" i="7"/>
  <c r="J134" i="7" s="1"/>
  <c r="W227" i="7"/>
  <c r="W229" i="7" s="1"/>
  <c r="K227" i="7"/>
  <c r="K229" i="7" s="1"/>
  <c r="Y227" i="7"/>
  <c r="Y229" i="7" s="1"/>
  <c r="F302" i="7"/>
  <c r="F303" i="7"/>
  <c r="CC503" i="3"/>
  <c r="CD503" i="3" s="1"/>
  <c r="AJ6" i="6"/>
  <c r="AJ8" i="6"/>
  <c r="I209" i="7"/>
  <c r="AH8" i="6"/>
  <c r="CC575" i="3"/>
  <c r="CD575" i="3" s="1"/>
  <c r="CC593" i="3"/>
  <c r="CD593" i="3" s="1"/>
  <c r="CC521" i="3"/>
  <c r="CD521" i="3" s="1"/>
  <c r="CC539" i="3"/>
  <c r="CD539" i="3" s="1"/>
  <c r="CC485" i="3"/>
  <c r="CD485" i="3" s="1"/>
  <c r="CC269" i="3"/>
  <c r="CD269" i="3" s="1"/>
  <c r="CC305" i="3"/>
  <c r="CD305" i="3" s="1"/>
  <c r="CC323" i="3"/>
  <c r="CD323" i="3" s="1"/>
  <c r="CC341" i="3"/>
  <c r="CD341" i="3" s="1"/>
  <c r="CC287" i="3"/>
  <c r="CD287" i="3" s="1"/>
  <c r="CC413" i="3"/>
  <c r="CD413" i="3" s="1"/>
  <c r="CC629" i="3"/>
  <c r="CD629" i="3" s="1"/>
  <c r="L6" i="6"/>
  <c r="L8" i="6" s="1"/>
  <c r="CC449" i="3"/>
  <c r="CD449" i="3" s="1"/>
  <c r="AU665" i="3"/>
  <c r="CC431" i="3"/>
  <c r="CD431" i="3" s="1"/>
  <c r="CC71" i="3"/>
  <c r="CD71" i="3" s="1"/>
  <c r="CC647" i="3"/>
  <c r="CD647" i="3" s="1"/>
  <c r="CC197" i="3"/>
  <c r="CD197" i="3" s="1"/>
  <c r="BY503" i="3"/>
  <c r="BY287" i="3"/>
  <c r="BY71" i="3"/>
  <c r="CC53" i="3"/>
  <c r="CD53" i="3" s="1"/>
  <c r="CC611" i="3"/>
  <c r="CD611" i="3" s="1"/>
  <c r="CC395" i="3"/>
  <c r="CD395" i="3" s="1"/>
  <c r="CC179" i="3"/>
  <c r="CD179" i="3" s="1"/>
  <c r="CC161" i="3"/>
  <c r="CD161" i="3" s="1"/>
  <c r="CC89" i="3"/>
  <c r="CD89" i="3" s="1"/>
  <c r="CC125" i="3"/>
  <c r="CD125" i="3" s="1"/>
  <c r="CC377" i="3"/>
  <c r="CD377" i="3" s="1"/>
  <c r="BY215" i="3"/>
  <c r="CC359" i="3"/>
  <c r="CD359" i="3" s="1"/>
  <c r="CC467" i="3"/>
  <c r="CD467" i="3" s="1"/>
  <c r="CC251" i="3"/>
  <c r="CD251" i="3" s="1"/>
  <c r="CC665" i="3"/>
  <c r="CD665" i="3" s="1"/>
  <c r="CC215" i="3"/>
  <c r="CD215" i="3" s="1"/>
  <c r="BY467" i="3"/>
  <c r="BY35" i="3"/>
  <c r="BY269" i="3"/>
  <c r="CC143" i="3"/>
  <c r="CD143" i="3" s="1"/>
  <c r="CC35" i="3"/>
  <c r="CD35" i="3" s="1"/>
  <c r="CC107" i="3"/>
  <c r="CD107" i="3" s="1"/>
  <c r="BY251" i="3"/>
  <c r="CC233" i="3"/>
  <c r="CD233" i="3" s="1"/>
  <c r="BY629" i="3"/>
  <c r="BY413" i="3"/>
  <c r="BY197" i="3"/>
  <c r="BY431" i="3"/>
  <c r="BY665" i="3"/>
  <c r="BY449" i="3"/>
  <c r="BY233" i="3"/>
  <c r="BY647" i="3"/>
  <c r="BY611" i="3"/>
  <c r="BY395" i="3"/>
  <c r="BY593" i="3"/>
  <c r="BY377" i="3"/>
  <c r="BY161" i="3"/>
  <c r="BY485" i="3"/>
  <c r="BY53" i="3"/>
  <c r="BY179" i="3"/>
  <c r="BY359" i="3"/>
  <c r="BY143" i="3"/>
  <c r="BY125" i="3"/>
  <c r="BY341" i="3"/>
  <c r="BY575" i="3"/>
  <c r="BY539" i="3"/>
  <c r="BY323" i="3"/>
  <c r="BY107" i="3"/>
  <c r="BY521" i="3"/>
  <c r="BY305" i="3"/>
  <c r="BY89" i="3"/>
  <c r="BY557" i="3"/>
  <c r="AU449" i="3"/>
  <c r="BV449" i="3"/>
  <c r="Y665" i="3"/>
  <c r="BV665" i="3"/>
  <c r="AZ665" i="3"/>
  <c r="BA665" i="3" s="1"/>
  <c r="BB665" i="3" s="1"/>
  <c r="Y449" i="3"/>
  <c r="BV233" i="3"/>
  <c r="AZ449" i="3"/>
  <c r="BA449" i="3" s="1"/>
  <c r="BB449" i="3" s="1"/>
  <c r="BP665" i="3"/>
  <c r="BP449" i="3"/>
  <c r="AH665" i="3"/>
  <c r="AJ665" i="3" s="1"/>
  <c r="AK665" i="3" s="1"/>
  <c r="Y233" i="3"/>
  <c r="AZ233" i="3"/>
  <c r="BA233" i="3" s="1"/>
  <c r="BB233" i="3" s="1"/>
  <c r="AU233" i="3"/>
  <c r="BP233" i="3"/>
  <c r="AH449" i="3"/>
  <c r="AJ449" i="3" s="1"/>
  <c r="AK449" i="3" s="1"/>
  <c r="AH233" i="3"/>
  <c r="AJ233" i="3" s="1"/>
  <c r="AK233" i="3" s="1"/>
  <c r="BV593" i="3"/>
  <c r="BV629" i="3"/>
  <c r="BV161" i="3"/>
  <c r="BV125" i="3"/>
  <c r="BV575" i="3"/>
  <c r="BV107" i="3"/>
  <c r="BV143" i="3"/>
  <c r="BV323" i="3"/>
  <c r="BV89" i="3"/>
  <c r="BV557" i="3"/>
  <c r="BV611" i="3"/>
  <c r="BV287" i="3"/>
  <c r="BV269" i="3"/>
  <c r="BV35" i="3"/>
  <c r="BV53" i="3"/>
  <c r="BV485" i="3"/>
  <c r="BV251" i="3"/>
  <c r="BV521" i="3"/>
  <c r="BV467" i="3"/>
  <c r="BV215" i="3"/>
  <c r="BV395" i="3"/>
  <c r="BV503" i="3"/>
  <c r="BV377" i="3"/>
  <c r="BV359" i="3"/>
  <c r="BV341" i="3"/>
  <c r="BV431" i="3"/>
  <c r="BV413" i="3"/>
  <c r="BV197" i="3"/>
  <c r="BV179" i="3"/>
  <c r="BV647" i="3"/>
  <c r="BV539" i="3"/>
  <c r="BV305" i="3"/>
  <c r="BV71" i="3"/>
  <c r="BM35" i="3"/>
  <c r="BM53" i="3"/>
  <c r="BM71" i="3"/>
  <c r="BM89" i="3"/>
  <c r="BM107" i="3"/>
  <c r="BM125" i="3"/>
  <c r="BM143" i="3"/>
  <c r="BM161" i="3"/>
  <c r="BM179" i="3"/>
  <c r="BM197" i="3"/>
  <c r="BM251" i="3"/>
  <c r="BM269" i="3"/>
  <c r="BM287" i="3"/>
  <c r="BM305" i="3"/>
  <c r="BM323" i="3"/>
  <c r="BM341" i="3"/>
  <c r="BM359" i="3"/>
  <c r="BM377" i="3"/>
  <c r="BM395" i="3"/>
  <c r="BM413" i="3"/>
  <c r="BM467" i="3"/>
  <c r="BM485" i="3"/>
  <c r="BM503" i="3"/>
  <c r="BM521" i="3"/>
  <c r="BM539" i="3"/>
  <c r="BM557" i="3"/>
  <c r="BM575" i="3"/>
  <c r="BM593" i="3"/>
  <c r="BM611" i="3"/>
  <c r="BM629" i="3"/>
  <c r="K123" i="7"/>
  <c r="K134" i="7"/>
  <c r="K149" i="7"/>
  <c r="J149" i="7" l="1"/>
  <c r="J123" i="7"/>
  <c r="F252" i="7" s="1"/>
  <c r="F278" i="7" s="1"/>
  <c r="I229" i="7"/>
  <c r="F281" i="7"/>
  <c r="BI21" i="6"/>
  <c r="BI20" i="6"/>
  <c r="F253" i="7"/>
  <c r="J209" i="7"/>
  <c r="I210" i="7"/>
  <c r="J210" i="7" s="1"/>
  <c r="BC665" i="3"/>
  <c r="BS665" i="3" s="1"/>
  <c r="BZ503" i="3"/>
  <c r="BZ287" i="3"/>
  <c r="BZ215" i="3"/>
  <c r="BZ71" i="3"/>
  <c r="BZ197" i="3"/>
  <c r="BZ53" i="3"/>
  <c r="BZ89" i="3"/>
  <c r="BZ467" i="3"/>
  <c r="BZ35" i="3"/>
  <c r="BZ233" i="3"/>
  <c r="BZ449" i="3"/>
  <c r="BZ269" i="3"/>
  <c r="BZ251" i="3"/>
  <c r="BZ575" i="3"/>
  <c r="BZ179" i="3"/>
  <c r="BZ413" i="3"/>
  <c r="BZ431" i="3"/>
  <c r="BZ629" i="3"/>
  <c r="BZ377" i="3"/>
  <c r="BZ611" i="3"/>
  <c r="BZ665" i="3"/>
  <c r="BZ647" i="3"/>
  <c r="BZ125" i="3"/>
  <c r="BZ341" i="3"/>
  <c r="BZ395" i="3"/>
  <c r="BZ305" i="3"/>
  <c r="BZ539" i="3"/>
  <c r="BZ323" i="3"/>
  <c r="BZ521" i="3"/>
  <c r="BZ107" i="3"/>
  <c r="BZ161" i="3"/>
  <c r="BZ593" i="3"/>
  <c r="BZ485" i="3"/>
  <c r="BZ143" i="3"/>
  <c r="BZ359" i="3"/>
  <c r="BZ557" i="3"/>
  <c r="BC449" i="3"/>
  <c r="BS449" i="3" s="1"/>
  <c r="BC233" i="3"/>
  <c r="BS233" i="3" s="1"/>
  <c r="BG35" i="3"/>
  <c r="BG53" i="3"/>
  <c r="BG71" i="3"/>
  <c r="BG89" i="3"/>
  <c r="BG107" i="3"/>
  <c r="BG125" i="3"/>
  <c r="BG143" i="3"/>
  <c r="BG161" i="3"/>
  <c r="BG179" i="3"/>
  <c r="BG197" i="3"/>
  <c r="BG215" i="3"/>
  <c r="BG251" i="3"/>
  <c r="BG269" i="3"/>
  <c r="BG287" i="3"/>
  <c r="BG305" i="3"/>
  <c r="BG323" i="3"/>
  <c r="BG341" i="3"/>
  <c r="BG359" i="3"/>
  <c r="BG377" i="3"/>
  <c r="BG395" i="3"/>
  <c r="BG413" i="3"/>
  <c r="BG431" i="3"/>
  <c r="BG467" i="3"/>
  <c r="BG485" i="3"/>
  <c r="BG503" i="3"/>
  <c r="BG521" i="3"/>
  <c r="BG539" i="3"/>
  <c r="BG557" i="3"/>
  <c r="BG575" i="3"/>
  <c r="BG593" i="3"/>
  <c r="BG611" i="3"/>
  <c r="BG629" i="3"/>
  <c r="BG647" i="3"/>
  <c r="BF35" i="3"/>
  <c r="BF53" i="3"/>
  <c r="BF71" i="3"/>
  <c r="BF89" i="3"/>
  <c r="BF107" i="3"/>
  <c r="BF125" i="3"/>
  <c r="BF143" i="3"/>
  <c r="BF161" i="3"/>
  <c r="BF179" i="3"/>
  <c r="BF197" i="3"/>
  <c r="BF215" i="3"/>
  <c r="BF251" i="3"/>
  <c r="BF269" i="3"/>
  <c r="BF287" i="3"/>
  <c r="BF305" i="3"/>
  <c r="BF323" i="3"/>
  <c r="BF341" i="3"/>
  <c r="BF359" i="3"/>
  <c r="BF377" i="3"/>
  <c r="BF395" i="3"/>
  <c r="BF413" i="3"/>
  <c r="BF431" i="3"/>
  <c r="BF467" i="3"/>
  <c r="BF485" i="3"/>
  <c r="BF503" i="3"/>
  <c r="BF521" i="3"/>
  <c r="BF539" i="3"/>
  <c r="BF557" i="3"/>
  <c r="BF575" i="3"/>
  <c r="BF593" i="3"/>
  <c r="BF611" i="3"/>
  <c r="BF629" i="3"/>
  <c r="BF647" i="3"/>
  <c r="BD35" i="3"/>
  <c r="BO35" i="3" s="1"/>
  <c r="BP35" i="3" s="1"/>
  <c r="BD53" i="3"/>
  <c r="BO53" i="3" s="1"/>
  <c r="BP53" i="3" s="1"/>
  <c r="BD71" i="3"/>
  <c r="BO71" i="3" s="1"/>
  <c r="BP71" i="3" s="1"/>
  <c r="BD89" i="3"/>
  <c r="BO89" i="3" s="1"/>
  <c r="BP89" i="3" s="1"/>
  <c r="BD107" i="3"/>
  <c r="BO107" i="3" s="1"/>
  <c r="BP107" i="3" s="1"/>
  <c r="BD125" i="3"/>
  <c r="BO125" i="3" s="1"/>
  <c r="BP125" i="3" s="1"/>
  <c r="BD143" i="3"/>
  <c r="BO143" i="3" s="1"/>
  <c r="BP143" i="3" s="1"/>
  <c r="BD161" i="3"/>
  <c r="BO161" i="3" s="1"/>
  <c r="BP161" i="3" s="1"/>
  <c r="BD179" i="3"/>
  <c r="BO179" i="3" s="1"/>
  <c r="BP179" i="3" s="1"/>
  <c r="BD197" i="3"/>
  <c r="BO197" i="3" s="1"/>
  <c r="BP197" i="3" s="1"/>
  <c r="BD215" i="3"/>
  <c r="BD251" i="3"/>
  <c r="BO251" i="3" s="1"/>
  <c r="BP251" i="3" s="1"/>
  <c r="BD269" i="3"/>
  <c r="BO269" i="3" s="1"/>
  <c r="BP269" i="3" s="1"/>
  <c r="BD287" i="3"/>
  <c r="BO287" i="3" s="1"/>
  <c r="BP287" i="3" s="1"/>
  <c r="BD305" i="3"/>
  <c r="BO305" i="3" s="1"/>
  <c r="BP305" i="3" s="1"/>
  <c r="BD323" i="3"/>
  <c r="BO323" i="3" s="1"/>
  <c r="BP323" i="3" s="1"/>
  <c r="BD341" i="3"/>
  <c r="BO341" i="3" s="1"/>
  <c r="BP341" i="3" s="1"/>
  <c r="BD359" i="3"/>
  <c r="BO359" i="3" s="1"/>
  <c r="BP359" i="3" s="1"/>
  <c r="BD377" i="3"/>
  <c r="BO377" i="3" s="1"/>
  <c r="BP377" i="3" s="1"/>
  <c r="BD395" i="3"/>
  <c r="BO395" i="3" s="1"/>
  <c r="BP395" i="3" s="1"/>
  <c r="BD413" i="3"/>
  <c r="BO413" i="3" s="1"/>
  <c r="BP413" i="3" s="1"/>
  <c r="BD431" i="3"/>
  <c r="BD467" i="3"/>
  <c r="BO467" i="3" s="1"/>
  <c r="BP467" i="3" s="1"/>
  <c r="BD485" i="3"/>
  <c r="BO485" i="3" s="1"/>
  <c r="BP485" i="3" s="1"/>
  <c r="BD503" i="3"/>
  <c r="BO503" i="3" s="1"/>
  <c r="BP503" i="3" s="1"/>
  <c r="BD521" i="3"/>
  <c r="BO521" i="3" s="1"/>
  <c r="BP521" i="3" s="1"/>
  <c r="BD539" i="3"/>
  <c r="BO539" i="3" s="1"/>
  <c r="BP539" i="3" s="1"/>
  <c r="BD557" i="3"/>
  <c r="BO557" i="3" s="1"/>
  <c r="BP557" i="3" s="1"/>
  <c r="BD575" i="3"/>
  <c r="BO575" i="3" s="1"/>
  <c r="BP575" i="3" s="1"/>
  <c r="BD593" i="3"/>
  <c r="BO593" i="3" s="1"/>
  <c r="BP593" i="3" s="1"/>
  <c r="BD611" i="3"/>
  <c r="BO611" i="3" s="1"/>
  <c r="BP611" i="3" s="1"/>
  <c r="BD629" i="3"/>
  <c r="BO629" i="3" s="1"/>
  <c r="BP629" i="3" s="1"/>
  <c r="BD647" i="3"/>
  <c r="L647" i="3"/>
  <c r="O647" i="3" s="1"/>
  <c r="W647" i="3"/>
  <c r="AA647" i="3"/>
  <c r="AL647" i="3" s="1"/>
  <c r="AF647" i="3"/>
  <c r="AM647" i="3"/>
  <c r="AN647" i="3"/>
  <c r="AO647" i="3"/>
  <c r="AP647" i="3"/>
  <c r="AQ647" i="3"/>
  <c r="AW647" i="3"/>
  <c r="AY647" i="3" s="1"/>
  <c r="L431" i="3"/>
  <c r="O431" i="3" s="1"/>
  <c r="W431" i="3"/>
  <c r="AA431" i="3"/>
  <c r="AL431" i="3" s="1"/>
  <c r="AH431" i="3"/>
  <c r="AM431" i="3"/>
  <c r="AN431" i="3"/>
  <c r="AO431" i="3"/>
  <c r="AP431" i="3"/>
  <c r="AQ431" i="3"/>
  <c r="AW431" i="3"/>
  <c r="AY431" i="3" s="1"/>
  <c r="L215" i="3"/>
  <c r="O215" i="3" s="1"/>
  <c r="W215" i="3"/>
  <c r="AA215" i="3"/>
  <c r="AL215" i="3" s="1"/>
  <c r="AF215" i="3"/>
  <c r="AM215" i="3"/>
  <c r="AN215" i="3"/>
  <c r="AO215" i="3"/>
  <c r="AP215" i="3"/>
  <c r="AQ215" i="3"/>
  <c r="AW215" i="3"/>
  <c r="AY215" i="3" s="1"/>
  <c r="AW35" i="3"/>
  <c r="AY35" i="3" s="1"/>
  <c r="AW53" i="3"/>
  <c r="AY53" i="3" s="1"/>
  <c r="AW71" i="3"/>
  <c r="AY71" i="3" s="1"/>
  <c r="AW89" i="3"/>
  <c r="AY89" i="3" s="1"/>
  <c r="AW107" i="3"/>
  <c r="AY107" i="3" s="1"/>
  <c r="AW125" i="3"/>
  <c r="AY125" i="3" s="1"/>
  <c r="AW143" i="3"/>
  <c r="AY143" i="3" s="1"/>
  <c r="AW161" i="3"/>
  <c r="AY161" i="3" s="1"/>
  <c r="AW179" i="3"/>
  <c r="AY179" i="3" s="1"/>
  <c r="AW197" i="3"/>
  <c r="AY197" i="3" s="1"/>
  <c r="AW251" i="3"/>
  <c r="AY251" i="3" s="1"/>
  <c r="AW269" i="3"/>
  <c r="AY269" i="3" s="1"/>
  <c r="AW287" i="3"/>
  <c r="AY287" i="3" s="1"/>
  <c r="AW305" i="3"/>
  <c r="AY305" i="3" s="1"/>
  <c r="AW323" i="3"/>
  <c r="AY323" i="3" s="1"/>
  <c r="AW341" i="3"/>
  <c r="AY341" i="3" s="1"/>
  <c r="AW359" i="3"/>
  <c r="AY359" i="3" s="1"/>
  <c r="AW377" i="3"/>
  <c r="AY377" i="3" s="1"/>
  <c r="AW395" i="3"/>
  <c r="AY395" i="3" s="1"/>
  <c r="AW413" i="3"/>
  <c r="AY413" i="3" s="1"/>
  <c r="AW467" i="3"/>
  <c r="AY467" i="3" s="1"/>
  <c r="AW485" i="3"/>
  <c r="AY485" i="3" s="1"/>
  <c r="AW503" i="3"/>
  <c r="AY503" i="3" s="1"/>
  <c r="AW521" i="3"/>
  <c r="AY521" i="3" s="1"/>
  <c r="AW539" i="3"/>
  <c r="AY539" i="3" s="1"/>
  <c r="AW557" i="3"/>
  <c r="AY557" i="3" s="1"/>
  <c r="AW575" i="3"/>
  <c r="AY575" i="3" s="1"/>
  <c r="AW593" i="3"/>
  <c r="AY593" i="3" s="1"/>
  <c r="AW611" i="3"/>
  <c r="AY611" i="3" s="1"/>
  <c r="AW629" i="3"/>
  <c r="AY629" i="3" s="1"/>
  <c r="AQ53" i="3"/>
  <c r="AQ71" i="3"/>
  <c r="AQ89" i="3"/>
  <c r="AQ107" i="3"/>
  <c r="AQ125" i="3"/>
  <c r="AQ143" i="3"/>
  <c r="AQ161" i="3"/>
  <c r="AQ179" i="3"/>
  <c r="AQ197" i="3"/>
  <c r="AQ251" i="3"/>
  <c r="AQ269" i="3"/>
  <c r="AQ287" i="3"/>
  <c r="AQ305" i="3"/>
  <c r="AQ323" i="3"/>
  <c r="AQ341" i="3"/>
  <c r="AQ359" i="3"/>
  <c r="AQ377" i="3"/>
  <c r="AQ395" i="3"/>
  <c r="AQ413" i="3"/>
  <c r="AQ467" i="3"/>
  <c r="AQ485" i="3"/>
  <c r="AQ503" i="3"/>
  <c r="AQ521" i="3"/>
  <c r="AQ539" i="3"/>
  <c r="AQ557" i="3"/>
  <c r="AQ575" i="3"/>
  <c r="AQ593" i="3"/>
  <c r="AQ611" i="3"/>
  <c r="AQ629" i="3"/>
  <c r="AQ35" i="3"/>
  <c r="AP53" i="3"/>
  <c r="AP71" i="3"/>
  <c r="AP89" i="3"/>
  <c r="AP107" i="3"/>
  <c r="AP125" i="3"/>
  <c r="AP143" i="3"/>
  <c r="AP161" i="3"/>
  <c r="AP179" i="3"/>
  <c r="AP251" i="3"/>
  <c r="AP269" i="3"/>
  <c r="AP287" i="3"/>
  <c r="AP305" i="3"/>
  <c r="AP323" i="3"/>
  <c r="AP341" i="3"/>
  <c r="AP359" i="3"/>
  <c r="AP377" i="3"/>
  <c r="AP395" i="3"/>
  <c r="AP467" i="3"/>
  <c r="AP485" i="3"/>
  <c r="AP503" i="3"/>
  <c r="AP521" i="3"/>
  <c r="AP539" i="3"/>
  <c r="AP557" i="3"/>
  <c r="AP575" i="3"/>
  <c r="AP593" i="3"/>
  <c r="AP611" i="3"/>
  <c r="AP35" i="3"/>
  <c r="AO53" i="3"/>
  <c r="AO71" i="3"/>
  <c r="AO89" i="3"/>
  <c r="AO107" i="3"/>
  <c r="AO125" i="3"/>
  <c r="AO143" i="3"/>
  <c r="AO161" i="3"/>
  <c r="AO179" i="3"/>
  <c r="AO251" i="3"/>
  <c r="AO269" i="3"/>
  <c r="AO287" i="3"/>
  <c r="AO305" i="3"/>
  <c r="AO323" i="3"/>
  <c r="AO341" i="3"/>
  <c r="AO359" i="3"/>
  <c r="AO377" i="3"/>
  <c r="AO395" i="3"/>
  <c r="AO467" i="3"/>
  <c r="AO485" i="3"/>
  <c r="AO503" i="3"/>
  <c r="AO521" i="3"/>
  <c r="AO539" i="3"/>
  <c r="AO557" i="3"/>
  <c r="AO575" i="3"/>
  <c r="AO593" i="3"/>
  <c r="AO611" i="3"/>
  <c r="AO35" i="3"/>
  <c r="AN53" i="3"/>
  <c r="AN71" i="3"/>
  <c r="AN89" i="3"/>
  <c r="AN107" i="3"/>
  <c r="AN125" i="3"/>
  <c r="AN143" i="3"/>
  <c r="AN161" i="3"/>
  <c r="AN179" i="3"/>
  <c r="AN197" i="3"/>
  <c r="AN251" i="3"/>
  <c r="AN269" i="3"/>
  <c r="AN287" i="3"/>
  <c r="AN305" i="3"/>
  <c r="AN323" i="3"/>
  <c r="AN341" i="3"/>
  <c r="AN359" i="3"/>
  <c r="AN377" i="3"/>
  <c r="AN395" i="3"/>
  <c r="AN413" i="3"/>
  <c r="AN467" i="3"/>
  <c r="AN485" i="3"/>
  <c r="AN503" i="3"/>
  <c r="AN521" i="3"/>
  <c r="AN539" i="3"/>
  <c r="AN557" i="3"/>
  <c r="AN575" i="3"/>
  <c r="AN593" i="3"/>
  <c r="AN611" i="3"/>
  <c r="AN629" i="3"/>
  <c r="AN35" i="3"/>
  <c r="W53" i="3"/>
  <c r="W71" i="3"/>
  <c r="W89" i="3"/>
  <c r="W107" i="3"/>
  <c r="W125" i="3"/>
  <c r="W143" i="3"/>
  <c r="W161" i="3"/>
  <c r="W179" i="3"/>
  <c r="W197" i="3"/>
  <c r="W251" i="3"/>
  <c r="W269" i="3"/>
  <c r="W287" i="3"/>
  <c r="W305" i="3"/>
  <c r="W323" i="3"/>
  <c r="W341" i="3"/>
  <c r="W359" i="3"/>
  <c r="W377" i="3"/>
  <c r="W395" i="3"/>
  <c r="W413" i="3"/>
  <c r="W467" i="3"/>
  <c r="W485" i="3"/>
  <c r="W503" i="3"/>
  <c r="W521" i="3"/>
  <c r="W539" i="3"/>
  <c r="W557" i="3"/>
  <c r="W575" i="3"/>
  <c r="W593" i="3"/>
  <c r="W611" i="3"/>
  <c r="W629" i="3"/>
  <c r="AM53" i="3"/>
  <c r="AM71" i="3"/>
  <c r="AM89" i="3"/>
  <c r="AM107" i="3"/>
  <c r="AM125" i="3"/>
  <c r="AM143" i="3"/>
  <c r="AM161" i="3"/>
  <c r="AM179" i="3"/>
  <c r="AM197" i="3"/>
  <c r="AM251" i="3"/>
  <c r="AM269" i="3"/>
  <c r="AM287" i="3"/>
  <c r="AM305" i="3"/>
  <c r="AM323" i="3"/>
  <c r="AM341" i="3"/>
  <c r="AM359" i="3"/>
  <c r="AM377" i="3"/>
  <c r="AM395" i="3"/>
  <c r="AM413" i="3"/>
  <c r="AM467" i="3"/>
  <c r="AM485" i="3"/>
  <c r="AM503" i="3"/>
  <c r="AM521" i="3"/>
  <c r="AM539" i="3"/>
  <c r="AM557" i="3"/>
  <c r="AM575" i="3"/>
  <c r="AM593" i="3"/>
  <c r="AM611" i="3"/>
  <c r="AM629" i="3"/>
  <c r="AM35" i="3"/>
  <c r="L629" i="3"/>
  <c r="O629" i="3" s="1"/>
  <c r="AA629" i="3"/>
  <c r="AL629" i="3" s="1"/>
  <c r="AH629" i="3"/>
  <c r="L413" i="3"/>
  <c r="O413" i="3" s="1"/>
  <c r="AA413" i="3"/>
  <c r="AL413" i="3" s="1"/>
  <c r="AF413" i="3"/>
  <c r="L197" i="3"/>
  <c r="O197" i="3" s="1"/>
  <c r="AA197" i="3"/>
  <c r="AL197" i="3" s="1"/>
  <c r="AF197" i="3"/>
  <c r="F273" i="7" l="1"/>
  <c r="F290" i="7" s="1"/>
  <c r="BE20" i="6"/>
  <c r="BN20" i="6"/>
  <c r="F286" i="7"/>
  <c r="F301" i="7" s="1"/>
  <c r="F282" i="7"/>
  <c r="F276" i="7"/>
  <c r="F293" i="7" s="1"/>
  <c r="F285" i="7"/>
  <c r="F279" i="7"/>
  <c r="F295" i="7" s="1"/>
  <c r="F280" i="7"/>
  <c r="F275" i="7"/>
  <c r="F292" i="7" s="1"/>
  <c r="BI33" i="6"/>
  <c r="F277" i="7"/>
  <c r="F284" i="7"/>
  <c r="F274" i="7"/>
  <c r="F291" i="7" s="1"/>
  <c r="BN21" i="6"/>
  <c r="BN33" i="6" s="1"/>
  <c r="BE21" i="6"/>
  <c r="F283" i="7"/>
  <c r="BM431" i="3"/>
  <c r="BO431" i="3"/>
  <c r="BM647" i="3"/>
  <c r="BO647" i="3"/>
  <c r="BM215" i="3"/>
  <c r="BO215" i="3"/>
  <c r="AS557" i="3"/>
  <c r="AT557" i="3" s="1"/>
  <c r="AU557" i="3" s="1"/>
  <c r="AS269" i="3"/>
  <c r="AT269" i="3" s="1"/>
  <c r="AU269" i="3" s="1"/>
  <c r="AS485" i="3"/>
  <c r="AT485" i="3" s="1"/>
  <c r="AU485" i="3" s="1"/>
  <c r="AS197" i="3"/>
  <c r="AT197" i="3" s="1"/>
  <c r="AS647" i="3"/>
  <c r="AT647" i="3" s="1"/>
  <c r="AU647" i="3" s="1"/>
  <c r="AS305" i="3"/>
  <c r="AT305" i="3" s="1"/>
  <c r="AU305" i="3" s="1"/>
  <c r="AS467" i="3"/>
  <c r="AT467" i="3" s="1"/>
  <c r="AU467" i="3" s="1"/>
  <c r="AS179" i="3"/>
  <c r="AT179" i="3" s="1"/>
  <c r="AU179" i="3" s="1"/>
  <c r="AS539" i="3"/>
  <c r="AT539" i="3" s="1"/>
  <c r="AU539" i="3" s="1"/>
  <c r="AS251" i="3"/>
  <c r="AT251" i="3" s="1"/>
  <c r="AU251" i="3" s="1"/>
  <c r="AS413" i="3"/>
  <c r="AT413" i="3" s="1"/>
  <c r="AS161" i="3"/>
  <c r="AT161" i="3" s="1"/>
  <c r="AU161" i="3" s="1"/>
  <c r="AS431" i="3"/>
  <c r="AT431" i="3" s="1"/>
  <c r="AU431" i="3" s="1"/>
  <c r="AS503" i="3"/>
  <c r="AT503" i="3" s="1"/>
  <c r="AU503" i="3" s="1"/>
  <c r="AS35" i="3"/>
  <c r="AT35" i="3" s="1"/>
  <c r="AU35" i="3" s="1"/>
  <c r="AS395" i="3"/>
  <c r="AT395" i="3" s="1"/>
  <c r="AU395" i="3" s="1"/>
  <c r="AS143" i="3"/>
  <c r="AT143" i="3" s="1"/>
  <c r="AU143" i="3" s="1"/>
  <c r="AS629" i="3"/>
  <c r="AT629" i="3" s="1"/>
  <c r="AS377" i="3"/>
  <c r="AT377" i="3" s="1"/>
  <c r="AU377" i="3" s="1"/>
  <c r="AS125" i="3"/>
  <c r="AT125" i="3" s="1"/>
  <c r="AU125" i="3" s="1"/>
  <c r="AS215" i="3"/>
  <c r="AT215" i="3" s="1"/>
  <c r="AU215" i="3" s="1"/>
  <c r="AS287" i="3"/>
  <c r="AT287" i="3" s="1"/>
  <c r="AU287" i="3" s="1"/>
  <c r="AS611" i="3"/>
  <c r="AT611" i="3" s="1"/>
  <c r="AU611" i="3" s="1"/>
  <c r="AS359" i="3"/>
  <c r="AT359" i="3" s="1"/>
  <c r="AU359" i="3" s="1"/>
  <c r="AS107" i="3"/>
  <c r="AT107" i="3" s="1"/>
  <c r="AU107" i="3" s="1"/>
  <c r="AS593" i="3"/>
  <c r="AT593" i="3" s="1"/>
  <c r="AU593" i="3" s="1"/>
  <c r="AS341" i="3"/>
  <c r="AT341" i="3" s="1"/>
  <c r="AU341" i="3" s="1"/>
  <c r="AS89" i="3"/>
  <c r="AT89" i="3" s="1"/>
  <c r="AU89" i="3" s="1"/>
  <c r="AS53" i="3"/>
  <c r="AT53" i="3" s="1"/>
  <c r="AU53" i="3" s="1"/>
  <c r="AS521" i="3"/>
  <c r="AT521" i="3" s="1"/>
  <c r="AU521" i="3" s="1"/>
  <c r="AS575" i="3"/>
  <c r="AT575" i="3" s="1"/>
  <c r="AU575" i="3" s="1"/>
  <c r="AS323" i="3"/>
  <c r="AT323" i="3" s="1"/>
  <c r="AU323" i="3" s="1"/>
  <c r="AS71" i="3"/>
  <c r="AT71" i="3" s="1"/>
  <c r="AU71" i="3" s="1"/>
  <c r="AZ647" i="3"/>
  <c r="BA647" i="3" s="1"/>
  <c r="BB647" i="3" s="1"/>
  <c r="AF431" i="3"/>
  <c r="AJ431" i="3" s="1"/>
  <c r="AK431" i="3" s="1"/>
  <c r="AZ431" i="3"/>
  <c r="BA431" i="3" s="1"/>
  <c r="BB431" i="3" s="1"/>
  <c r="AZ215" i="3"/>
  <c r="BA215" i="3" s="1"/>
  <c r="BB215" i="3" s="1"/>
  <c r="AZ395" i="3"/>
  <c r="BA395" i="3" s="1"/>
  <c r="BB395" i="3" s="1"/>
  <c r="AZ323" i="3"/>
  <c r="BA323" i="3" s="1"/>
  <c r="BB323" i="3" s="1"/>
  <c r="AH647" i="3"/>
  <c r="AJ647" i="3" s="1"/>
  <c r="AK647" i="3" s="1"/>
  <c r="AZ485" i="3"/>
  <c r="BA485" i="3" s="1"/>
  <c r="BB485" i="3" s="1"/>
  <c r="AH215" i="3"/>
  <c r="AJ215" i="3" s="1"/>
  <c r="AK215" i="3" s="1"/>
  <c r="Y215" i="3"/>
  <c r="Y647" i="3"/>
  <c r="Y431" i="3"/>
  <c r="AZ143" i="3"/>
  <c r="BA143" i="3" s="1"/>
  <c r="AZ35" i="3"/>
  <c r="BA35" i="3" s="1"/>
  <c r="BB35" i="3" s="1"/>
  <c r="AO413" i="3"/>
  <c r="AP413" i="3" s="1"/>
  <c r="AH197" i="3"/>
  <c r="AJ197" i="3" s="1"/>
  <c r="AK197" i="3" s="1"/>
  <c r="AZ593" i="3"/>
  <c r="BA593" i="3" s="1"/>
  <c r="BB593" i="3" s="1"/>
  <c r="AO197" i="3"/>
  <c r="AP197" i="3" s="1"/>
  <c r="AZ341" i="3"/>
  <c r="BA341" i="3" s="1"/>
  <c r="BB341" i="3" s="1"/>
  <c r="AZ575" i="3"/>
  <c r="BA575" i="3" s="1"/>
  <c r="BB575" i="3" s="1"/>
  <c r="AZ179" i="3"/>
  <c r="BA179" i="3" s="1"/>
  <c r="BB179" i="3" s="1"/>
  <c r="AZ467" i="3"/>
  <c r="BA467" i="3" s="1"/>
  <c r="BB467" i="3" s="1"/>
  <c r="AZ89" i="3"/>
  <c r="BA89" i="3" s="1"/>
  <c r="BB89" i="3" s="1"/>
  <c r="AZ71" i="3"/>
  <c r="BA71" i="3" s="1"/>
  <c r="BB71" i="3" s="1"/>
  <c r="AO629" i="3"/>
  <c r="AP629" i="3" s="1"/>
  <c r="AZ161" i="3"/>
  <c r="BA161" i="3" s="1"/>
  <c r="BB161" i="3" s="1"/>
  <c r="AZ413" i="3"/>
  <c r="BA413" i="3" s="1"/>
  <c r="BB413" i="3" s="1"/>
  <c r="AZ629" i="3"/>
  <c r="BA629" i="3" s="1"/>
  <c r="BB629" i="3" s="1"/>
  <c r="AZ359" i="3"/>
  <c r="BA359" i="3" s="1"/>
  <c r="BB359" i="3" s="1"/>
  <c r="AZ377" i="3"/>
  <c r="BA377" i="3" s="1"/>
  <c r="BB377" i="3" s="1"/>
  <c r="AZ197" i="3"/>
  <c r="BA197" i="3" s="1"/>
  <c r="BB197" i="3" s="1"/>
  <c r="AZ125" i="3"/>
  <c r="BA125" i="3" s="1"/>
  <c r="BB125" i="3" s="1"/>
  <c r="AH413" i="3"/>
  <c r="AJ413" i="3" s="1"/>
  <c r="AK413" i="3" s="1"/>
  <c r="AZ611" i="3"/>
  <c r="BA611" i="3" s="1"/>
  <c r="BB611" i="3" s="1"/>
  <c r="AZ107" i="3"/>
  <c r="BA107" i="3" s="1"/>
  <c r="BB107" i="3" s="1"/>
  <c r="AZ521" i="3"/>
  <c r="BA521" i="3" s="1"/>
  <c r="BB521" i="3" s="1"/>
  <c r="AZ269" i="3"/>
  <c r="BA269" i="3" s="1"/>
  <c r="BB269" i="3" s="1"/>
  <c r="AZ503" i="3"/>
  <c r="BA503" i="3" s="1"/>
  <c r="BB503" i="3" s="1"/>
  <c r="AZ251" i="3"/>
  <c r="BA251" i="3" s="1"/>
  <c r="BB251" i="3" s="1"/>
  <c r="AZ557" i="3"/>
  <c r="BA557" i="3" s="1"/>
  <c r="BB557" i="3" s="1"/>
  <c r="AZ539" i="3"/>
  <c r="BA539" i="3" s="1"/>
  <c r="BB539" i="3" s="1"/>
  <c r="AZ287" i="3"/>
  <c r="BA287" i="3" s="1"/>
  <c r="BB287" i="3" s="1"/>
  <c r="AZ305" i="3"/>
  <c r="BA305" i="3" s="1"/>
  <c r="BB305" i="3" s="1"/>
  <c r="AZ53" i="3"/>
  <c r="BA53" i="3" s="1"/>
  <c r="BB53" i="3" s="1"/>
  <c r="AF629" i="3"/>
  <c r="AJ629" i="3" s="1"/>
  <c r="AK629" i="3" s="1"/>
  <c r="Y629" i="3"/>
  <c r="Y413" i="3"/>
  <c r="Y197" i="3"/>
  <c r="BE33" i="6" l="1"/>
  <c r="H209" i="7" s="1"/>
  <c r="K209" i="7" s="1"/>
  <c r="L209" i="7" s="1"/>
  <c r="AP6" i="6" s="1"/>
  <c r="F296" i="7"/>
  <c r="F297" i="7"/>
  <c r="F300" i="7"/>
  <c r="H210" i="7"/>
  <c r="K210" i="7" s="1"/>
  <c r="L210" i="7" s="1"/>
  <c r="AR8" i="6"/>
  <c r="AT6" i="6" s="1"/>
  <c r="AT7" i="6" s="1"/>
  <c r="AR6" i="6"/>
  <c r="F294" i="7"/>
  <c r="F298" i="7"/>
  <c r="F299" i="7"/>
  <c r="AL6" i="6"/>
  <c r="AU197" i="3"/>
  <c r="BC197" i="3" s="1"/>
  <c r="BS197" i="3" s="1"/>
  <c r="BP647" i="3"/>
  <c r="BP215" i="3"/>
  <c r="AU629" i="3"/>
  <c r="BC629" i="3" s="1"/>
  <c r="BS629" i="3" s="1"/>
  <c r="BP431" i="3"/>
  <c r="AU413" i="3"/>
  <c r="BC413" i="3" s="1"/>
  <c r="BS413" i="3" s="1"/>
  <c r="BB143" i="3"/>
  <c r="BC143" i="3" s="1"/>
  <c r="BC215" i="3"/>
  <c r="BC647" i="3"/>
  <c r="BC485" i="3"/>
  <c r="BC431" i="3"/>
  <c r="BC395" i="3"/>
  <c r="BC323" i="3"/>
  <c r="BC71" i="3"/>
  <c r="BC89" i="3"/>
  <c r="BC611" i="3"/>
  <c r="BC557" i="3"/>
  <c r="BC161" i="3"/>
  <c r="BC35" i="3"/>
  <c r="BC521" i="3"/>
  <c r="BC575" i="3"/>
  <c r="BC341" i="3"/>
  <c r="BC467" i="3"/>
  <c r="BC593" i="3"/>
  <c r="BC269" i="3"/>
  <c r="BC377" i="3"/>
  <c r="BC179" i="3"/>
  <c r="BC359" i="3"/>
  <c r="BC107" i="3"/>
  <c r="BC305" i="3"/>
  <c r="BC125" i="3"/>
  <c r="BC539" i="3"/>
  <c r="BC251" i="3"/>
  <c r="BC503" i="3"/>
  <c r="BC287" i="3"/>
  <c r="BC53" i="3"/>
  <c r="AL8" i="6" l="1"/>
  <c r="AN6" i="6" s="1"/>
  <c r="AN7" i="6" s="1"/>
  <c r="AV6" i="6"/>
  <c r="AV7" i="6" s="1"/>
  <c r="AX6" i="6"/>
  <c r="BS431" i="3"/>
  <c r="BS215" i="3"/>
  <c r="BS647" i="3"/>
  <c r="AA35" i="3"/>
  <c r="AL35" i="3" s="1"/>
  <c r="AA53" i="3"/>
  <c r="AL53" i="3" s="1"/>
  <c r="AA71" i="3"/>
  <c r="AL71" i="3" s="1"/>
  <c r="AA89" i="3"/>
  <c r="AL89" i="3" s="1"/>
  <c r="AA107" i="3"/>
  <c r="AL107" i="3" s="1"/>
  <c r="AA125" i="3"/>
  <c r="AL125" i="3" s="1"/>
  <c r="AA143" i="3"/>
  <c r="AL143" i="3" s="1"/>
  <c r="AA161" i="3"/>
  <c r="AL161" i="3" s="1"/>
  <c r="AA179" i="3"/>
  <c r="AL179" i="3" s="1"/>
  <c r="AA251" i="3"/>
  <c r="AL251" i="3" s="1"/>
  <c r="AA269" i="3"/>
  <c r="AL269" i="3" s="1"/>
  <c r="AA287" i="3"/>
  <c r="AL287" i="3" s="1"/>
  <c r="AA305" i="3"/>
  <c r="AL305" i="3" s="1"/>
  <c r="AA323" i="3"/>
  <c r="AL323" i="3" s="1"/>
  <c r="AA341" i="3"/>
  <c r="AL341" i="3" s="1"/>
  <c r="AA359" i="3"/>
  <c r="AL359" i="3" s="1"/>
  <c r="AA377" i="3"/>
  <c r="AL377" i="3" s="1"/>
  <c r="AA395" i="3"/>
  <c r="AL395" i="3" s="1"/>
  <c r="AA467" i="3"/>
  <c r="AL467" i="3" s="1"/>
  <c r="AA485" i="3"/>
  <c r="AL485" i="3" s="1"/>
  <c r="AA503" i="3"/>
  <c r="AL503" i="3" s="1"/>
  <c r="AA521" i="3"/>
  <c r="AL521" i="3" s="1"/>
  <c r="AA539" i="3"/>
  <c r="AL539" i="3" s="1"/>
  <c r="AA557" i="3"/>
  <c r="AL557" i="3" s="1"/>
  <c r="AA575" i="3"/>
  <c r="AL575" i="3" s="1"/>
  <c r="AA593" i="3"/>
  <c r="AL593" i="3" s="1"/>
  <c r="AA611" i="3"/>
  <c r="AL611" i="3" s="1"/>
  <c r="L53" i="3"/>
  <c r="O53" i="3" s="1"/>
  <c r="L71" i="3"/>
  <c r="O71" i="3" s="1"/>
  <c r="L89" i="3"/>
  <c r="O89" i="3" s="1"/>
  <c r="L107" i="3"/>
  <c r="O107" i="3" s="1"/>
  <c r="L125" i="3"/>
  <c r="O125" i="3" s="1"/>
  <c r="L143" i="3"/>
  <c r="O143" i="3" s="1"/>
  <c r="L161" i="3"/>
  <c r="O161" i="3" s="1"/>
  <c r="L179" i="3"/>
  <c r="O179" i="3" s="1"/>
  <c r="L251" i="3"/>
  <c r="O251" i="3" s="1"/>
  <c r="L269" i="3"/>
  <c r="O269" i="3" s="1"/>
  <c r="L287" i="3"/>
  <c r="O287" i="3" s="1"/>
  <c r="L305" i="3"/>
  <c r="O305" i="3" s="1"/>
  <c r="L323" i="3"/>
  <c r="O323" i="3" s="1"/>
  <c r="L341" i="3"/>
  <c r="O341" i="3" s="1"/>
  <c r="L359" i="3"/>
  <c r="O359" i="3" s="1"/>
  <c r="L377" i="3"/>
  <c r="O377" i="3" s="1"/>
  <c r="L395" i="3"/>
  <c r="O395" i="3" s="1"/>
  <c r="L467" i="3"/>
  <c r="O467" i="3" s="1"/>
  <c r="L485" i="3"/>
  <c r="O485" i="3" s="1"/>
  <c r="L503" i="3"/>
  <c r="O503" i="3" s="1"/>
  <c r="L521" i="3"/>
  <c r="O521" i="3" s="1"/>
  <c r="L539" i="3"/>
  <c r="O539" i="3" s="1"/>
  <c r="L557" i="3"/>
  <c r="O557" i="3" s="1"/>
  <c r="L575" i="3"/>
  <c r="O575" i="3" s="1"/>
  <c r="L593" i="3"/>
  <c r="O593" i="3" s="1"/>
  <c r="L611" i="3"/>
  <c r="O611" i="3" s="1"/>
  <c r="L35" i="3"/>
  <c r="AF503" i="3" l="1"/>
  <c r="AH503" i="3"/>
  <c r="AF179" i="3"/>
  <c r="AH179" i="3"/>
  <c r="AF485" i="3"/>
  <c r="AH485" i="3"/>
  <c r="AF161" i="3"/>
  <c r="AH161" i="3"/>
  <c r="AF467" i="3"/>
  <c r="AH467" i="3"/>
  <c r="AF377" i="3"/>
  <c r="AH377" i="3"/>
  <c r="AF107" i="3"/>
  <c r="AH107" i="3"/>
  <c r="AF143" i="3"/>
  <c r="AH143" i="3"/>
  <c r="AF359" i="3"/>
  <c r="AH359" i="3"/>
  <c r="AF89" i="3"/>
  <c r="AH89" i="3"/>
  <c r="AF521" i="3"/>
  <c r="AH521" i="3"/>
  <c r="AF125" i="3"/>
  <c r="AH125" i="3"/>
  <c r="AJ125" i="3" s="1"/>
  <c r="AK125" i="3" s="1"/>
  <c r="BS125" i="3" s="1"/>
  <c r="AF611" i="3"/>
  <c r="AH611" i="3"/>
  <c r="AF341" i="3"/>
  <c r="AH341" i="3"/>
  <c r="AF71" i="3"/>
  <c r="AH71" i="3"/>
  <c r="AF395" i="3"/>
  <c r="AH395" i="3"/>
  <c r="AH593" i="3"/>
  <c r="AJ593" i="3" s="1"/>
  <c r="AF323" i="3"/>
  <c r="AH323" i="3"/>
  <c r="AJ323" i="3" s="1"/>
  <c r="AK323" i="3" s="1"/>
  <c r="BS323" i="3" s="1"/>
  <c r="AF53" i="3"/>
  <c r="AH53" i="3"/>
  <c r="AF251" i="3"/>
  <c r="AH251" i="3"/>
  <c r="AF575" i="3"/>
  <c r="AH575" i="3"/>
  <c r="AF305" i="3"/>
  <c r="AH305" i="3"/>
  <c r="AF35" i="3"/>
  <c r="AH35" i="3"/>
  <c r="AF557" i="3"/>
  <c r="AH557" i="3"/>
  <c r="AF287" i="3"/>
  <c r="AH287" i="3"/>
  <c r="AF539" i="3"/>
  <c r="AH539" i="3"/>
  <c r="AF269" i="3"/>
  <c r="AH269" i="3"/>
  <c r="AJ557" i="3" l="1"/>
  <c r="AK557" i="3" s="1"/>
  <c r="BS557" i="3" s="1"/>
  <c r="AJ377" i="3"/>
  <c r="AK377" i="3" s="1"/>
  <c r="BS377" i="3" s="1"/>
  <c r="AJ395" i="3"/>
  <c r="AK395" i="3" s="1"/>
  <c r="BS395" i="3" s="1"/>
  <c r="AJ89" i="3"/>
  <c r="AK89" i="3" s="1"/>
  <c r="BS89" i="3" s="1"/>
  <c r="AJ161" i="3"/>
  <c r="AK161" i="3" s="1"/>
  <c r="BS161" i="3" s="1"/>
  <c r="AJ539" i="3"/>
  <c r="AK539" i="3" s="1"/>
  <c r="BS539" i="3" s="1"/>
  <c r="AJ269" i="3"/>
  <c r="AK269" i="3" s="1"/>
  <c r="BS269" i="3" s="1"/>
  <c r="AJ575" i="3"/>
  <c r="AK575" i="3" s="1"/>
  <c r="BS575" i="3" s="1"/>
  <c r="AJ71" i="3"/>
  <c r="AK71" i="3" s="1"/>
  <c r="BS71" i="3" s="1"/>
  <c r="AJ359" i="3"/>
  <c r="AK359" i="3" s="1"/>
  <c r="BS359" i="3" s="1"/>
  <c r="AJ485" i="3"/>
  <c r="AK485" i="3" s="1"/>
  <c r="BS485" i="3" s="1"/>
  <c r="AJ251" i="3"/>
  <c r="AK251" i="3" s="1"/>
  <c r="BS251" i="3" s="1"/>
  <c r="AJ341" i="3"/>
  <c r="AK341" i="3" s="1"/>
  <c r="BS341" i="3" s="1"/>
  <c r="AJ53" i="3"/>
  <c r="AK53" i="3" s="1"/>
  <c r="BS53" i="3" s="1"/>
  <c r="AJ143" i="3"/>
  <c r="AK143" i="3" s="1"/>
  <c r="BS143" i="3" s="1"/>
  <c r="AJ611" i="3"/>
  <c r="AK611" i="3" s="1"/>
  <c r="BS611" i="3" s="1"/>
  <c r="AJ107" i="3"/>
  <c r="AK107" i="3" s="1"/>
  <c r="BS107" i="3" s="1"/>
  <c r="AJ503" i="3"/>
  <c r="AK503" i="3" s="1"/>
  <c r="BS503" i="3" s="1"/>
  <c r="AJ35" i="3"/>
  <c r="AK35" i="3" s="1"/>
  <c r="BS35" i="3" s="1"/>
  <c r="AK593" i="3"/>
  <c r="BS593" i="3" s="1"/>
  <c r="AJ467" i="3"/>
  <c r="AK467" i="3" s="1"/>
  <c r="BS467" i="3" s="1"/>
  <c r="AJ179" i="3"/>
  <c r="AK179" i="3" s="1"/>
  <c r="BS179" i="3" s="1"/>
  <c r="AJ305" i="3"/>
  <c r="AK305" i="3" s="1"/>
  <c r="BS305" i="3" s="1"/>
  <c r="AJ287" i="3"/>
  <c r="AK287" i="3" s="1"/>
  <c r="BS287" i="3" s="1"/>
  <c r="AJ521" i="3"/>
  <c r="AK521" i="3" s="1"/>
  <c r="BS521" i="3" s="1"/>
  <c r="W35" i="3"/>
  <c r="O35" i="3"/>
  <c r="Y161" i="3" l="1"/>
  <c r="Y521" i="3"/>
  <c r="Y179" i="3"/>
  <c r="Y575" i="3"/>
  <c r="Y269" i="3"/>
  <c r="Y539" i="3"/>
  <c r="Y503" i="3"/>
  <c r="Y251" i="3"/>
  <c r="Y593" i="3"/>
  <c r="Y557" i="3"/>
  <c r="Y467" i="3"/>
  <c r="Y143" i="3"/>
  <c r="Y287" i="3"/>
  <c r="Y35" i="3"/>
  <c r="Y305" i="3"/>
  <c r="Y485" i="3"/>
  <c r="Y323" i="3"/>
  <c r="Y611" i="3"/>
  <c r="Y53" i="3"/>
  <c r="Y125" i="3"/>
  <c r="Y107" i="3"/>
  <c r="Y89" i="3"/>
  <c r="Y341" i="3"/>
  <c r="Y71" i="3"/>
  <c r="Y359" i="3"/>
  <c r="Y377" i="3"/>
  <c r="Y395" i="3"/>
  <c r="BM32" i="6"/>
  <c r="BM31" i="6"/>
  <c r="BM30" i="6"/>
  <c r="BM29" i="6"/>
  <c r="BM28" i="6"/>
  <c r="BM27" i="6"/>
  <c r="BM26" i="6"/>
  <c r="BM25" i="6"/>
  <c r="BM24" i="6"/>
  <c r="BM23" i="6"/>
  <c r="BM22" i="6"/>
  <c r="BM21" i="6"/>
  <c r="BM20" i="6"/>
  <c r="BH32" i="6"/>
  <c r="BH31" i="6"/>
  <c r="BH30" i="6"/>
  <c r="BH29" i="6"/>
  <c r="BH28" i="6"/>
  <c r="BH27" i="6"/>
  <c r="BH26" i="6"/>
  <c r="BH25" i="6"/>
  <c r="BH24" i="6"/>
  <c r="BH23" i="6"/>
  <c r="BH22" i="6"/>
  <c r="BH21" i="6"/>
  <c r="BH20" i="6"/>
  <c r="E293" i="7"/>
  <c r="E292" i="7"/>
  <c r="E291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C247" i="7"/>
  <c r="D247" i="7" s="1"/>
  <c r="C246" i="7"/>
  <c r="D246" i="7" s="1"/>
  <c r="C245" i="7"/>
  <c r="D245" i="7" s="1"/>
  <c r="C244" i="7"/>
  <c r="D244" i="7" s="1"/>
  <c r="C243" i="7"/>
  <c r="D243" i="7" s="1"/>
  <c r="C242" i="7"/>
  <c r="D242" i="7" s="1"/>
  <c r="C241" i="7"/>
  <c r="D241" i="7" s="1"/>
  <c r="C240" i="7"/>
  <c r="D240" i="7" s="1"/>
  <c r="C239" i="7"/>
  <c r="D239" i="7" s="1"/>
  <c r="C238" i="7"/>
  <c r="D238" i="7" s="1"/>
  <c r="C237" i="7"/>
  <c r="D237" i="7" s="1"/>
  <c r="C236" i="7"/>
  <c r="D236" i="7" s="1"/>
  <c r="C235" i="7"/>
  <c r="D235" i="7" s="1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F234" i="7" l="1"/>
</calcChain>
</file>

<file path=xl/comments1.xml><?xml version="1.0" encoding="utf-8"?>
<comments xmlns="http://schemas.openxmlformats.org/spreadsheetml/2006/main">
  <authors>
    <author>RAVET Paul</author>
  </authors>
  <commentList>
    <comment ref="BY34" authorId="0" shapeId="0">
      <text>
        <r>
          <rPr>
            <b/>
            <sz val="9"/>
            <color indexed="81"/>
            <rFont val="Tahoma"/>
            <family val="2"/>
          </rPr>
          <t>RAVET Paul:</t>
        </r>
        <r>
          <rPr>
            <sz val="9"/>
            <color indexed="81"/>
            <rFont val="Tahoma"/>
            <family val="2"/>
          </rPr>
          <t xml:space="preserve">
Le nombre de jours d'absence théorique n'étant normalement pas dépendant des pathologies, on fait une répartition au prorata du nombre de jours d'absence calculés.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<sst xmlns="http://schemas.openxmlformats.org/spreadsheetml/2006/main" count="2892" uniqueCount="363">
  <si>
    <t>Intensité_APS</t>
  </si>
  <si>
    <t>Pathologie</t>
  </si>
  <si>
    <t>Risque</t>
  </si>
  <si>
    <t>Cancers</t>
  </si>
  <si>
    <t>Diabète</t>
  </si>
  <si>
    <t>Maladies neurologiques ou dégénératives</t>
  </si>
  <si>
    <t>Maladies cardio-neurovasculaires</t>
  </si>
  <si>
    <t>Troubles musculo-squelettiques</t>
  </si>
  <si>
    <t>Maladies respiratoires</t>
  </si>
  <si>
    <t>Maladies mentales</t>
  </si>
  <si>
    <t>Obésité</t>
  </si>
  <si>
    <t>Coût</t>
  </si>
  <si>
    <t>Infections</t>
  </si>
  <si>
    <t>Total</t>
  </si>
  <si>
    <t>Population_emploi</t>
  </si>
  <si>
    <t>Durée_perte_10%</t>
  </si>
  <si>
    <t>Durée_perte_33,33%</t>
  </si>
  <si>
    <t>%_perte_rémunération_premiers_jours</t>
  </si>
  <si>
    <t>%_perte_rémunération_jours_suivants</t>
  </si>
  <si>
    <t>Prévalence_Travail</t>
  </si>
  <si>
    <t>[Maladies]Coûts_évités_par_salarié</t>
  </si>
  <si>
    <t>[Travail]Coûts_évités_par_salarié</t>
  </si>
  <si>
    <t>Durée_arrêt</t>
  </si>
  <si>
    <t>Somme de [Travail]Coûts_évités_par_salarié</t>
  </si>
  <si>
    <t>Somme de [Maladies]Coûts_évités_par_salarié</t>
  </si>
  <si>
    <t>Gain total</t>
  </si>
  <si>
    <t>Coûts évités liés aux dépenses de santé</t>
  </si>
  <si>
    <t>Coûts évités liés aux arrêts maladie</t>
  </si>
  <si>
    <t>Part équivalente du budget total en santé d'un français restant à sa charge</t>
  </si>
  <si>
    <t>Budget_santé_salarié</t>
  </si>
  <si>
    <t>Part_sur_budget_salarié</t>
  </si>
  <si>
    <t>Somme de Part_sur_budget_salarié</t>
  </si>
  <si>
    <t>Coût_salarié</t>
  </si>
  <si>
    <t>Coût_société</t>
  </si>
  <si>
    <t>Part_coûts_salarié</t>
  </si>
  <si>
    <t>Part_ménages_dépenses_santé</t>
  </si>
  <si>
    <t>Part_société_dépenses_santé</t>
  </si>
  <si>
    <t>[SC][Travail]Coûts_évités_par_salarié</t>
  </si>
  <si>
    <t>[SC][Travail]Coûts_évités</t>
  </si>
  <si>
    <t>Somme de [SC][Travail]Coûts_évités_par_salarié</t>
  </si>
  <si>
    <t>[SC][Maladies]Coûts_évités_par_salarié</t>
  </si>
  <si>
    <t>Somme de [SC][Maladies]Coûts_évités_par_salarié</t>
  </si>
  <si>
    <t>Dépendance</t>
  </si>
  <si>
    <t>[SC]Patients_évités</t>
  </si>
  <si>
    <t>[SC]Patients_en_emploi</t>
  </si>
  <si>
    <t>[SC]Coût_personne_dépendante</t>
  </si>
  <si>
    <t>[SC]Nb_personnes_dépendantes</t>
  </si>
  <si>
    <t>[SC]Coût_total_dépendance</t>
  </si>
  <si>
    <t>[SC]Coût_dépendance_pop_totale</t>
  </si>
  <si>
    <t>Prévalence</t>
  </si>
  <si>
    <t>[SC]Durée_moyenne_dépendance_avt</t>
  </si>
  <si>
    <t>[SC]Durée_moyenne_dépendance_après</t>
  </si>
  <si>
    <t>Espérance_vie</t>
  </si>
  <si>
    <t>[SC]Âge_début_dépendance_après</t>
  </si>
  <si>
    <t>[SC]Hausse_esp_de_vie</t>
  </si>
  <si>
    <t>[SC]Budget_total_retraites</t>
  </si>
  <si>
    <t>[SC]Nombre_de_retraités</t>
  </si>
  <si>
    <t>[SC]Budget_par_retraité</t>
  </si>
  <si>
    <t>Coûts évités liés au recul de l'âge de la dépendance</t>
  </si>
  <si>
    <t>Mort prématurée</t>
  </si>
  <si>
    <t>[SC]Âge_moyen_retraite</t>
  </si>
  <si>
    <t>[SC][Mort_prématurée]Gains</t>
  </si>
  <si>
    <t>Valeurs</t>
  </si>
  <si>
    <t>Population_totale</t>
  </si>
  <si>
    <t>[SC][Mort_prématurée]Coûts</t>
  </si>
  <si>
    <t>[SC][Mort_prématurée]Coûts_retraites</t>
  </si>
  <si>
    <t>[SC][Mort_prématurée]Gain_années_vie_supp</t>
  </si>
  <si>
    <t>[SC][Mort_prématurée]Gain_cotisations_patronales</t>
  </si>
  <si>
    <t>[SC][Mort_prématurée]Gain_conso_64ans_et_plus</t>
  </si>
  <si>
    <t>[SC][Mort_prématurée]Gain_cotisations_sociales</t>
  </si>
  <si>
    <t>[SC][Mort_prématurée]Gain_conso_55-64ans</t>
  </si>
  <si>
    <t>[SC][Mort_prématurée]Années_supp_en_retraite_s/_mort_précoce</t>
  </si>
  <si>
    <t>[SC][Mort_prématurée]Années_supp_en_activité_s/_mort_précoce</t>
  </si>
  <si>
    <t>[SC][Mort_prématurée]Âge_moyen_mort précoce</t>
  </si>
  <si>
    <t>[SC][Mort_prématurée]Morts_prématurées_évitées</t>
  </si>
  <si>
    <t>[SC][Mort_prématurée]Calcul</t>
  </si>
  <si>
    <t>[SC][Dépendance]Coût_retraite_personnes_dépendantes</t>
  </si>
  <si>
    <t>[SC][Dépendance]Coût_retraite_personnes_dépendantes_pop_totale</t>
  </si>
  <si>
    <t>[SC][Dépendance]Coûts</t>
  </si>
  <si>
    <t>[SC][Dépendance]Calcul</t>
  </si>
  <si>
    <t>[SC][Dépendance]Gains</t>
  </si>
  <si>
    <t>Somme de [SC][Dépendance]Calcul</t>
  </si>
  <si>
    <t>Somme de [SC][Mort_prématurée]Calcul</t>
  </si>
  <si>
    <t>2. Intense</t>
  </si>
  <si>
    <t>1. Modéré</t>
  </si>
  <si>
    <t>3. Très intense</t>
  </si>
  <si>
    <t>Intensité_chiffrée</t>
  </si>
  <si>
    <t>[Prod][Absentéisme]Total_jours_absence_avant</t>
  </si>
  <si>
    <t>[Prod][Absentéisme]Total_jours_absence_après</t>
  </si>
  <si>
    <t>[Prod][Absentéisme]Total_jours_absence_évités</t>
  </si>
  <si>
    <t>[Prod][Absentéisme]Taux_initial</t>
  </si>
  <si>
    <t>Coûts évités liés à la baisse du risque de mort prématurée</t>
  </si>
  <si>
    <t>[Prod][Absentéisme]Taux_final</t>
  </si>
  <si>
    <t>[Prod]Jours_ouvrés</t>
  </si>
  <si>
    <t>[Prod][Absentéisme]Jours_théoriques</t>
  </si>
  <si>
    <t>Somme de [Prod][Absentéisme]Taux_final</t>
  </si>
  <si>
    <t>Présentéisme</t>
  </si>
  <si>
    <t>Migraine</t>
  </si>
  <si>
    <t>Prévalence_prod</t>
  </si>
  <si>
    <t>[Prod][Présentéisme]Jours_avant</t>
  </si>
  <si>
    <t>[Prod][Présentéisme]Jours_après</t>
  </si>
  <si>
    <t>[Prod][Présentéisme]Jours_gagnés</t>
  </si>
  <si>
    <t>[Prod][Présentéisme]Gain</t>
  </si>
  <si>
    <t>Somme de [Prod][Présentéisme]Gain</t>
  </si>
  <si>
    <t>Indice_incitation</t>
  </si>
  <si>
    <t>Niveau</t>
  </si>
  <si>
    <t>Niveau_1</t>
  </si>
  <si>
    <t>Niveau_2</t>
  </si>
  <si>
    <t>Niveau_3</t>
  </si>
  <si>
    <t>Niveau_4</t>
  </si>
  <si>
    <t>Part_motifs_motivation</t>
  </si>
  <si>
    <t>Hausse_motivation</t>
  </si>
  <si>
    <t>Part_Motivation</t>
  </si>
  <si>
    <t>Part_Capacité</t>
  </si>
  <si>
    <t>Part_Opportunité</t>
  </si>
  <si>
    <t>Nombre de salariés</t>
  </si>
  <si>
    <t>Nombre de salariés faisant déjà du sport</t>
  </si>
  <si>
    <t>Salariés_convertis</t>
  </si>
  <si>
    <t>Motivation</t>
  </si>
  <si>
    <t>Capacité</t>
  </si>
  <si>
    <t>Opportunité</t>
  </si>
  <si>
    <t>Source graphique</t>
  </si>
  <si>
    <t>Max. de [SC]Hausse_esp_de_vie</t>
  </si>
  <si>
    <t>Hausse de l'espérance de vie</t>
  </si>
  <si>
    <t>[SC][Mort_prématurée]Baisse_risque</t>
  </si>
  <si>
    <t>Somme de [SC][Mort_prématurée]Baisse_risque</t>
  </si>
  <si>
    <t>Baisse du risque de mort prématurée</t>
  </si>
  <si>
    <t>Baisse du taux d'absentéisme</t>
  </si>
  <si>
    <t>[Prod]Sérénité</t>
  </si>
  <si>
    <t>[Prod]Impact_motifs_turnover</t>
  </si>
  <si>
    <t>Max. de [Prod]Impact_motifs_turnover</t>
  </si>
  <si>
    <t>Formule productivité</t>
  </si>
  <si>
    <t>Gain de sérénité grâce à l'APS</t>
  </si>
  <si>
    <t xml:space="preserve">Gain de vitesse de travail physique grâce à l'APS </t>
  </si>
  <si>
    <t>Dénominateur du modèle productivité</t>
  </si>
  <si>
    <t>Variation du taux de présence suite à la mise en place de l'APS</t>
  </si>
  <si>
    <t>Variation productivité</t>
  </si>
  <si>
    <t>Variation productivité intégrant la motivation</t>
  </si>
  <si>
    <t>Max. de [Prod]Sérénité</t>
  </si>
  <si>
    <t>Max. de [Prod][Absentéisme]Taux_initial</t>
  </si>
  <si>
    <t>Hausse de la productivité</t>
  </si>
  <si>
    <t>Coût du temps libéré pour les niveaux 3 et 4</t>
  </si>
  <si>
    <t>Salaire horaire</t>
  </si>
  <si>
    <t>Salaire annuel brut</t>
  </si>
  <si>
    <t>Nombre d'heures libérées par semaine</t>
  </si>
  <si>
    <t>Coût hebdomadaire des heures libérées</t>
  </si>
  <si>
    <t>Nombre de semaines travaillées</t>
  </si>
  <si>
    <t>Coût annuel du temps libéré par salarié</t>
  </si>
  <si>
    <t>Source texte</t>
  </si>
  <si>
    <t>[SC]Prévalence_travail</t>
  </si>
  <si>
    <t>[SC]Prestations</t>
  </si>
  <si>
    <t>[SC]Prestations_par_patient</t>
  </si>
  <si>
    <t>[SC]Montant_max_IJ</t>
  </si>
  <si>
    <t>[SC]Budget_santé_société_civile</t>
  </si>
  <si>
    <t>[SC]Part_sur_budget_société_civile</t>
  </si>
  <si>
    <t>Somme de [SC]Part_sur_budget_société_civile</t>
  </si>
  <si>
    <t>Part équivalente du budget santé à la charge de la société</t>
  </si>
  <si>
    <t>la Motivation</t>
  </si>
  <si>
    <t>la Capacité</t>
  </si>
  <si>
    <t>l'Opportunité</t>
  </si>
  <si>
    <t>désigne l'expression du désir d'un individu de pratiquer une activité ou de changer de comportement.</t>
  </si>
  <si>
    <t>désigne l'aptitude d'un individu à pratiquer une activité ou à changer de comportement, ce qui inclut les capacités physiques, les connaissances et les compétences nécessaires.</t>
  </si>
  <si>
    <t>Phrase 1</t>
  </si>
  <si>
    <t>Phrase 2</t>
  </si>
  <si>
    <t>Phrase 3</t>
  </si>
  <si>
    <t>Phrase 4</t>
  </si>
  <si>
    <t>recouvre les facteurs externes (environnementaux, sociaux) qui permettent ou motivent le comportement.</t>
  </si>
  <si>
    <t>Nom_TCD</t>
  </si>
  <si>
    <t>1/DMC initiale</t>
  </si>
  <si>
    <t>1/DMC finale</t>
  </si>
  <si>
    <t>Taux d'absentéisme initial</t>
  </si>
  <si>
    <t>Taux d'absentéisme final</t>
  </si>
  <si>
    <t>Actions</t>
  </si>
  <si>
    <t>Participation à des événements sportifs</t>
  </si>
  <si>
    <t>Ateliers, conférences, formations</t>
  </si>
  <si>
    <t xml:space="preserve">Diffusion d'informations de santé </t>
  </si>
  <si>
    <t>Affichage d'incitations (nudge) pour les escaliers par ex</t>
  </si>
  <si>
    <t>Flexibilité des horaires permettant d'insérer du sport sur le temps de travail</t>
  </si>
  <si>
    <t>Abri à vélos</t>
  </si>
  <si>
    <t>Douches</t>
  </si>
  <si>
    <t>Offre mobilités actives</t>
  </si>
  <si>
    <t>Participation à des cotisations sportives</t>
  </si>
  <si>
    <t>Négociation des tarifs à proximité</t>
  </si>
  <si>
    <t>Salle de sport intégrée</t>
  </si>
  <si>
    <t>Association sportive d'entreprise</t>
  </si>
  <si>
    <t>Coach</t>
  </si>
  <si>
    <t>Aménagement de créneaux dédiés à l'APS</t>
  </si>
  <si>
    <t>Actions_sélectionnées</t>
  </si>
  <si>
    <t>Matrice</t>
  </si>
  <si>
    <t>Indice_incitation_personnalisé</t>
  </si>
  <si>
    <t>Personnalisé</t>
  </si>
  <si>
    <t>Impact_Motivation</t>
  </si>
  <si>
    <t>Impact_Capacité</t>
  </si>
  <si>
    <t>Impact_Opportunité</t>
  </si>
  <si>
    <t>Oui</t>
  </si>
  <si>
    <t>Baisse du taux de turnover</t>
  </si>
  <si>
    <t>Secteur</t>
  </si>
  <si>
    <t>[Prod][Turnover]DMC_initiale</t>
  </si>
  <si>
    <t>[Prod][Turnover]Ecart_accidents</t>
  </si>
  <si>
    <t>[Prod][Turnover]DMC_finale</t>
  </si>
  <si>
    <t>[Prod]Turnover_Part_emplois</t>
  </si>
  <si>
    <t>[Prod][Turnover]1/DMC_initiale</t>
  </si>
  <si>
    <t>[Prod][Turnover]1/DMC_finale</t>
  </si>
  <si>
    <t>Max. de [Prod][Turnover]1/DMC_initiale</t>
  </si>
  <si>
    <t>Max. de [Prod][Turnover]1/DMC_finale</t>
  </si>
  <si>
    <t>qui désigne l'expression du désir d'un individu de pratiquer une activité ou de changer de comportement.</t>
  </si>
  <si>
    <t>qui désigne l'aptitude d'un individu à pratiquer une activité ou à changer de comportement, ce qui inclut les capacités physiques, les connaissances et les compétences nécessaires.</t>
  </si>
  <si>
    <t>qui recouvre les facteurs externes (environnementaux, sociaux) qui permettent ou motivent le comportement.</t>
  </si>
  <si>
    <t>Chiffre d'affaires</t>
  </si>
  <si>
    <t>EBIT</t>
  </si>
  <si>
    <t>Nombre d'heures de travail par semaine</t>
  </si>
  <si>
    <t>Salaire_net_horaire</t>
  </si>
  <si>
    <t>Masse salariale</t>
  </si>
  <si>
    <t>Rentabilité</t>
  </si>
  <si>
    <t>Coût total du temps libéré</t>
  </si>
  <si>
    <t>CA</t>
  </si>
  <si>
    <t>% pratique</t>
  </si>
  <si>
    <t>Pourcentage de pratique</t>
  </si>
  <si>
    <t>Productivité</t>
  </si>
  <si>
    <t>Gain €</t>
  </si>
  <si>
    <t>Solde €</t>
  </si>
  <si>
    <t>Impact net</t>
  </si>
  <si>
    <t>Montant engagement</t>
  </si>
  <si>
    <t>Salariés convertis</t>
  </si>
  <si>
    <t>Montant des charges salariales en % du salaire brut</t>
  </si>
  <si>
    <t>https://www.habitatpresto.com/pro/conseils/administratif-fiscalite/charges-sociales-taux-cotisations#:~:text=Le%20montant%20des%20charges%20salariales%20s%27%C3%A9l%C3%A8ve%20%C3%A0%2022%20%25%20du,soit%2054%20%25%20du%20salaire%20net.&amp;text=(a)%20Abattement%20limit%C3%A9%20%C3%A0%204,175%20968%20%E2%82%AC%20en%202023.</t>
  </si>
  <si>
    <t>Salaire annuel brut moyen dans le privé</t>
  </si>
  <si>
    <t>Salaire annuel brut moyen</t>
  </si>
  <si>
    <t>Hypothèse</t>
  </si>
  <si>
    <t>Lien</t>
  </si>
  <si>
    <t>https://www.linkedin.com/posts/ericblot_quel-est-le-prix-dune-bonne-conf%C3%A9rence-activity-6931142265973149696-KntP/</t>
  </si>
  <si>
    <t>Le salarié compense la flexibilité</t>
  </si>
  <si>
    <t>https://www.abri-plus.com/stationnement-velos/abris-velos/?gclid=CjwKCAjwp6CkBhB_EiwAlQVyxUGLus3EcEb26oVkTYC6IWT685uMeTQUDeABjUFtG7Vk-KwAF2VtExoCYFEQAvD_BwE</t>
  </si>
  <si>
    <t>https://www.prix-pose.com/douche/</t>
  </si>
  <si>
    <t>https://www.vie-publique.fr/eclairage/274760-qui-finance-le-sport-en-France</t>
  </si>
  <si>
    <t>https://www.legalplace.fr/guides/ouvrir-salle-sport/#:~:text=Budget%20%C3%A0%20pr%C3%A9voir,de%20sport%20entr%C3%A9e%20de%20gamme.</t>
  </si>
  <si>
    <t>https://www.justcorporate.fr/quels-sont-les-tarifs-dun-coach-sportif-en-entreprise/#:~:text=Il%20vous%20faudra%20compter%20entre,ou%20juste%20de%20fa%C3%A7on%20hebdomadaire.</t>
  </si>
  <si>
    <t>fin</t>
  </si>
  <si>
    <t>✔</t>
  </si>
  <si>
    <t>Liste_coches</t>
  </si>
  <si>
    <t>Calcul des coûts</t>
  </si>
  <si>
    <t>=SI(Données_entrée!$E$31=0;0;AH8-Bases_annexes!D106-Données_entrée!E42)</t>
  </si>
  <si>
    <t>Ancienne formule</t>
  </si>
  <si>
    <t>Gain financier net en année n</t>
  </si>
  <si>
    <t>Economie équivalente sur la masse salariale en année n</t>
  </si>
  <si>
    <t>Impact net sur la rentabilité en année n</t>
  </si>
  <si>
    <t>Coût estimé des actions mises en œuvre en année n</t>
  </si>
  <si>
    <t>Coût_n</t>
  </si>
  <si>
    <t>Coût_n+1</t>
  </si>
  <si>
    <t>Inscription à un marathon local : 80€ * Nombre de personnes converties * Part intéressée par le marathon (50%)</t>
  </si>
  <si>
    <t>Nous considérons que ces ateliers sont animés en interne, par un salarié volontaire</t>
  </si>
  <si>
    <t>Coût moyen du forfait mobilité durable : 400€ * Nombre de salariés convertis à l'APS * Part intéressée par l'offre (50%)</t>
  </si>
  <si>
    <t>Tableau des amortissements :</t>
  </si>
  <si>
    <t>https://www.fumelvalleedulot.com/uploads/file/61113f4ae4cb7.pdf</t>
  </si>
  <si>
    <t>Récurrence</t>
  </si>
  <si>
    <t>Non</t>
  </si>
  <si>
    <t>Coût_initial</t>
  </si>
  <si>
    <t>Amortissement</t>
  </si>
  <si>
    <t>Coût_n+2</t>
  </si>
  <si>
    <t>Coût_n+3</t>
  </si>
  <si>
    <t>Coût_n+4</t>
  </si>
  <si>
    <t>Coût_n+5</t>
  </si>
  <si>
    <t>Coût_n+6</t>
  </si>
  <si>
    <t>Coût_n+7</t>
  </si>
  <si>
    <t>Coût_n+8</t>
  </si>
  <si>
    <t>Coût_n+9</t>
  </si>
  <si>
    <t>Coût_n+10</t>
  </si>
  <si>
    <t>Coût_n+11</t>
  </si>
  <si>
    <t>Coût_n+12</t>
  </si>
  <si>
    <t>Coût_n+13</t>
  </si>
  <si>
    <t>Coût_n+14</t>
  </si>
  <si>
    <t>Coût_n+15</t>
  </si>
  <si>
    <t>Coût_n+16</t>
  </si>
  <si>
    <t>Durée_amortissement</t>
  </si>
  <si>
    <t>Coût_n+</t>
  </si>
  <si>
    <t>Amortissement_max_actions_sélectionnées</t>
  </si>
  <si>
    <t>Max</t>
  </si>
  <si>
    <t>Calcul de la masse salariale</t>
  </si>
  <si>
    <t>Nombre_sites_affectés</t>
  </si>
  <si>
    <t>Salaire brut horaire moyen * [(4h de recherches d'informations) * 1 personne mobilisée + (1h d'affichage * 1 personne mobilisée * Nombre de sites)]</t>
  </si>
  <si>
    <t>Salaire brut horaire moyen * [(4h de recherches d'informations) * 1 personne mobilisée +  (1h d'affichage * 1 personne mobilisée * Nombre de sites)] + 300€ de matériaux (stickers posés sur le sol et les murs) * Nombre de sites</t>
  </si>
  <si>
    <t>Nombre de sites concernés * Coût d'un abri vélo collectif (2 500€) / 10 ans d'amortissement</t>
  </si>
  <si>
    <t>Nombre de sites concernés * Coût moyen de pose d'une douche (2 310€) / 15 ans d'amortissement</t>
  </si>
  <si>
    <t>Salaire brut horaire moyen * (2h de recherches + 5h de prise de contact) * 1 personne mobilisée * Nombre de sites concernés</t>
  </si>
  <si>
    <t>Nombre de sites concernés * Coût minimum d'une salle de sport (100k€) / 15 ans d'amortissement</t>
  </si>
  <si>
    <t>Coût d'un abonnement Gymlib * Part payée par l'employeur (50%) * Nombre de salariés concernés * 12 mois</t>
  </si>
  <si>
    <t>Gain financier brut en année n</t>
  </si>
  <si>
    <t>Coût de rédaction des statuts par un professionnel (500€, la première année seulement) + Coût de l'assurance responsabilité civile (100€ / an) + Salaire brut horaire moyen * (2h par mois) * 1 personne mobilisée</t>
  </si>
  <si>
    <t>Coût d'un atelier sport dans l'entreprise : 60-90€ / h * 1 venue par semaine * 2h par séance * Nombre de semaines travaillées * Nombre de sites concernés</t>
  </si>
  <si>
    <t>En place ?</t>
  </si>
  <si>
    <t>Part des salariés bénéficiant déjà de l'action</t>
  </si>
  <si>
    <t>Part_déjà_bénéficiaires</t>
  </si>
  <si>
    <t>Typologie_actions</t>
  </si>
  <si>
    <t>Culture d'entreprise favorisant le sport</t>
  </si>
  <si>
    <t>Mobilités actives</t>
  </si>
  <si>
    <t>Participation au budget sport des salariés</t>
  </si>
  <si>
    <t>Création d'une offre d'activité physique</t>
  </si>
  <si>
    <t>Matrice_complémentarité</t>
  </si>
  <si>
    <t>u</t>
  </si>
  <si>
    <t>n</t>
  </si>
  <si>
    <t>-</t>
  </si>
  <si>
    <t>Points</t>
  </si>
  <si>
    <t>Matrices</t>
  </si>
  <si>
    <t>Part_bénéficiaires</t>
  </si>
  <si>
    <t>Points_intégrant_bénéficiaires</t>
  </si>
  <si>
    <t>Année n</t>
  </si>
  <si>
    <t>Année n+</t>
  </si>
  <si>
    <t>Hypothèses liées aux coûts des actions mises en œuvre</t>
  </si>
  <si>
    <t>Actions ordonnées pour le graphique</t>
  </si>
  <si>
    <t>Typologie_actions_occurence</t>
  </si>
  <si>
    <t>Colonne_correspondante</t>
  </si>
  <si>
    <t>Ligne_correspondante</t>
  </si>
  <si>
    <t>Source_graphique</t>
  </si>
  <si>
    <t>Nombre de sites de production qui seront affectés par l'investissement APS</t>
  </si>
  <si>
    <t>A voir</t>
  </si>
  <si>
    <t>AZ - Agriculture_sylviculture_et_pêche</t>
  </si>
  <si>
    <t>DE - Industries_extractives_énergie_eau_gestion_des_déchets_et_de_pollution</t>
  </si>
  <si>
    <t>C2 - Cokéfaction_et_raffinage_énergie_eau_déchets</t>
  </si>
  <si>
    <t>C1 - Industrie_agroalimentaire</t>
  </si>
  <si>
    <t>C3 - Fabrication_de_biens_d'équipement</t>
  </si>
  <si>
    <t>C4 - Fabrication_de_matériels_de_transport</t>
  </si>
  <si>
    <t>C5 - Fabrication_d'autres_produits_industriels</t>
  </si>
  <si>
    <t>FZ - Construction</t>
  </si>
  <si>
    <t>GZ - Commerce</t>
  </si>
  <si>
    <t>HZ - Transports_et_entreposage</t>
  </si>
  <si>
    <t>IZ - Hébergement_et_restauration</t>
  </si>
  <si>
    <t>JZ - Information_et_communication</t>
  </si>
  <si>
    <t>KZ - Activités_financières_et_d'assurance</t>
  </si>
  <si>
    <t>LZ - Activités_immobilières</t>
  </si>
  <si>
    <t>MN - Services_aux_entreprises</t>
  </si>
  <si>
    <t>OQ - Enseignement_santé_humaine_et_action_sociale</t>
  </si>
  <si>
    <t>RU - Autres_activités_de_services</t>
  </si>
  <si>
    <t>00 - Moyenne</t>
  </si>
  <si>
    <t>Donnée</t>
  </si>
  <si>
    <t>Valeur</t>
  </si>
  <si>
    <t>Unité</t>
  </si>
  <si>
    <t>k€</t>
  </si>
  <si>
    <t>M€</t>
  </si>
  <si>
    <t>salariés</t>
  </si>
  <si>
    <t>h / semaine</t>
  </si>
  <si>
    <t>site(s)</t>
  </si>
  <si>
    <t>Données d'entrée traitées</t>
  </si>
  <si>
    <t>Donnée initiale</t>
  </si>
  <si>
    <t>Donnée finale</t>
  </si>
  <si>
    <t>Gain par salarié converti</t>
  </si>
  <si>
    <t>&lt;- En l'absence de saisie, une valeur de 35h sera appliquée.</t>
  </si>
  <si>
    <t>&lt;- En l'absence de saisie, la valeur retenue correspondra au total du nombre de sites.</t>
  </si>
  <si>
    <t>&lt;- En l'absence de saisie, une valeur moyenne de 39,6 k€ sera appliquée.</t>
  </si>
  <si>
    <t>&lt;- En l'absence de donnée saisie, une valeur sera calculée sur la base du salaire annuel brut moyen en tenant compte d'un taux de charges salariales de 22% et en prenant l'hypothèse que la masse salariale représente au moins 20% des dépenses.</t>
  </si>
  <si>
    <t>&lt;- Ici, il s'agit d'indiquer la part des salariés qui bénéficient déjà de l'action. Par exemple, si votre entreprise dispose d'un abri vélo dans un site regroupant 70% de vos salariés, alors 70% des salariés bénéficient de cette action.</t>
  </si>
  <si>
    <t>&lt;- Si aucune de ces actions n'a été mise en place au sein de votre entreprise, pas de panique ! Vous aurez la possibilité d'observer l'impact potentiel de ces actions dans le tableau de bord.</t>
  </si>
  <si>
    <t>Part de salariés intéressés</t>
  </si>
  <si>
    <t>1h30 libérée par semaine * Nombre de semaines travaillées * Salaire horaire brut moyen * Nombre de salariés convertis à l'APS grâce au plan global * Part utilisant le créneau ainsi libéré (70%)</t>
  </si>
  <si>
    <t>Dépenses de sport évitées</t>
  </si>
  <si>
    <t>Economie pour le salarié ?</t>
  </si>
  <si>
    <t>Source_calcul_économie_dépenses_sport_salarié</t>
  </si>
  <si>
    <t>Economie_par_salarié</t>
  </si>
  <si>
    <t>Gain de 20% sur le tarif des salles de sport, estimé à 40€ en moyenne</t>
  </si>
  <si>
    <t>Economie équivalente au prix d'un abonnement dans une salle de sport</t>
  </si>
  <si>
    <t>NaN</t>
  </si>
  <si>
    <t>Economie par salarié avec le niveau sélectionné</t>
  </si>
  <si>
    <t>Gain total (hors dépenses de sport)</t>
  </si>
  <si>
    <t>Total Niveau_1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</si>
</sst>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-* #,##0_-;\-* #,##0_-;_-* &quot;-&quot;??_-;_-@_-"/>
    <numFmt numFmtId="165" formatCode="#,##0.00\ &quot;€&quot;"/>
    <numFmt numFmtId="166" formatCode="0.0%"/>
    <numFmt numFmtId="167" formatCode="0.0"/>
    <numFmt numFmtId="168" formatCode="\ #,##0.0&quot; &quot;&quot;an(s)&quot;"/>
    <numFmt numFmtId="169" formatCode="#,##0.0\ &quot;€&quot;"/>
    <numFmt numFmtId="170" formatCode="#,##0,&quot; &quot;\k&quot;€&quot;"/>
    <numFmt numFmtId="171" formatCode="#,##0.0,&quot; &quot;\k&quot;€&quot;"/>
    <numFmt numFmtId="172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24"/>
      <color theme="2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2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2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544E4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C001B"/>
        <bgColor indexed="64"/>
      </patternFill>
    </fill>
    <fill>
      <patternFill patternType="solid">
        <fgColor rgb="FF13007C"/>
        <bgColor indexed="64"/>
      </patternFill>
    </fill>
    <fill>
      <patternFill patternType="solid">
        <fgColor rgb="FF4C25C2"/>
        <bgColor indexed="64"/>
      </patternFill>
    </fill>
    <fill>
      <patternFill patternType="solid">
        <fgColor rgb="FFD508F5"/>
        <bgColor indexed="64"/>
      </patternFill>
    </fill>
    <fill>
      <patternFill patternType="solid">
        <fgColor rgb="FF632BD5"/>
        <bgColor indexed="64"/>
      </patternFill>
    </fill>
    <fill>
      <patternFill patternType="solid">
        <fgColor rgb="FFE104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5">
    <xf numFmtId="0" fontId="0" fillId="0" borderId="0" xfId="0"/>
    <xf numFmtId="0" fontId="0" fillId="2" borderId="0" xfId="0" applyFill="1"/>
    <xf numFmtId="43" fontId="0" fillId="0" borderId="0" xfId="1" applyFont="1"/>
    <xf numFmtId="2" fontId="0" fillId="0" borderId="0" xfId="1" applyNumberFormat="1" applyFont="1"/>
    <xf numFmtId="2" fontId="0" fillId="0" borderId="0" xfId="0" applyNumberFormat="1"/>
    <xf numFmtId="0" fontId="0" fillId="0" borderId="0" xfId="0" pivotButton="1"/>
    <xf numFmtId="164" fontId="0" fillId="0" borderId="0" xfId="1" applyNumberFormat="1" applyFont="1"/>
    <xf numFmtId="43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9" fontId="0" fillId="0" borderId="0" xfId="0" applyNumberFormat="1"/>
    <xf numFmtId="10" fontId="0" fillId="0" borderId="0" xfId="0" applyNumberFormat="1"/>
    <xf numFmtId="0" fontId="3" fillId="2" borderId="0" xfId="0" applyFont="1" applyFill="1"/>
    <xf numFmtId="167" fontId="0" fillId="0" borderId="0" xfId="0" applyNumberFormat="1"/>
    <xf numFmtId="0" fontId="13" fillId="0" borderId="0" xfId="0" applyFont="1" applyAlignment="1">
      <alignment horizontal="left" vertical="center" wrapText="1"/>
    </xf>
    <xf numFmtId="0" fontId="0" fillId="0" borderId="0" xfId="0" quotePrefix="1"/>
    <xf numFmtId="0" fontId="4" fillId="0" borderId="1" xfId="0" applyFont="1" applyBorder="1" applyAlignment="1">
      <alignment horizontal="left" vertical="center"/>
    </xf>
    <xf numFmtId="169" fontId="8" fillId="0" borderId="1" xfId="0" applyNumberFormat="1" applyFont="1" applyBorder="1" applyAlignment="1">
      <alignment horizontal="right" vertical="center"/>
    </xf>
    <xf numFmtId="9" fontId="8" fillId="0" borderId="1" xfId="2" applyFont="1" applyBorder="1" applyAlignment="1">
      <alignment horizontal="righ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8" fontId="8" fillId="0" borderId="1" xfId="0" applyNumberFormat="1" applyFont="1" applyBorder="1" applyAlignment="1">
      <alignment horizontal="right" vertical="center"/>
    </xf>
    <xf numFmtId="9" fontId="8" fillId="0" borderId="1" xfId="0" applyNumberFormat="1" applyFont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right" vertical="center"/>
    </xf>
    <xf numFmtId="9" fontId="4" fillId="0" borderId="0" xfId="0" applyNumberFormat="1" applyFont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4" fillId="0" borderId="0" xfId="0" applyFont="1"/>
    <xf numFmtId="170" fontId="0" fillId="0" borderId="0" xfId="0" applyNumberFormat="1"/>
    <xf numFmtId="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70" fontId="8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0" fillId="10" borderId="0" xfId="0" applyFill="1"/>
    <xf numFmtId="1" fontId="0" fillId="10" borderId="0" xfId="0" applyNumberFormat="1" applyFill="1"/>
    <xf numFmtId="9" fontId="0" fillId="10" borderId="0" xfId="2" applyFont="1" applyFill="1"/>
    <xf numFmtId="166" fontId="0" fillId="10" borderId="0" xfId="2" applyNumberFormat="1" applyFont="1" applyFill="1"/>
    <xf numFmtId="0" fontId="14" fillId="10" borderId="0" xfId="0" applyFont="1" applyFill="1"/>
    <xf numFmtId="10" fontId="0" fillId="10" borderId="0" xfId="0" applyNumberFormat="1" applyFill="1"/>
    <xf numFmtId="166" fontId="0" fillId="10" borderId="0" xfId="0" applyNumberFormat="1" applyFill="1"/>
    <xf numFmtId="9" fontId="0" fillId="10" borderId="0" xfId="0" applyNumberFormat="1" applyFill="1"/>
    <xf numFmtId="10" fontId="0" fillId="10" borderId="0" xfId="2" applyNumberFormat="1" applyFont="1" applyFill="1"/>
    <xf numFmtId="0" fontId="0" fillId="10" borderId="0" xfId="0" quotePrefix="1" applyFill="1"/>
    <xf numFmtId="0" fontId="15" fillId="0" borderId="0" xfId="3"/>
    <xf numFmtId="172" fontId="0" fillId="0" borderId="0" xfId="0" applyNumberFormat="1"/>
    <xf numFmtId="171" fontId="0" fillId="10" borderId="0" xfId="0" applyNumberFormat="1" applyFill="1"/>
    <xf numFmtId="0" fontId="0" fillId="0" borderId="0" xfId="0" applyAlignment="1">
      <alignment horizontal="left" vertical="center" wrapText="1"/>
    </xf>
    <xf numFmtId="0" fontId="16" fillId="0" borderId="0" xfId="0" applyFont="1"/>
    <xf numFmtId="0" fontId="13" fillId="0" borderId="0" xfId="0" applyFont="1"/>
    <xf numFmtId="17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9" fontId="0" fillId="0" borderId="0" xfId="0" applyNumberFormat="1"/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5" fillId="10" borderId="0" xfId="3" applyFill="1"/>
    <xf numFmtId="171" fontId="8" fillId="0" borderId="1" xfId="0" applyNumberFormat="1" applyFont="1" applyBorder="1" applyAlignment="1">
      <alignment horizontal="right" vertical="center"/>
    </xf>
    <xf numFmtId="171" fontId="0" fillId="0" borderId="0" xfId="0" applyNumberFormat="1"/>
    <xf numFmtId="1" fontId="0" fillId="0" borderId="0" xfId="0" applyNumberFormat="1"/>
    <xf numFmtId="169" fontId="13" fillId="0" borderId="0" xfId="0" applyNumberFormat="1" applyFont="1"/>
    <xf numFmtId="2" fontId="0" fillId="0" borderId="0" xfId="0" quotePrefix="1" applyNumberFormat="1"/>
    <xf numFmtId="171" fontId="17" fillId="0" borderId="1" xfId="0" applyNumberFormat="1" applyFont="1" applyBorder="1" applyAlignment="1">
      <alignment horizontal="right" vertical="center" wrapText="1"/>
    </xf>
    <xf numFmtId="2" fontId="0" fillId="10" borderId="0" xfId="0" applyNumberFormat="1" applyFill="1"/>
    <xf numFmtId="0" fontId="2" fillId="3" borderId="6" xfId="0" applyFont="1" applyFill="1" applyBorder="1" applyAlignment="1">
      <alignment horizontal="left" vertical="center"/>
    </xf>
    <xf numFmtId="0" fontId="16" fillId="3" borderId="7" xfId="0" applyFont="1" applyFill="1" applyBorder="1"/>
    <xf numFmtId="0" fontId="2" fillId="3" borderId="8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19" fillId="2" borderId="2" xfId="0" applyFont="1" applyFill="1" applyBorder="1"/>
    <xf numFmtId="0" fontId="19" fillId="2" borderId="2" xfId="0" applyFont="1" applyFill="1" applyBorder="1" applyAlignment="1">
      <alignment horizontal="center" vertical="center"/>
    </xf>
    <xf numFmtId="0" fontId="20" fillId="2" borderId="0" xfId="0" applyFont="1" applyFill="1"/>
    <xf numFmtId="0" fontId="21" fillId="2" borderId="0" xfId="0" applyFont="1" applyFill="1"/>
    <xf numFmtId="0" fontId="19" fillId="2" borderId="1" xfId="0" applyFont="1" applyFill="1" applyBorder="1"/>
    <xf numFmtId="0" fontId="19" fillId="2" borderId="0" xfId="0" applyFont="1" applyFill="1" applyAlignment="1">
      <alignment horizontal="center" vertical="center"/>
    </xf>
    <xf numFmtId="0" fontId="19" fillId="2" borderId="4" xfId="0" applyFont="1" applyFill="1" applyBorder="1"/>
    <xf numFmtId="9" fontId="22" fillId="2" borderId="2" xfId="2" applyFont="1" applyFill="1" applyBorder="1" applyAlignment="1">
      <alignment horizontal="center"/>
    </xf>
    <xf numFmtId="167" fontId="19" fillId="2" borderId="2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0" fontId="23" fillId="11" borderId="2" xfId="0" applyFont="1" applyFill="1" applyBorder="1"/>
    <xf numFmtId="0" fontId="23" fillId="11" borderId="2" xfId="0" applyFont="1" applyFill="1" applyBorder="1" applyAlignment="1">
      <alignment horizontal="center"/>
    </xf>
    <xf numFmtId="164" fontId="0" fillId="10" borderId="0" xfId="1" applyNumberFormat="1" applyFont="1" applyFill="1"/>
    <xf numFmtId="164" fontId="0" fillId="10" borderId="0" xfId="0" applyNumberFormat="1" applyFill="1"/>
    <xf numFmtId="164" fontId="0" fillId="10" borderId="0" xfId="1" quotePrefix="1" applyNumberFormat="1" applyFont="1" applyFill="1"/>
    <xf numFmtId="9" fontId="8" fillId="0" borderId="0" xfId="2" applyFont="1" applyFill="1" applyBorder="1" applyAlignment="1">
      <alignment horizontal="right" vertical="center"/>
    </xf>
    <xf numFmtId="169" fontId="8" fillId="0" borderId="1" xfId="0" quotePrefix="1" applyNumberFormat="1" applyFont="1" applyBorder="1" applyAlignment="1">
      <alignment horizontal="right" vertic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102">
    <dxf>
      <numFmt numFmtId="165" formatCode="#,##0.00\ &quot;€&quot;"/>
    </dxf>
    <dxf>
      <numFmt numFmtId="166" formatCode="0.0%"/>
    </dxf>
    <dxf>
      <numFmt numFmtId="14" formatCode="0.00%"/>
    </dxf>
    <dxf>
      <numFmt numFmtId="167" formatCode="0.0"/>
    </dxf>
    <dxf>
      <numFmt numFmtId="13" formatCode="0%"/>
    </dxf>
    <dxf>
      <numFmt numFmtId="14" formatCode="0.00%"/>
    </dxf>
    <dxf>
      <numFmt numFmtId="13" formatCode="0%"/>
    </dxf>
    <dxf>
      <numFmt numFmtId="166" formatCode="0.0%"/>
    </dxf>
    <dxf>
      <numFmt numFmtId="166" formatCode="0.0%"/>
    </dxf>
    <dxf>
      <numFmt numFmtId="14" formatCode="0.00%"/>
    </dxf>
    <dxf>
      <numFmt numFmtId="14" formatCode="0.00%"/>
    </dxf>
    <dxf>
      <numFmt numFmtId="172" formatCode="0.000"/>
    </dxf>
    <dxf>
      <numFmt numFmtId="172" formatCode="0.000"/>
    </dxf>
    <dxf>
      <numFmt numFmtId="172" formatCode="0.000"/>
    </dxf>
    <dxf>
      <numFmt numFmtId="172" formatCode="0.000"/>
    </dxf>
    <dxf>
      <numFmt numFmtId="172" formatCode="0.000"/>
    </dxf>
    <dxf>
      <numFmt numFmtId="172" formatCode="0.000"/>
    </dxf>
    <dxf>
      <numFmt numFmtId="172" formatCode="0.000"/>
    </dxf>
    <dxf>
      <numFmt numFmtId="0" formatCode="General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</dxf>
    <dxf>
      <numFmt numFmtId="2" formatCode="0.00"/>
    </dxf>
    <dxf>
      <font>
        <b/>
        <i val="0"/>
        <color theme="0"/>
      </font>
    </dxf>
    <dxf>
      <font>
        <sz val="18"/>
        <name val="Calibri"/>
        <scheme val="minor"/>
      </font>
      <fill>
        <patternFill patternType="solid">
          <bgColor rgb="FF544E4E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Sport" pivot="0" table="0" count="5">
      <tableStyleElement type="wholeTable" dxfId="101"/>
      <tableStyleElement type="headerRow" dxfId="100"/>
    </tableStyle>
  </tableStyles>
  <colors>
    <mruColors>
      <color rgb="FF592ED2"/>
      <color rgb="FFFC001B"/>
      <color rgb="FF13007C"/>
      <color rgb="FF544E4E"/>
      <color rgb="FFE104F8"/>
      <color rgb="FF41219B"/>
      <color rgb="FF0A0048"/>
      <color rgb="FF652AD5"/>
      <color rgb="FF632BD5"/>
      <color rgb="FFD508F5"/>
    </mruColors>
  </colors>
  <extLst>
    <ext xmlns:x14="http://schemas.microsoft.com/office/spreadsheetml/2009/9/main" uri="{46F421CA-312F-682f-3DD2-61675219B42D}">
      <x14:dxfs count="3">
        <dxf>
          <font>
            <color theme="2"/>
          </font>
        </dxf>
        <dxf>
          <font>
            <color theme="0"/>
          </font>
          <fill>
            <gradientFill type="path">
              <stop position="0">
                <color rgb="FF073983"/>
              </stop>
              <stop position="1">
                <color rgb="FF592ED2"/>
              </stop>
            </gradientFill>
          </fill>
        </dxf>
        <dxf>
          <font>
            <color theme="0" tint="-0.34998626667073579"/>
          </font>
          <fill>
            <patternFill>
              <bgColor rgb="FF343030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Sport">
          <x14:slicerStyleElements>
            <x14:slicerStyleElement type="unselectedItemWithData" dxfId="2"/>
            <x14:slicerStyleElement type="selectedItemWithData" dxfId="1"/>
            <x14:slicerStyleElement type="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13007C"/>
                  </a:gs>
                  <a:gs pos="100000">
                    <a:srgbClr val="4C25C2"/>
                  </a:gs>
                </a:gsLst>
                <a:lin ang="0" scaled="1"/>
              </a:gradFill>
              <a:ln w="9525">
                <a:solidFill>
                  <a:schemeClr val="bg1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0E-4A43-B39C-1FDB16C3E069}"/>
              </c:ext>
            </c:extLst>
          </c:dPt>
          <c:dPt>
            <c:idx val="1"/>
            <c:bubble3D val="0"/>
            <c:spPr>
              <a:noFill/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0E-4A43-B39C-1FDB16C3E0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B0E-4A43-B39C-1FDB16C3E0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E-4A43-B39C-1FDB16C3E069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Base_tbl_de_bord!$H$6:$H$7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0E-4A43-B39C-1FDB16C3E0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652AD5"/>
                  </a:gs>
                  <a:gs pos="100000">
                    <a:srgbClr val="D508F5"/>
                  </a:gs>
                </a:gsLst>
                <a:lin ang="0" scaled="1"/>
              </a:gradFill>
              <a:ln w="9525">
                <a:solidFill>
                  <a:schemeClr val="bg1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0E-4A43-B39C-1FDB16C3E069}"/>
              </c:ext>
            </c:extLst>
          </c:dPt>
          <c:dPt>
            <c:idx val="1"/>
            <c:bubble3D val="0"/>
            <c:spPr>
              <a:noFill/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0E-4A43-B39C-1FDB16C3E0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B0E-4A43-B39C-1FDB16C3E0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E-4A43-B39C-1FDB16C3E069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Base_tbl_de_bord!$V$6:$V$7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0E-4A43-B39C-1FDB16C3E0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42125984251968"/>
          <c:y val="0.11385024788568096"/>
          <c:w val="0.49115748031496065"/>
          <c:h val="0.81859580052493441"/>
        </c:manualLayout>
      </c:layout>
      <c:radarChart>
        <c:radarStyle val="filled"/>
        <c:varyColors val="0"/>
        <c:ser>
          <c:idx val="0"/>
          <c:order val="0"/>
          <c:spPr>
            <a:gradFill flip="none" rotWithShape="1">
              <a:gsLst>
                <a:gs pos="0">
                  <a:schemeClr val="bg1">
                    <a:lumMod val="95000"/>
                  </a:schemeClr>
                </a:gs>
                <a:gs pos="100000">
                  <a:schemeClr val="bg1">
                    <a:lumMod val="65000"/>
                  </a:schemeClr>
                </a:gs>
              </a:gsLst>
              <a:lin ang="5400000" scaled="0"/>
              <a:tileRect/>
            </a:gradFill>
            <a:ln w="12700">
              <a:solidFill>
                <a:schemeClr val="bg1"/>
              </a:solidFill>
            </a:ln>
            <a:effectLst/>
          </c:spPr>
          <c:cat>
            <c:strRef>
              <c:f>Bases_annexes!$C$193:$C$195</c:f>
              <c:strCache>
                <c:ptCount val="3"/>
                <c:pt idx="0">
                  <c:v>Motivation</c:v>
                </c:pt>
                <c:pt idx="1">
                  <c:v>Capacité</c:v>
                </c:pt>
                <c:pt idx="2">
                  <c:v>Opportunité</c:v>
                </c:pt>
              </c:strCache>
            </c:strRef>
          </c:cat>
          <c:val>
            <c:numRef>
              <c:f>Bases_annexes!$D$193:$D$195</c:f>
              <c:numCache>
                <c:formatCode>0%</c:formatCode>
                <c:ptCount val="3"/>
                <c:pt idx="0">
                  <c:v>0.42857142857142855</c:v>
                </c:pt>
                <c:pt idx="1">
                  <c:v>0.42857142857142855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B-4848-9455-D86441F6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594904"/>
        <c:axId val="1031234024"/>
      </c:radarChart>
      <c:catAx>
        <c:axId val="718594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1234024"/>
        <c:crosses val="autoZero"/>
        <c:auto val="1"/>
        <c:lblAlgn val="ctr"/>
        <c:lblOffset val="100"/>
        <c:noMultiLvlLbl val="0"/>
      </c:catAx>
      <c:valAx>
        <c:axId val="10312340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2"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718594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Base_tbl_de_bord!$AV$5</c:f>
              <c:strCache>
                <c:ptCount val="1"/>
                <c:pt idx="0">
                  <c:v>Gain total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0">
                    <a:srgbClr val="E104F8"/>
                  </a:gs>
                  <a:gs pos="100000">
                    <a:srgbClr val="FC001B"/>
                  </a:gs>
                </a:gsLst>
                <a:lin ang="0" scaled="1"/>
              </a:gradFill>
              <a:ln w="9525">
                <a:solidFill>
                  <a:schemeClr val="bg1"/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D1-499F-A07C-2FBCCEFE3D73}"/>
              </c:ext>
            </c:extLst>
          </c:dPt>
          <c:dPt>
            <c:idx val="1"/>
            <c:bubble3D val="0"/>
            <c:spPr>
              <a:noFill/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D1-499F-A07C-2FBCCEFE3D7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5D1-499F-A07C-2FBCCEFE3D7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1-499F-A07C-2FBCCEFE3D73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Base_tbl_de_bord!$AV$6:$AV$7</c:f>
              <c:numCache>
                <c:formatCode>0.0%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1-499F-A07C-2FBCCEFE3D7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sunburst" uniqueId="{438111CE-5817-4220-9E67-1119053A1B0F}">
          <cx:tx>
            <cx:txData>
              <cx:f>_xlchart.v1.1</cx:f>
              <cx:v>Coût_n</cx:v>
            </cx:txData>
          </cx:tx>
          <cx:dataLabels>
            <cx:numFmt formatCode="# ##0 €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400"/>
                </a:pPr>
                <a:endParaRPr lang="fr-FR" sz="14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, </cx:separator>
          </cx:dataLabels>
          <cx:dataId val="0"/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600"/>
          </a:pPr>
          <a:endParaRPr lang="fr-FR" sz="1600" b="0" i="0" u="none" strike="noStrike" baseline="0">
            <a:solidFill>
              <a:sysClr val="window" lastClr="FFFFFF">
                <a:lumMod val="95000"/>
              </a:sysClr>
            </a:solidFill>
            <a:latin typeface="Calibri" panose="020F0502020204030204"/>
          </a:endParaRPr>
        </a:p>
      </cx:txPr>
    </cx:legend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87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9.emf"/><Relationship Id="rId18" Type="http://schemas.openxmlformats.org/officeDocument/2006/relationships/image" Target="../media/image14.emf"/><Relationship Id="rId26" Type="http://schemas.openxmlformats.org/officeDocument/2006/relationships/chart" Target="../charts/chart3.xml"/><Relationship Id="rId3" Type="http://schemas.openxmlformats.org/officeDocument/2006/relationships/image" Target="../media/image4.png"/><Relationship Id="rId21" Type="http://schemas.openxmlformats.org/officeDocument/2006/relationships/image" Target="../media/image17.emf"/><Relationship Id="rId34" Type="http://schemas.openxmlformats.org/officeDocument/2006/relationships/hyperlink" Target="#Co&#251;ts!A1"/><Relationship Id="rId7" Type="http://schemas.openxmlformats.org/officeDocument/2006/relationships/image" Target="../media/image1.png"/><Relationship Id="rId12" Type="http://schemas.openxmlformats.org/officeDocument/2006/relationships/image" Target="../media/image8.emf"/><Relationship Id="rId17" Type="http://schemas.openxmlformats.org/officeDocument/2006/relationships/image" Target="../media/image13.emf"/><Relationship Id="rId25" Type="http://schemas.openxmlformats.org/officeDocument/2006/relationships/image" Target="../media/image20.emf"/><Relationship Id="rId33" Type="http://schemas.openxmlformats.org/officeDocument/2006/relationships/chart" Target="../charts/chart4.xml"/><Relationship Id="rId2" Type="http://schemas.openxmlformats.org/officeDocument/2006/relationships/image" Target="../media/image5.svg"/><Relationship Id="rId16" Type="http://schemas.openxmlformats.org/officeDocument/2006/relationships/image" Target="../media/image12.emf"/><Relationship Id="rId20" Type="http://schemas.openxmlformats.org/officeDocument/2006/relationships/image" Target="../media/image16.emf"/><Relationship Id="rId29" Type="http://schemas.openxmlformats.org/officeDocument/2006/relationships/image" Target="../media/image21.emf"/><Relationship Id="rId1" Type="http://schemas.openxmlformats.org/officeDocument/2006/relationships/image" Target="../media/image3.png"/><Relationship Id="rId6" Type="http://schemas.openxmlformats.org/officeDocument/2006/relationships/image" Target="../media/image9.svg"/><Relationship Id="rId11" Type="http://schemas.openxmlformats.org/officeDocument/2006/relationships/image" Target="../media/image7.emf"/><Relationship Id="rId24" Type="http://schemas.openxmlformats.org/officeDocument/2006/relationships/image" Target="../media/image19.emf"/><Relationship Id="rId32" Type="http://schemas.openxmlformats.org/officeDocument/2006/relationships/image" Target="../media/image24.emf"/><Relationship Id="rId5" Type="http://schemas.openxmlformats.org/officeDocument/2006/relationships/image" Target="../media/image5.png"/><Relationship Id="rId15" Type="http://schemas.openxmlformats.org/officeDocument/2006/relationships/image" Target="../media/image11.emf"/><Relationship Id="rId23" Type="http://schemas.openxmlformats.org/officeDocument/2006/relationships/image" Target="../media/image18.emf"/><Relationship Id="rId28" Type="http://schemas.openxmlformats.org/officeDocument/2006/relationships/image" Target="../media/image3.svg"/><Relationship Id="rId10" Type="http://schemas.openxmlformats.org/officeDocument/2006/relationships/chart" Target="../charts/chart1.xml"/><Relationship Id="rId19" Type="http://schemas.openxmlformats.org/officeDocument/2006/relationships/image" Target="../media/image15.emf"/><Relationship Id="rId31" Type="http://schemas.openxmlformats.org/officeDocument/2006/relationships/image" Target="../media/image23.emf"/><Relationship Id="rId4" Type="http://schemas.openxmlformats.org/officeDocument/2006/relationships/image" Target="../media/image7.svg"/><Relationship Id="rId9" Type="http://schemas.openxmlformats.org/officeDocument/2006/relationships/image" Target="../media/image11.svg"/><Relationship Id="rId14" Type="http://schemas.openxmlformats.org/officeDocument/2006/relationships/image" Target="../media/image10.emf"/><Relationship Id="rId22" Type="http://schemas.openxmlformats.org/officeDocument/2006/relationships/chart" Target="../charts/chart2.xml"/><Relationship Id="rId27" Type="http://schemas.openxmlformats.org/officeDocument/2006/relationships/image" Target="../media/image2.png"/><Relationship Id="rId30" Type="http://schemas.openxmlformats.org/officeDocument/2006/relationships/image" Target="../media/image22.emf"/><Relationship Id="rId35" Type="http://schemas.openxmlformats.org/officeDocument/2006/relationships/image" Target="../media/image2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5.emf"/><Relationship Id="rId1" Type="http://schemas.microsoft.com/office/2014/relationships/chartEx" Target="../charts/chartEx1.xml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.emf"/><Relationship Id="rId13" Type="http://schemas.openxmlformats.org/officeDocument/2006/relationships/image" Target="../media/image38.emf"/><Relationship Id="rId18" Type="http://schemas.openxmlformats.org/officeDocument/2006/relationships/image" Target="../media/image43.emf"/><Relationship Id="rId3" Type="http://schemas.openxmlformats.org/officeDocument/2006/relationships/image" Target="../media/image28.emf"/><Relationship Id="rId7" Type="http://schemas.openxmlformats.org/officeDocument/2006/relationships/image" Target="../media/image32.emf"/><Relationship Id="rId12" Type="http://schemas.openxmlformats.org/officeDocument/2006/relationships/image" Target="../media/image37.emf"/><Relationship Id="rId17" Type="http://schemas.openxmlformats.org/officeDocument/2006/relationships/image" Target="../media/image42.emf"/><Relationship Id="rId2" Type="http://schemas.openxmlformats.org/officeDocument/2006/relationships/image" Target="../media/image27.emf"/><Relationship Id="rId16" Type="http://schemas.openxmlformats.org/officeDocument/2006/relationships/image" Target="../media/image41.emf"/><Relationship Id="rId1" Type="http://schemas.openxmlformats.org/officeDocument/2006/relationships/image" Target="../media/image26.emf"/><Relationship Id="rId6" Type="http://schemas.openxmlformats.org/officeDocument/2006/relationships/image" Target="../media/image31.emf"/><Relationship Id="rId11" Type="http://schemas.openxmlformats.org/officeDocument/2006/relationships/image" Target="../media/image36.emf"/><Relationship Id="rId5" Type="http://schemas.openxmlformats.org/officeDocument/2006/relationships/image" Target="../media/image30.emf"/><Relationship Id="rId15" Type="http://schemas.openxmlformats.org/officeDocument/2006/relationships/image" Target="../media/image40.emf"/><Relationship Id="rId10" Type="http://schemas.openxmlformats.org/officeDocument/2006/relationships/image" Target="../media/image35.emf"/><Relationship Id="rId19" Type="http://schemas.openxmlformats.org/officeDocument/2006/relationships/image" Target="../media/image44.emf"/><Relationship Id="rId4" Type="http://schemas.openxmlformats.org/officeDocument/2006/relationships/image" Target="../media/image29.emf"/><Relationship Id="rId9" Type="http://schemas.openxmlformats.org/officeDocument/2006/relationships/image" Target="../media/image34.emf"/><Relationship Id="rId14" Type="http://schemas.openxmlformats.org/officeDocument/2006/relationships/image" Target="../media/image3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757674</xdr:colOff>
      <xdr:row>4</xdr:row>
      <xdr:rowOff>110531</xdr:rowOff>
    </xdr:from>
    <xdr:to>
      <xdr:col>6</xdr:col>
      <xdr:colOff>25628</xdr:colOff>
      <xdr:row>21</xdr:row>
      <xdr:rowOff>102054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08B701BE-04F5-4F80-8058-D14ACD927BD2}"/>
            </a:ext>
          </a:extLst>
        </xdr:cNvPr>
        <xdr:cNvSpPr/>
      </xdr:nvSpPr>
      <xdr:spPr>
        <a:xfrm>
          <a:off x="2288478" y="858924"/>
          <a:ext cx="13555454" cy="3274246"/>
        </a:xfrm>
        <a:prstGeom prst="roundRect">
          <a:avLst>
            <a:gd name="adj" fmla="val 1066"/>
          </a:avLst>
        </a:prstGeom>
        <a:solidFill>
          <a:srgbClr val="34303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/>
            <a:t>Note</a:t>
          </a:r>
          <a:r>
            <a:rPr lang="fr-FR" sz="2000" b="1" baseline="0"/>
            <a:t> introductive :</a:t>
          </a:r>
          <a:endParaRPr lang="fr-FR" sz="2000" b="1"/>
        </a:p>
        <a:p>
          <a:pPr algn="l"/>
          <a:r>
            <a:rPr lang="fr-FR" sz="1600"/>
            <a:t>Bienvenue sur la</a:t>
          </a:r>
          <a:r>
            <a:rPr lang="fr-FR" sz="1600" baseline="0"/>
            <a:t> calculatrice "Sport en entreprise" du Medef, développée par Goodwill-Management.</a:t>
          </a:r>
        </a:p>
        <a:p>
          <a:pPr algn="l"/>
          <a:r>
            <a:rPr lang="fr-FR" sz="1600" baseline="0"/>
            <a:t>Cet outil a pour but d'aider les décideurs à saisir la portée des impacts d'un investissement dans la pratique sportive en milieu professionnel.</a:t>
          </a:r>
        </a:p>
        <a:p>
          <a:pPr algn="l"/>
          <a:r>
            <a:rPr lang="fr-FR" sz="1600" baseline="0"/>
            <a:t>Bien qu'il présente des réductions de turnover, de taux d'absentéisme, et d'autres gains pour l'entreprise liés au bien-être de ses salariés, cet outil ne vise pas à réduire la question du bien-être au travail à l'unique pratique sportive. La mise en place d'une politique de promotion de l'APS doit au contraire s'inscrire dans une démarche plus globale d'amélioration du bien-être des salariés, prenant notamment en compte des problématiques telles que la précarité, l'exclusion, le confort matériel, l'équilibre vie personnelle - vie professionnelle, etc. </a:t>
          </a:r>
          <a:r>
            <a:rPr lang="fr-FR" sz="1600" baseline="0">
              <a:solidFill>
                <a:schemeClr val="bg1"/>
              </a:solidFill>
            </a:rPr>
            <a:t>Merci de l'utiliser en tenant compte de ces précautions d'usage.</a:t>
          </a:r>
        </a:p>
        <a:p>
          <a:pPr algn="l"/>
          <a:endParaRPr lang="fr-FR" sz="1600" baseline="0"/>
        </a:p>
        <a:p>
          <a:pPr algn="l"/>
          <a:r>
            <a:rPr lang="fr-FR" sz="1600" baseline="0"/>
            <a:t>Sur cet onglet, vous êtes invité à saisir des données relatives à votre entreprise sur la base desquelles l'outil effectuera les calculs de gains financiers et non-financiers.</a:t>
          </a:r>
        </a:p>
        <a:p>
          <a:pPr algn="l"/>
          <a:r>
            <a:rPr lang="fr-FR" sz="1600" baseline="0"/>
            <a:t>Vous aurez ensuite la possibilité, sur le tableau de bord, de sélectionner différents niveaux d'investissement dans la pratique sportive pour observer les variations de résultats.</a:t>
          </a:r>
        </a:p>
      </xdr:txBody>
    </xdr:sp>
    <xdr:clientData/>
  </xdr:twoCellAnchor>
  <xdr:twoCellAnchor>
    <xdr:from>
      <xdr:col>3</xdr:col>
      <xdr:colOff>0</xdr:colOff>
      <xdr:row>0</xdr:row>
      <xdr:rowOff>98434</xdr:rowOff>
    </xdr:from>
    <xdr:to>
      <xdr:col>3</xdr:col>
      <xdr:colOff>7469249</xdr:colOff>
      <xdr:row>4</xdr:row>
      <xdr:rowOff>173205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B44820D-2AE1-4981-B2AE-4A8534D3A174}"/>
            </a:ext>
          </a:extLst>
        </xdr:cNvPr>
        <xdr:cNvSpPr txBox="1"/>
      </xdr:nvSpPr>
      <xdr:spPr>
        <a:xfrm>
          <a:off x="2292645" y="98434"/>
          <a:ext cx="7469249" cy="827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4000" b="0" i="1" u="sng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Impacts</a:t>
          </a:r>
          <a:r>
            <a:rPr lang="fr-FR" sz="4000" b="0" i="1" u="sng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du sport en entreprise</a:t>
          </a:r>
          <a:endParaRPr lang="fr-FR" sz="4000" b="0" i="1" u="sng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176591</xdr:colOff>
      <xdr:row>6</xdr:row>
      <xdr:rowOff>165220</xdr:rowOff>
    </xdr:from>
    <xdr:to>
      <xdr:col>2</xdr:col>
      <xdr:colOff>593750</xdr:colOff>
      <xdr:row>9</xdr:row>
      <xdr:rowOff>167922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0BBE32F-D0FA-4CA4-8F23-AE7A02D5A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770"/>
        <a:stretch/>
      </xdr:blipFill>
      <xdr:spPr>
        <a:xfrm>
          <a:off x="176591" y="1294929"/>
          <a:ext cx="1945589" cy="567557"/>
        </a:xfrm>
        <a:prstGeom prst="rect">
          <a:avLst/>
        </a:prstGeom>
      </xdr:spPr>
    </xdr:pic>
    <xdr:clientData/>
  </xdr:twoCellAnchor>
  <xdr:twoCellAnchor editAs="oneCell">
    <xdr:from>
      <xdr:col>0</xdr:col>
      <xdr:colOff>132459</xdr:colOff>
      <xdr:row>0</xdr:row>
      <xdr:rowOff>150623</xdr:rowOff>
    </xdr:from>
    <xdr:to>
      <xdr:col>2</xdr:col>
      <xdr:colOff>637882</xdr:colOff>
      <xdr:row>6</xdr:row>
      <xdr:rowOff>10697</xdr:rowOff>
    </xdr:to>
    <xdr:pic>
      <xdr:nvPicPr>
        <xdr:cNvPr id="10" name="Graphique 3">
          <a:extLst>
            <a:ext uri="{FF2B5EF4-FFF2-40B4-BE49-F238E27FC236}">
              <a16:creationId xmlns:a16="http://schemas.microsoft.com/office/drawing/2014/main" id="{54D83EA7-50D4-4499-BDAF-D25342CAC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rcRect l="8413" t="11322" r="8894" b="9519"/>
        <a:stretch/>
      </xdr:blipFill>
      <xdr:spPr>
        <a:xfrm>
          <a:off x="132459" y="150623"/>
          <a:ext cx="2033853" cy="989783"/>
        </a:xfrm>
        <a:prstGeom prst="rect">
          <a:avLst/>
        </a:prstGeom>
      </xdr:spPr>
    </xdr:pic>
    <xdr:clientData/>
  </xdr:twoCellAnchor>
  <xdr:twoCellAnchor>
    <xdr:from>
      <xdr:col>3</xdr:col>
      <xdr:colOff>1033</xdr:colOff>
      <xdr:row>46</xdr:row>
      <xdr:rowOff>144659</xdr:rowOff>
    </xdr:from>
    <xdr:to>
      <xdr:col>6</xdr:col>
      <xdr:colOff>28147</xdr:colOff>
      <xdr:row>48</xdr:row>
      <xdr:rowOff>29028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106AEE6-06E8-4E99-96B0-147E4DA2E50A}"/>
            </a:ext>
          </a:extLst>
        </xdr:cNvPr>
        <xdr:cNvSpPr/>
      </xdr:nvSpPr>
      <xdr:spPr>
        <a:xfrm>
          <a:off x="2307086" y="9335448"/>
          <a:ext cx="13562640" cy="252001"/>
        </a:xfrm>
        <a:prstGeom prst="roundRect">
          <a:avLst>
            <a:gd name="adj" fmla="val 1877"/>
          </a:avLst>
        </a:prstGeom>
        <a:gradFill>
          <a:gsLst>
            <a:gs pos="2000">
              <a:srgbClr val="592ED2"/>
            </a:gs>
            <a:gs pos="100000">
              <a:srgbClr val="E104F8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800" b="0" i="1"/>
            <a:t>3. Données financières</a:t>
          </a:r>
        </a:p>
      </xdr:txBody>
    </xdr:sp>
    <xdr:clientData/>
  </xdr:twoCellAnchor>
  <xdr:twoCellAnchor>
    <xdr:from>
      <xdr:col>3</xdr:col>
      <xdr:colOff>1033</xdr:colOff>
      <xdr:row>54</xdr:row>
      <xdr:rowOff>80851</xdr:rowOff>
    </xdr:from>
    <xdr:to>
      <xdr:col>6</xdr:col>
      <xdr:colOff>28147</xdr:colOff>
      <xdr:row>55</xdr:row>
      <xdr:rowOff>32061</xdr:rowOff>
    </xdr:to>
    <xdr:sp macro="" textlink="">
      <xdr:nvSpPr>
        <xdr:cNvPr id="13" name="Rectangle : coins arrondis 12">
          <a:extLst>
            <a:ext uri="{FF2B5EF4-FFF2-40B4-BE49-F238E27FC236}">
              <a16:creationId xmlns:a16="http://schemas.microsoft.com/office/drawing/2014/main" id="{833C2C50-D94F-46BD-B3B3-731FB66DF5AE}"/>
            </a:ext>
          </a:extLst>
        </xdr:cNvPr>
        <xdr:cNvSpPr/>
      </xdr:nvSpPr>
      <xdr:spPr>
        <a:xfrm>
          <a:off x="2307086" y="11444009"/>
          <a:ext cx="13562640" cy="251999"/>
        </a:xfrm>
        <a:prstGeom prst="roundRect">
          <a:avLst>
            <a:gd name="adj" fmla="val 1877"/>
          </a:avLst>
        </a:prstGeom>
        <a:gradFill>
          <a:gsLst>
            <a:gs pos="0">
              <a:srgbClr val="E104F8"/>
            </a:gs>
            <a:gs pos="100000">
              <a:srgbClr val="FC001B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8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4. Parmi ces actions, cochez celles qui sont déjà en place dans votre entreprise :</a:t>
          </a:r>
          <a:endParaRPr lang="fr-FR" sz="1800">
            <a:effectLst/>
          </a:endParaRPr>
        </a:p>
      </xdr:txBody>
    </xdr:sp>
    <xdr:clientData/>
  </xdr:twoCellAnchor>
  <xdr:twoCellAnchor editAs="oneCell">
    <xdr:from>
      <xdr:col>2</xdr:col>
      <xdr:colOff>697604</xdr:colOff>
      <xdr:row>24</xdr:row>
      <xdr:rowOff>24608</xdr:rowOff>
    </xdr:from>
    <xdr:to>
      <xdr:col>6</xdr:col>
      <xdr:colOff>100262</xdr:colOff>
      <xdr:row>37</xdr:row>
      <xdr:rowOff>170474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Secteur">
              <a:extLst>
                <a:ext uri="{FF2B5EF4-FFF2-40B4-BE49-F238E27FC236}">
                  <a16:creationId xmlns:a16="http://schemas.microsoft.com/office/drawing/2014/main" id="{3B63D048-261F-45B8-83E3-9BA105F178A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eu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28408" y="4617019"/>
              <a:ext cx="13690158" cy="2629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3</xdr:col>
      <xdr:colOff>1033</xdr:colOff>
      <xdr:row>38</xdr:row>
      <xdr:rowOff>116973</xdr:rowOff>
    </xdr:from>
    <xdr:to>
      <xdr:col>6</xdr:col>
      <xdr:colOff>28147</xdr:colOff>
      <xdr:row>40</xdr:row>
      <xdr:rowOff>1342</xdr:rowOff>
    </xdr:to>
    <xdr:sp macro="" textlink="">
      <xdr:nvSpPr>
        <xdr:cNvPr id="11" name="Rectangle : coins arrondis 10">
          <a:extLst>
            <a:ext uri="{FF2B5EF4-FFF2-40B4-BE49-F238E27FC236}">
              <a16:creationId xmlns:a16="http://schemas.microsoft.com/office/drawing/2014/main" id="{66AED616-39DE-4EB2-9E14-C74E1771ED21}"/>
            </a:ext>
          </a:extLst>
        </xdr:cNvPr>
        <xdr:cNvSpPr/>
      </xdr:nvSpPr>
      <xdr:spPr>
        <a:xfrm>
          <a:off x="2307086" y="7252368"/>
          <a:ext cx="13562640" cy="252000"/>
        </a:xfrm>
        <a:prstGeom prst="roundRect">
          <a:avLst>
            <a:gd name="adj" fmla="val 1877"/>
          </a:avLst>
        </a:prstGeom>
        <a:gradFill>
          <a:gsLst>
            <a:gs pos="0">
              <a:srgbClr val="41219B"/>
            </a:gs>
            <a:gs pos="100000">
              <a:srgbClr val="592ED2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800" b="0" i="1"/>
            <a:t>2. Données relatives à vos salariés et vos</a:t>
          </a:r>
          <a:r>
            <a:rPr lang="fr-FR" sz="1800" b="0" i="1" baseline="0"/>
            <a:t> sites de production</a:t>
          </a:r>
          <a:endParaRPr lang="fr-FR" sz="1800" b="0" i="1"/>
        </a:p>
      </xdr:txBody>
    </xdr:sp>
    <xdr:clientData/>
  </xdr:twoCellAnchor>
  <xdr:twoCellAnchor>
    <xdr:from>
      <xdr:col>2</xdr:col>
      <xdr:colOff>757674</xdr:colOff>
      <xdr:row>22</xdr:row>
      <xdr:rowOff>164554</xdr:rowOff>
    </xdr:from>
    <xdr:to>
      <xdr:col>6</xdr:col>
      <xdr:colOff>25628</xdr:colOff>
      <xdr:row>24</xdr:row>
      <xdr:rowOff>48923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988A45BA-5643-EA6E-078C-007C91682108}"/>
            </a:ext>
          </a:extLst>
        </xdr:cNvPr>
        <xdr:cNvSpPr/>
      </xdr:nvSpPr>
      <xdr:spPr>
        <a:xfrm>
          <a:off x="2288478" y="4382768"/>
          <a:ext cx="13555454" cy="258566"/>
        </a:xfrm>
        <a:prstGeom prst="roundRect">
          <a:avLst>
            <a:gd name="adj" fmla="val 1877"/>
          </a:avLst>
        </a:prstGeom>
        <a:gradFill>
          <a:gsLst>
            <a:gs pos="15596">
              <a:srgbClr val="13007C"/>
            </a:gs>
            <a:gs pos="100000">
              <a:srgbClr val="41219B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8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 Votre secteur</a:t>
          </a:r>
          <a:endParaRPr lang="fr-FR" sz="18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250183</xdr:colOff>
      <xdr:row>0</xdr:row>
      <xdr:rowOff>139392</xdr:rowOff>
    </xdr:from>
    <xdr:to>
      <xdr:col>47</xdr:col>
      <xdr:colOff>60481</xdr:colOff>
      <xdr:row>78</xdr:row>
      <xdr:rowOff>17973</xdr:rowOff>
    </xdr:to>
    <xdr:sp macro="" textlink="">
      <xdr:nvSpPr>
        <xdr:cNvPr id="63" name="Rectangle : coins arrondis 62">
          <a:extLst>
            <a:ext uri="{FF2B5EF4-FFF2-40B4-BE49-F238E27FC236}">
              <a16:creationId xmlns:a16="http://schemas.microsoft.com/office/drawing/2014/main" id="{E2D4A271-C257-8851-A220-B3C53E3633FF}"/>
            </a:ext>
          </a:extLst>
        </xdr:cNvPr>
        <xdr:cNvSpPr/>
      </xdr:nvSpPr>
      <xdr:spPr>
        <a:xfrm>
          <a:off x="21813162" y="139392"/>
          <a:ext cx="12132000" cy="14105283"/>
        </a:xfrm>
        <a:prstGeom prst="roundRect">
          <a:avLst>
            <a:gd name="adj" fmla="val 1066"/>
          </a:avLst>
        </a:prstGeom>
        <a:solidFill>
          <a:srgbClr val="34303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121595</xdr:colOff>
      <xdr:row>0</xdr:row>
      <xdr:rowOff>139392</xdr:rowOff>
    </xdr:from>
    <xdr:to>
      <xdr:col>31</xdr:col>
      <xdr:colOff>16710</xdr:colOff>
      <xdr:row>78</xdr:row>
      <xdr:rowOff>17973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5FC0365A-D307-8C98-2A31-0866E7D5CEF3}"/>
            </a:ext>
          </a:extLst>
        </xdr:cNvPr>
        <xdr:cNvSpPr/>
      </xdr:nvSpPr>
      <xdr:spPr>
        <a:xfrm>
          <a:off x="2431914" y="139392"/>
          <a:ext cx="19147775" cy="14105283"/>
        </a:xfrm>
        <a:prstGeom prst="roundRect">
          <a:avLst>
            <a:gd name="adj" fmla="val 1066"/>
          </a:avLst>
        </a:prstGeom>
        <a:solidFill>
          <a:srgbClr val="34303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134557</xdr:colOff>
      <xdr:row>1</xdr:row>
      <xdr:rowOff>16262</xdr:rowOff>
    </xdr:from>
    <xdr:to>
      <xdr:col>7</xdr:col>
      <xdr:colOff>220283</xdr:colOff>
      <xdr:row>40</xdr:row>
      <xdr:rowOff>125919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6291AA1-C078-BF9B-A66D-8C31B473F46B}"/>
            </a:ext>
          </a:extLst>
        </xdr:cNvPr>
        <xdr:cNvSpPr txBox="1"/>
      </xdr:nvSpPr>
      <xdr:spPr>
        <a:xfrm rot="16200000">
          <a:off x="-738711" y="3382243"/>
          <a:ext cx="7223008" cy="855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4000" b="0" i="1" u="sng">
              <a:solidFill>
                <a:schemeClr val="bg1"/>
              </a:solidFill>
            </a:rPr>
            <a:t>Impacts</a:t>
          </a:r>
          <a:r>
            <a:rPr lang="fr-FR" sz="4000" b="0" i="1" u="sng" baseline="0">
              <a:solidFill>
                <a:schemeClr val="bg1"/>
              </a:solidFill>
            </a:rPr>
            <a:t> du sport en entreprise</a:t>
          </a:r>
          <a:endParaRPr lang="fr-FR" sz="4000" b="0" i="1" u="sng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174731</xdr:colOff>
      <xdr:row>1</xdr:row>
      <xdr:rowOff>166807</xdr:rowOff>
    </xdr:from>
    <xdr:to>
      <xdr:col>11</xdr:col>
      <xdr:colOff>271647</xdr:colOff>
      <xdr:row>16</xdr:row>
      <xdr:rowOff>34636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5CAD151C-6364-8428-70E9-68199E82944D}"/>
            </a:ext>
          </a:extLst>
        </xdr:cNvPr>
        <xdr:cNvSpPr/>
      </xdr:nvSpPr>
      <xdr:spPr>
        <a:xfrm>
          <a:off x="3255157" y="349201"/>
          <a:ext cx="3177341" cy="2603733"/>
        </a:xfrm>
        <a:prstGeom prst="roundRect">
          <a:avLst>
            <a:gd name="adj" fmla="val 1877"/>
          </a:avLst>
        </a:prstGeom>
        <a:gradFill>
          <a:gsLst>
            <a:gs pos="0">
              <a:srgbClr val="13007C"/>
            </a:gs>
            <a:gs pos="100000">
              <a:srgbClr val="FC001B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/>
            <a:t>Nombre de salariés convertis</a:t>
          </a:r>
        </a:p>
      </xdr:txBody>
    </xdr:sp>
    <xdr:clientData/>
  </xdr:twoCellAnchor>
  <xdr:twoCellAnchor>
    <xdr:from>
      <xdr:col>7</xdr:col>
      <xdr:colOff>174731</xdr:colOff>
      <xdr:row>17</xdr:row>
      <xdr:rowOff>112363</xdr:rowOff>
    </xdr:from>
    <xdr:to>
      <xdr:col>30</xdr:col>
      <xdr:colOff>536466</xdr:colOff>
      <xdr:row>20</xdr:row>
      <xdr:rowOff>64915</xdr:rowOff>
    </xdr:to>
    <xdr:sp macro="" textlink="">
      <xdr:nvSpPr>
        <xdr:cNvPr id="15" name="Rectangle : coins arrondis 14">
          <a:extLst>
            <a:ext uri="{FF2B5EF4-FFF2-40B4-BE49-F238E27FC236}">
              <a16:creationId xmlns:a16="http://schemas.microsoft.com/office/drawing/2014/main" id="{1505A5CC-BC8F-4E31-A170-E4D4BC5606FE}"/>
            </a:ext>
          </a:extLst>
        </xdr:cNvPr>
        <xdr:cNvSpPr/>
      </xdr:nvSpPr>
      <xdr:spPr>
        <a:xfrm>
          <a:off x="3249468" y="3237231"/>
          <a:ext cx="18041472" cy="504000"/>
        </a:xfrm>
        <a:prstGeom prst="roundRect">
          <a:avLst>
            <a:gd name="adj" fmla="val 1877"/>
          </a:avLst>
        </a:prstGeom>
        <a:gradFill>
          <a:gsLst>
            <a:gs pos="17000">
              <a:srgbClr val="13007C"/>
            </a:gs>
            <a:gs pos="100000">
              <a:srgbClr val="592ED2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Modèle</a:t>
          </a:r>
          <a:r>
            <a:rPr lang="fr-FR" sz="2000" b="1" baseline="0"/>
            <a:t> salarié</a:t>
          </a:r>
          <a:endParaRPr lang="fr-FR" sz="2000" b="1"/>
        </a:p>
      </xdr:txBody>
    </xdr:sp>
    <xdr:clientData/>
  </xdr:twoCellAnchor>
  <xdr:twoCellAnchor>
    <xdr:from>
      <xdr:col>7</xdr:col>
      <xdr:colOff>174730</xdr:colOff>
      <xdr:row>37</xdr:row>
      <xdr:rowOff>134040</xdr:rowOff>
    </xdr:from>
    <xdr:to>
      <xdr:col>30</xdr:col>
      <xdr:colOff>538193</xdr:colOff>
      <xdr:row>40</xdr:row>
      <xdr:rowOff>85677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33E50A57-D062-484E-BFA9-8318D05952E5}"/>
            </a:ext>
          </a:extLst>
        </xdr:cNvPr>
        <xdr:cNvSpPr/>
      </xdr:nvSpPr>
      <xdr:spPr>
        <a:xfrm>
          <a:off x="3249467" y="6935224"/>
          <a:ext cx="18043200" cy="503085"/>
        </a:xfrm>
        <a:prstGeom prst="roundRect">
          <a:avLst>
            <a:gd name="adj" fmla="val 1877"/>
          </a:avLst>
        </a:prstGeom>
        <a:gradFill>
          <a:gsLst>
            <a:gs pos="2000">
              <a:srgbClr val="592ED2"/>
            </a:gs>
            <a:gs pos="100000">
              <a:srgbClr val="E104F8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Modèle</a:t>
          </a:r>
          <a:r>
            <a:rPr lang="fr-FR" sz="2000" b="1" baseline="0"/>
            <a:t> société civile</a:t>
          </a:r>
          <a:endParaRPr lang="fr-FR" sz="2000" b="1"/>
        </a:p>
      </xdr:txBody>
    </xdr:sp>
    <xdr:clientData/>
  </xdr:twoCellAnchor>
  <xdr:twoCellAnchor editAs="oneCell">
    <xdr:from>
      <xdr:col>30</xdr:col>
      <xdr:colOff>84193</xdr:colOff>
      <xdr:row>17</xdr:row>
      <xdr:rowOff>153049</xdr:rowOff>
    </xdr:from>
    <xdr:to>
      <xdr:col>30</xdr:col>
      <xdr:colOff>536999</xdr:colOff>
      <xdr:row>20</xdr:row>
      <xdr:rowOff>25214</xdr:rowOff>
    </xdr:to>
    <xdr:pic>
      <xdr:nvPicPr>
        <xdr:cNvPr id="9" name="Graphique 8" descr="Utilisateur avec un remplissage uni">
          <a:extLst>
            <a:ext uri="{FF2B5EF4-FFF2-40B4-BE49-F238E27FC236}">
              <a16:creationId xmlns:a16="http://schemas.microsoft.com/office/drawing/2014/main" id="{3DE21418-0E2C-F323-4E9B-104CB2314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0838667" y="3277917"/>
          <a:ext cx="452806" cy="423613"/>
        </a:xfrm>
        <a:prstGeom prst="rect">
          <a:avLst/>
        </a:prstGeom>
      </xdr:spPr>
    </xdr:pic>
    <xdr:clientData/>
  </xdr:twoCellAnchor>
  <xdr:twoCellAnchor editAs="oneCell">
    <xdr:from>
      <xdr:col>30</xdr:col>
      <xdr:colOff>84193</xdr:colOff>
      <xdr:row>37</xdr:row>
      <xdr:rowOff>180092</xdr:rowOff>
    </xdr:from>
    <xdr:to>
      <xdr:col>30</xdr:col>
      <xdr:colOff>536999</xdr:colOff>
      <xdr:row>40</xdr:row>
      <xdr:rowOff>34725</xdr:rowOff>
    </xdr:to>
    <xdr:pic>
      <xdr:nvPicPr>
        <xdr:cNvPr id="13" name="Graphique 12" descr="Groupe avec un remplissage uni">
          <a:extLst>
            <a:ext uri="{FF2B5EF4-FFF2-40B4-BE49-F238E27FC236}">
              <a16:creationId xmlns:a16="http://schemas.microsoft.com/office/drawing/2014/main" id="{08F22C16-BB63-4777-93FB-25D30CE11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rcRect/>
        <a:stretch/>
      </xdr:blipFill>
      <xdr:spPr>
        <a:xfrm>
          <a:off x="20553224" y="7372439"/>
          <a:ext cx="452806" cy="437796"/>
        </a:xfrm>
        <a:prstGeom prst="rect">
          <a:avLst/>
        </a:prstGeom>
      </xdr:spPr>
    </xdr:pic>
    <xdr:clientData/>
  </xdr:twoCellAnchor>
  <xdr:twoCellAnchor editAs="oneCell">
    <xdr:from>
      <xdr:col>0</xdr:col>
      <xdr:colOff>202659</xdr:colOff>
      <xdr:row>17</xdr:row>
      <xdr:rowOff>36933</xdr:rowOff>
    </xdr:from>
    <xdr:to>
      <xdr:col>5</xdr:col>
      <xdr:colOff>532659</xdr:colOff>
      <xdr:row>26</xdr:row>
      <xdr:rowOff>113393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Intensité_APS">
              <a:extLst>
                <a:ext uri="{FF2B5EF4-FFF2-40B4-BE49-F238E27FC236}">
                  <a16:creationId xmlns:a16="http://schemas.microsoft.com/office/drawing/2014/main" id="{4BE09933-32C3-4975-AA03-2F234C2773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nsité_AP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2659" y="3196445"/>
              <a:ext cx="4163232" cy="17491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>
    <xdr:from>
      <xdr:col>7</xdr:col>
      <xdr:colOff>563050</xdr:colOff>
      <xdr:row>7</xdr:row>
      <xdr:rowOff>73112</xdr:rowOff>
    </xdr:from>
    <xdr:to>
      <xdr:col>10</xdr:col>
      <xdr:colOff>657038</xdr:colOff>
      <xdr:row>14</xdr:row>
      <xdr:rowOff>170580</xdr:rowOff>
    </xdr:to>
    <xdr:sp macro="" textlink="Bases_annexes!D156">
      <xdr:nvSpPr>
        <xdr:cNvPr id="22" name="ZoneTexte 21">
          <a:extLst>
            <a:ext uri="{FF2B5EF4-FFF2-40B4-BE49-F238E27FC236}">
              <a16:creationId xmlns:a16="http://schemas.microsoft.com/office/drawing/2014/main" id="{557A0F5D-F72D-0728-83B6-79EC09B78838}"/>
            </a:ext>
          </a:extLst>
        </xdr:cNvPr>
        <xdr:cNvSpPr txBox="1"/>
      </xdr:nvSpPr>
      <xdr:spPr>
        <a:xfrm>
          <a:off x="3643476" y="1349867"/>
          <a:ext cx="2404307" cy="1374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0F544AE2-A360-4DDF-8031-9185E8BB79B6}" type="TxLink">
            <a:rPr lang="en-US" sz="8000" b="1" i="0" u="none" strike="noStrike">
              <a:solidFill>
                <a:schemeClr val="bg1"/>
              </a:solidFill>
              <a:latin typeface="Calibri"/>
              <a:cs typeface="Calibri"/>
            </a:rPr>
            <a:pPr algn="r"/>
            <a:t>#NOM?</a:t>
          </a:fld>
          <a:endParaRPr lang="fr-FR" sz="8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595122</xdr:colOff>
      <xdr:row>9</xdr:row>
      <xdr:rowOff>45218</xdr:rowOff>
    </xdr:from>
    <xdr:to>
      <xdr:col>8</xdr:col>
      <xdr:colOff>526297</xdr:colOff>
      <xdr:row>13</xdr:row>
      <xdr:rowOff>7120</xdr:rowOff>
    </xdr:to>
    <xdr:pic>
      <xdr:nvPicPr>
        <xdr:cNvPr id="24" name="Graphique 23" descr="Courir avec un remplissage uni">
          <a:extLst>
            <a:ext uri="{FF2B5EF4-FFF2-40B4-BE49-F238E27FC236}">
              <a16:creationId xmlns:a16="http://schemas.microsoft.com/office/drawing/2014/main" id="{4AE128CC-046A-DDE8-BB9F-AA74CAF0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rcRect/>
        <a:stretch/>
      </xdr:blipFill>
      <xdr:spPr>
        <a:xfrm>
          <a:off x="3675548" y="1686761"/>
          <a:ext cx="701281" cy="691476"/>
        </a:xfrm>
        <a:prstGeom prst="rect">
          <a:avLst/>
        </a:prstGeom>
      </xdr:spPr>
    </xdr:pic>
    <xdr:clientData/>
  </xdr:twoCellAnchor>
  <xdr:twoCellAnchor>
    <xdr:from>
      <xdr:col>11</xdr:col>
      <xdr:colOff>507229</xdr:colOff>
      <xdr:row>1</xdr:row>
      <xdr:rowOff>143139</xdr:rowOff>
    </xdr:from>
    <xdr:to>
      <xdr:col>30</xdr:col>
      <xdr:colOff>530544</xdr:colOff>
      <xdr:row>4</xdr:row>
      <xdr:rowOff>95692</xdr:rowOff>
    </xdr:to>
    <xdr:sp macro="" textlink="">
      <xdr:nvSpPr>
        <xdr:cNvPr id="27" name="Rectangle : coins arrondis 26">
          <a:extLst>
            <a:ext uri="{FF2B5EF4-FFF2-40B4-BE49-F238E27FC236}">
              <a16:creationId xmlns:a16="http://schemas.microsoft.com/office/drawing/2014/main" id="{D67DC978-EABE-47C0-AFE3-6BCB90D34ABB}"/>
            </a:ext>
          </a:extLst>
        </xdr:cNvPr>
        <xdr:cNvSpPr/>
      </xdr:nvSpPr>
      <xdr:spPr>
        <a:xfrm>
          <a:off x="6668080" y="325533"/>
          <a:ext cx="14655336" cy="499733"/>
        </a:xfrm>
        <a:prstGeom prst="roundRect">
          <a:avLst>
            <a:gd name="adj" fmla="val 1877"/>
          </a:avLst>
        </a:prstGeom>
        <a:gradFill>
          <a:gsLst>
            <a:gs pos="0">
              <a:schemeClr val="bg1">
                <a:lumMod val="50000"/>
              </a:schemeClr>
            </a:gs>
            <a:gs pos="100000">
              <a:schemeClr val="bg1">
                <a:lumMod val="85000"/>
              </a:schemeClr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Informations</a:t>
          </a:r>
          <a:r>
            <a:rPr lang="fr-FR" sz="2000" b="1" baseline="0"/>
            <a:t> générales</a:t>
          </a:r>
          <a:endParaRPr lang="fr-FR" sz="2000" b="1"/>
        </a:p>
      </xdr:txBody>
    </xdr:sp>
    <xdr:clientData/>
  </xdr:twoCellAnchor>
  <xdr:twoCellAnchor editAs="oneCell">
    <xdr:from>
      <xdr:col>0</xdr:col>
      <xdr:colOff>361673</xdr:colOff>
      <xdr:row>10</xdr:row>
      <xdr:rowOff>13567</xdr:rowOff>
    </xdr:from>
    <xdr:to>
      <xdr:col>5</xdr:col>
      <xdr:colOff>446337</xdr:colOff>
      <xdr:row>16</xdr:row>
      <xdr:rowOff>27207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51FD3696-83AF-781C-46F9-847AEEC90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770"/>
        <a:stretch/>
      </xdr:blipFill>
      <xdr:spPr>
        <a:xfrm>
          <a:off x="361673" y="1918567"/>
          <a:ext cx="3894664" cy="1156640"/>
        </a:xfrm>
        <a:prstGeom prst="rect">
          <a:avLst/>
        </a:prstGeom>
      </xdr:spPr>
    </xdr:pic>
    <xdr:clientData/>
  </xdr:twoCellAnchor>
  <xdr:twoCellAnchor>
    <xdr:from>
      <xdr:col>7</xdr:col>
      <xdr:colOff>174729</xdr:colOff>
      <xdr:row>57</xdr:row>
      <xdr:rowOff>170317</xdr:rowOff>
    </xdr:from>
    <xdr:to>
      <xdr:col>30</xdr:col>
      <xdr:colOff>538192</xdr:colOff>
      <xdr:row>60</xdr:row>
      <xdr:rowOff>122870</xdr:rowOff>
    </xdr:to>
    <xdr:sp macro="" textlink="">
      <xdr:nvSpPr>
        <xdr:cNvPr id="41" name="Rectangle : coins arrondis 40">
          <a:extLst>
            <a:ext uri="{FF2B5EF4-FFF2-40B4-BE49-F238E27FC236}">
              <a16:creationId xmlns:a16="http://schemas.microsoft.com/office/drawing/2014/main" id="{D6D62227-EC46-4F0E-BACE-D27EA22CF790}"/>
            </a:ext>
          </a:extLst>
        </xdr:cNvPr>
        <xdr:cNvSpPr/>
      </xdr:nvSpPr>
      <xdr:spPr>
        <a:xfrm>
          <a:off x="3249466" y="10647817"/>
          <a:ext cx="18043200" cy="504000"/>
        </a:xfrm>
        <a:prstGeom prst="roundRect">
          <a:avLst>
            <a:gd name="adj" fmla="val 1877"/>
          </a:avLst>
        </a:prstGeom>
        <a:gradFill>
          <a:gsLst>
            <a:gs pos="0">
              <a:srgbClr val="E104F8"/>
            </a:gs>
            <a:gs pos="55000">
              <a:srgbClr val="FC001B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Modèle</a:t>
          </a:r>
          <a:r>
            <a:rPr lang="fr-FR" sz="2000" b="1" baseline="0"/>
            <a:t> entreprise</a:t>
          </a:r>
          <a:endParaRPr lang="fr-FR" sz="2000" b="1"/>
        </a:p>
      </xdr:txBody>
    </xdr:sp>
    <xdr:clientData/>
  </xdr:twoCellAnchor>
  <xdr:twoCellAnchor editAs="oneCell">
    <xdr:from>
      <xdr:col>30</xdr:col>
      <xdr:colOff>84193</xdr:colOff>
      <xdr:row>58</xdr:row>
      <xdr:rowOff>21551</xdr:rowOff>
    </xdr:from>
    <xdr:to>
      <xdr:col>30</xdr:col>
      <xdr:colOff>526222</xdr:colOff>
      <xdr:row>60</xdr:row>
      <xdr:rowOff>60638</xdr:rowOff>
    </xdr:to>
    <xdr:pic>
      <xdr:nvPicPr>
        <xdr:cNvPr id="42" name="Graphique 41" descr="Bâtiment avec un remplissage uni">
          <a:extLst>
            <a:ext uri="{FF2B5EF4-FFF2-40B4-BE49-F238E27FC236}">
              <a16:creationId xmlns:a16="http://schemas.microsoft.com/office/drawing/2014/main" id="{803DC9E0-3797-4693-974B-00E05B29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rcRect/>
        <a:stretch/>
      </xdr:blipFill>
      <xdr:spPr>
        <a:xfrm>
          <a:off x="20838667" y="10682867"/>
          <a:ext cx="442029" cy="406718"/>
        </a:xfrm>
        <a:prstGeom prst="rect">
          <a:avLst/>
        </a:prstGeom>
      </xdr:spPr>
    </xdr:pic>
    <xdr:clientData/>
  </xdr:twoCellAnchor>
  <xdr:twoCellAnchor>
    <xdr:from>
      <xdr:col>11</xdr:col>
      <xdr:colOff>508677</xdr:colOff>
      <xdr:row>21</xdr:row>
      <xdr:rowOff>122630</xdr:rowOff>
    </xdr:from>
    <xdr:to>
      <xdr:col>30</xdr:col>
      <xdr:colOff>531992</xdr:colOff>
      <xdr:row>36</xdr:row>
      <xdr:rowOff>66857</xdr:rowOff>
    </xdr:to>
    <xdr:sp macro="" textlink="">
      <xdr:nvSpPr>
        <xdr:cNvPr id="34" name="Rectangle : coins arrondis 33">
          <a:extLst>
            <a:ext uri="{FF2B5EF4-FFF2-40B4-BE49-F238E27FC236}">
              <a16:creationId xmlns:a16="http://schemas.microsoft.com/office/drawing/2014/main" id="{1095369E-08A4-68A6-A787-F8AAD06DF039}"/>
            </a:ext>
          </a:extLst>
        </xdr:cNvPr>
        <xdr:cNvSpPr/>
      </xdr:nvSpPr>
      <xdr:spPr>
        <a:xfrm>
          <a:off x="6637807" y="4036163"/>
          <a:ext cx="14580000" cy="2739607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cap="none" baseline="0"/>
            <a:t>Détail des économies réalisées</a:t>
          </a:r>
        </a:p>
      </xdr:txBody>
    </xdr:sp>
    <xdr:clientData/>
  </xdr:twoCellAnchor>
  <xdr:twoCellAnchor>
    <xdr:from>
      <xdr:col>7</xdr:col>
      <xdr:colOff>180929</xdr:colOff>
      <xdr:row>21</xdr:row>
      <xdr:rowOff>122630</xdr:rowOff>
    </xdr:from>
    <xdr:to>
      <xdr:col>11</xdr:col>
      <xdr:colOff>278579</xdr:colOff>
      <xdr:row>36</xdr:row>
      <xdr:rowOff>66857</xdr:rowOff>
    </xdr:to>
    <xdr:sp macro="" textlink="">
      <xdr:nvSpPr>
        <xdr:cNvPr id="33" name="Rectangle : coins arrondis 32">
          <a:extLst>
            <a:ext uri="{FF2B5EF4-FFF2-40B4-BE49-F238E27FC236}">
              <a16:creationId xmlns:a16="http://schemas.microsoft.com/office/drawing/2014/main" id="{30244AFA-6D7B-8CDB-B510-7D97548660BB}"/>
            </a:ext>
          </a:extLst>
        </xdr:cNvPr>
        <xdr:cNvSpPr/>
      </xdr:nvSpPr>
      <xdr:spPr>
        <a:xfrm>
          <a:off x="3261355" y="3952896"/>
          <a:ext cx="3178075" cy="2680131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cap="all" baseline="0"/>
            <a:t>é</a:t>
          </a:r>
          <a:r>
            <a:rPr lang="fr-FR" sz="1600"/>
            <a:t>conomie</a:t>
          </a:r>
          <a:r>
            <a:rPr lang="fr-FR" sz="1600" baseline="0"/>
            <a:t> équivalente sur le </a:t>
          </a:r>
          <a:r>
            <a:rPr lang="fr-FR" sz="1600"/>
            <a:t>budget total en santé d'un français</a:t>
          </a:r>
        </a:p>
      </xdr:txBody>
    </xdr:sp>
    <xdr:clientData/>
  </xdr:twoCellAnchor>
  <xdr:twoCellAnchor>
    <xdr:from>
      <xdr:col>7</xdr:col>
      <xdr:colOff>533001</xdr:colOff>
      <xdr:row>25</xdr:row>
      <xdr:rowOff>10724</xdr:rowOff>
    </xdr:from>
    <xdr:to>
      <xdr:col>10</xdr:col>
      <xdr:colOff>696612</xdr:colOff>
      <xdr:row>36</xdr:row>
      <xdr:rowOff>2988</xdr:rowOff>
    </xdr:to>
    <xdr:graphicFrame macro="">
      <xdr:nvGraphicFramePr>
        <xdr:cNvPr id="31" name="Graphique 30">
          <a:extLst>
            <a:ext uri="{FF2B5EF4-FFF2-40B4-BE49-F238E27FC236}">
              <a16:creationId xmlns:a16="http://schemas.microsoft.com/office/drawing/2014/main" id="{77F8C15E-F5ED-4DBE-860B-537D87D6D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592113</xdr:colOff>
          <xdr:row>24</xdr:row>
          <xdr:rowOff>66332</xdr:rowOff>
        </xdr:from>
        <xdr:to>
          <xdr:col>19</xdr:col>
          <xdr:colOff>50506</xdr:colOff>
          <xdr:row>34</xdr:row>
          <xdr:rowOff>139350</xdr:rowOff>
        </xdr:to>
        <xdr:pic>
          <xdr:nvPicPr>
            <xdr:cNvPr id="26" name="Image 25">
              <a:extLst>
                <a:ext uri="{FF2B5EF4-FFF2-40B4-BE49-F238E27FC236}">
                  <a16:creationId xmlns:a16="http://schemas.microsoft.com/office/drawing/2014/main" id="{6F944616-518E-0ACC-CA4F-496A9B3A593C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D$4:$D$8" spid="_x0000_s114983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0542336" y="4556689"/>
              <a:ext cx="2520000" cy="194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415873</xdr:colOff>
          <xdr:row>24</xdr:row>
          <xdr:rowOff>66332</xdr:rowOff>
        </xdr:from>
        <xdr:to>
          <xdr:col>22</xdr:col>
          <xdr:colOff>639667</xdr:colOff>
          <xdr:row>34</xdr:row>
          <xdr:rowOff>139350</xdr:rowOff>
        </xdr:to>
        <xdr:pic>
          <xdr:nvPicPr>
            <xdr:cNvPr id="28" name="Image 27">
              <a:extLst>
                <a:ext uri="{FF2B5EF4-FFF2-40B4-BE49-F238E27FC236}">
                  <a16:creationId xmlns:a16="http://schemas.microsoft.com/office/drawing/2014/main" id="{7600F902-950C-64A0-D674-2171B722AD1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F$4:$F$8" spid="_x0000_s114984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14820006" y="4731638"/>
              <a:ext cx="2498130" cy="20168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2951</xdr:colOff>
          <xdr:row>24</xdr:row>
          <xdr:rowOff>66332</xdr:rowOff>
        </xdr:from>
        <xdr:to>
          <xdr:col>15</xdr:col>
          <xdr:colOff>226746</xdr:colOff>
          <xdr:row>34</xdr:row>
          <xdr:rowOff>139350</xdr:rowOff>
        </xdr:to>
        <xdr:pic>
          <xdr:nvPicPr>
            <xdr:cNvPr id="16" name="Image 15">
              <a:extLst>
                <a:ext uri="{FF2B5EF4-FFF2-40B4-BE49-F238E27FC236}">
                  <a16:creationId xmlns:a16="http://schemas.microsoft.com/office/drawing/2014/main" id="{06B73BCA-A936-565A-F7EA-8DC18BDBC24F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B$4:$B$8" spid="_x0000_s114985"/>
                </a:ext>
              </a:extLst>
            </xdr:cNvPicPr>
          </xdr:nvPicPr>
          <xdr:blipFill>
            <a:blip xmlns:r="http://schemas.openxmlformats.org/officeDocument/2006/relationships" r:embed="rId13"/>
            <a:srcRect/>
            <a:stretch>
              <a:fillRect/>
            </a:stretch>
          </xdr:blipFill>
          <xdr:spPr bwMode="auto">
            <a:xfrm>
              <a:off x="7656969" y="4556689"/>
              <a:ext cx="2520000" cy="1944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11</xdr:col>
      <xdr:colOff>510441</xdr:colOff>
      <xdr:row>41</xdr:row>
      <xdr:rowOff>152860</xdr:rowOff>
    </xdr:from>
    <xdr:to>
      <xdr:col>30</xdr:col>
      <xdr:colOff>533756</xdr:colOff>
      <xdr:row>56</xdr:row>
      <xdr:rowOff>103134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4D498E73-4A87-8755-5867-95AF28E06A60}"/>
            </a:ext>
          </a:extLst>
        </xdr:cNvPr>
        <xdr:cNvSpPr/>
      </xdr:nvSpPr>
      <xdr:spPr>
        <a:xfrm>
          <a:off x="6639571" y="7793567"/>
          <a:ext cx="14580000" cy="2745654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cap="none" baseline="0"/>
            <a:t>Détail des économies réalisées</a:t>
          </a:r>
        </a:p>
      </xdr:txBody>
    </xdr:sp>
    <xdr:clientData/>
  </xdr:twoCellAnchor>
  <xdr:twoCellAnchor>
    <xdr:from>
      <xdr:col>7</xdr:col>
      <xdr:colOff>180929</xdr:colOff>
      <xdr:row>41</xdr:row>
      <xdr:rowOff>152860</xdr:rowOff>
    </xdr:from>
    <xdr:to>
      <xdr:col>11</xdr:col>
      <xdr:colOff>278579</xdr:colOff>
      <xdr:row>56</xdr:row>
      <xdr:rowOff>103134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D784696F-F20C-4008-65B7-7F45D16157C4}"/>
            </a:ext>
          </a:extLst>
        </xdr:cNvPr>
        <xdr:cNvSpPr/>
      </xdr:nvSpPr>
      <xdr:spPr>
        <a:xfrm>
          <a:off x="3261355" y="7630998"/>
          <a:ext cx="3178075" cy="2686179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cap="all" baseline="0"/>
            <a:t>é</a:t>
          </a:r>
          <a:r>
            <a:rPr lang="fr-FR" sz="1600"/>
            <a:t>conomie</a:t>
          </a:r>
          <a:r>
            <a:rPr lang="fr-FR" sz="1600" baseline="0"/>
            <a:t> équivalente sur le </a:t>
          </a:r>
          <a:r>
            <a:rPr lang="fr-FR" sz="1600"/>
            <a:t>budget total en santé d'un français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592113</xdr:colOff>
          <xdr:row>44</xdr:row>
          <xdr:rowOff>117480</xdr:rowOff>
        </xdr:from>
        <xdr:to>
          <xdr:col>19</xdr:col>
          <xdr:colOff>50506</xdr:colOff>
          <xdr:row>55</xdr:row>
          <xdr:rowOff>3399</xdr:rowOff>
        </xdr:to>
        <xdr:pic>
          <xdr:nvPicPr>
            <xdr:cNvPr id="8" name="Image 7">
              <a:extLst>
                <a:ext uri="{FF2B5EF4-FFF2-40B4-BE49-F238E27FC236}">
                  <a16:creationId xmlns:a16="http://schemas.microsoft.com/office/drawing/2014/main" id="{32A71635-D330-4F43-4A3B-A54DDEEE0966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N$4:$N$8" spid="_x0000_s114986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12114290" y="8229093"/>
              <a:ext cx="2530974" cy="19138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415873</xdr:colOff>
          <xdr:row>44</xdr:row>
          <xdr:rowOff>117480</xdr:rowOff>
        </xdr:from>
        <xdr:to>
          <xdr:col>22</xdr:col>
          <xdr:colOff>639667</xdr:colOff>
          <xdr:row>55</xdr:row>
          <xdr:rowOff>3399</xdr:rowOff>
        </xdr:to>
        <xdr:pic>
          <xdr:nvPicPr>
            <xdr:cNvPr id="10" name="Image 9">
              <a:extLst>
                <a:ext uri="{FF2B5EF4-FFF2-40B4-BE49-F238E27FC236}">
                  <a16:creationId xmlns:a16="http://schemas.microsoft.com/office/drawing/2014/main" id="{6F1BFE1D-74F2-6EB7-72FC-D3EDA33BE585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P$4:$P$8" spid="_x0000_s114987"/>
                </a:ext>
              </a:extLst>
            </xdr:cNvPicPr>
          </xdr:nvPicPr>
          <xdr:blipFill>
            <a:blip xmlns:r="http://schemas.openxmlformats.org/officeDocument/2006/relationships" r:embed="rId15"/>
            <a:srcRect/>
            <a:stretch>
              <a:fillRect/>
            </a:stretch>
          </xdr:blipFill>
          <xdr:spPr bwMode="auto">
            <a:xfrm>
              <a:off x="15010631" y="8229093"/>
              <a:ext cx="2528230" cy="19138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239632</xdr:colOff>
          <xdr:row>44</xdr:row>
          <xdr:rowOff>117480</xdr:rowOff>
        </xdr:from>
        <xdr:to>
          <xdr:col>26</xdr:col>
          <xdr:colOff>463427</xdr:colOff>
          <xdr:row>55</xdr:row>
          <xdr:rowOff>3399</xdr:rowOff>
        </xdr:to>
        <xdr:pic>
          <xdr:nvPicPr>
            <xdr:cNvPr id="17" name="Image 16">
              <a:extLst>
                <a:ext uri="{FF2B5EF4-FFF2-40B4-BE49-F238E27FC236}">
                  <a16:creationId xmlns:a16="http://schemas.microsoft.com/office/drawing/2014/main" id="{15FEEF8C-C01E-B69C-144C-6A7A96AB4D2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R$4:$R$8" spid="_x0000_s114988"/>
                </a:ext>
              </a:extLst>
            </xdr:cNvPicPr>
          </xdr:nvPicPr>
          <xdr:blipFill>
            <a:blip xmlns:r="http://schemas.openxmlformats.org/officeDocument/2006/relationships" r:embed="rId16"/>
            <a:srcRect/>
            <a:stretch>
              <a:fillRect/>
            </a:stretch>
          </xdr:blipFill>
          <xdr:spPr bwMode="auto">
            <a:xfrm>
              <a:off x="17676214" y="8670541"/>
              <a:ext cx="2498131" cy="202418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63390</xdr:colOff>
          <xdr:row>44</xdr:row>
          <xdr:rowOff>117480</xdr:rowOff>
        </xdr:from>
        <xdr:to>
          <xdr:col>30</xdr:col>
          <xdr:colOff>287185</xdr:colOff>
          <xdr:row>55</xdr:row>
          <xdr:rowOff>3399</xdr:rowOff>
        </xdr:to>
        <xdr:pic>
          <xdr:nvPicPr>
            <xdr:cNvPr id="19" name="Image 18">
              <a:extLst>
                <a:ext uri="{FF2B5EF4-FFF2-40B4-BE49-F238E27FC236}">
                  <a16:creationId xmlns:a16="http://schemas.microsoft.com/office/drawing/2014/main" id="{063EBCC6-7237-F669-02F9-93767588628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T$4:$T$8" spid="_x0000_s114989"/>
                </a:ext>
              </a:extLst>
            </xdr:cNvPicPr>
          </xdr:nvPicPr>
          <xdr:blipFill>
            <a:blip xmlns:r="http://schemas.openxmlformats.org/officeDocument/2006/relationships" r:embed="rId17"/>
            <a:srcRect/>
            <a:stretch>
              <a:fillRect/>
            </a:stretch>
          </xdr:blipFill>
          <xdr:spPr bwMode="auto">
            <a:xfrm>
              <a:off x="20803309" y="8229093"/>
              <a:ext cx="2528231" cy="19138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2951</xdr:colOff>
          <xdr:row>44</xdr:row>
          <xdr:rowOff>117480</xdr:rowOff>
        </xdr:from>
        <xdr:to>
          <xdr:col>15</xdr:col>
          <xdr:colOff>226746</xdr:colOff>
          <xdr:row>55</xdr:row>
          <xdr:rowOff>3399</xdr:rowOff>
        </xdr:to>
        <xdr:pic>
          <xdr:nvPicPr>
            <xdr:cNvPr id="20" name="Image 19">
              <a:extLst>
                <a:ext uri="{FF2B5EF4-FFF2-40B4-BE49-F238E27FC236}">
                  <a16:creationId xmlns:a16="http://schemas.microsoft.com/office/drawing/2014/main" id="{2C36C34D-5110-788F-EADE-284987A5EA1B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L$4:$L$8" spid="_x0000_s114990"/>
                </a:ext>
              </a:extLst>
            </xdr:cNvPicPr>
          </xdr:nvPicPr>
          <xdr:blipFill>
            <a:blip xmlns:r="http://schemas.openxmlformats.org/officeDocument/2006/relationships" r:embed="rId18"/>
            <a:srcRect/>
            <a:stretch>
              <a:fillRect/>
            </a:stretch>
          </xdr:blipFill>
          <xdr:spPr bwMode="auto">
            <a:xfrm>
              <a:off x="9220693" y="8229093"/>
              <a:ext cx="2528230" cy="191382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11</xdr:col>
      <xdr:colOff>510441</xdr:colOff>
      <xdr:row>61</xdr:row>
      <xdr:rowOff>181927</xdr:rowOff>
    </xdr:from>
    <xdr:to>
      <xdr:col>30</xdr:col>
      <xdr:colOff>533756</xdr:colOff>
      <xdr:row>76</xdr:row>
      <xdr:rowOff>124264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A5853042-0999-692E-A34E-258852452A28}"/>
            </a:ext>
          </a:extLst>
        </xdr:cNvPr>
        <xdr:cNvSpPr/>
      </xdr:nvSpPr>
      <xdr:spPr>
        <a:xfrm>
          <a:off x="6639571" y="11549807"/>
          <a:ext cx="14580000" cy="2737718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cap="none" baseline="0"/>
            <a:t>Détail des gains réalisés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2951</xdr:colOff>
          <xdr:row>64</xdr:row>
          <xdr:rowOff>103433</xdr:rowOff>
        </xdr:from>
        <xdr:to>
          <xdr:col>15</xdr:col>
          <xdr:colOff>226746</xdr:colOff>
          <xdr:row>74</xdr:row>
          <xdr:rowOff>173708</xdr:rowOff>
        </xdr:to>
        <xdr:pic>
          <xdr:nvPicPr>
            <xdr:cNvPr id="12" name="Image 11">
              <a:extLst>
                <a:ext uri="{FF2B5EF4-FFF2-40B4-BE49-F238E27FC236}">
                  <a16:creationId xmlns:a16="http://schemas.microsoft.com/office/drawing/2014/main" id="{F4BEC043-FEDD-1E26-9611-C7BD7F5049D5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H$4:$AH$8" spid="_x0000_s114991"/>
                </a:ext>
              </a:extLst>
            </xdr:cNvPicPr>
          </xdr:nvPicPr>
          <xdr:blipFill>
            <a:blip xmlns:r="http://schemas.openxmlformats.org/officeDocument/2006/relationships" r:embed="rId19"/>
            <a:srcRect/>
            <a:stretch>
              <a:fillRect/>
            </a:stretch>
          </xdr:blipFill>
          <xdr:spPr bwMode="auto">
            <a:xfrm>
              <a:off x="9220693" y="11902143"/>
              <a:ext cx="2528230" cy="191382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592113</xdr:colOff>
          <xdr:row>64</xdr:row>
          <xdr:rowOff>103432</xdr:rowOff>
        </xdr:from>
        <xdr:to>
          <xdr:col>19</xdr:col>
          <xdr:colOff>50506</xdr:colOff>
          <xdr:row>74</xdr:row>
          <xdr:rowOff>173707</xdr:rowOff>
        </xdr:to>
        <xdr:pic>
          <xdr:nvPicPr>
            <xdr:cNvPr id="14" name="Image 13">
              <a:extLst>
                <a:ext uri="{FF2B5EF4-FFF2-40B4-BE49-F238E27FC236}">
                  <a16:creationId xmlns:a16="http://schemas.microsoft.com/office/drawing/2014/main" id="{B3735756-1ADE-55BE-09DE-CD4F032533C6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J$4:$AJ$8" spid="_x0000_s114992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12114290" y="11902142"/>
              <a:ext cx="2530974" cy="191382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415872</xdr:colOff>
          <xdr:row>64</xdr:row>
          <xdr:rowOff>103432</xdr:rowOff>
        </xdr:from>
        <xdr:to>
          <xdr:col>22</xdr:col>
          <xdr:colOff>639666</xdr:colOff>
          <xdr:row>74</xdr:row>
          <xdr:rowOff>173707</xdr:rowOff>
        </xdr:to>
        <xdr:pic>
          <xdr:nvPicPr>
            <xdr:cNvPr id="32" name="Image 31">
              <a:extLst>
                <a:ext uri="{FF2B5EF4-FFF2-40B4-BE49-F238E27FC236}">
                  <a16:creationId xmlns:a16="http://schemas.microsoft.com/office/drawing/2014/main" id="{FDA7CB64-3603-CCFC-8FFA-4ECC7339FB4A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L$4:$AL$8" spid="_x0000_s114993"/>
                </a:ext>
              </a:extLst>
            </xdr:cNvPicPr>
          </xdr:nvPicPr>
          <xdr:blipFill>
            <a:blip xmlns:r="http://schemas.openxmlformats.org/officeDocument/2006/relationships" r:embed="rId21"/>
            <a:srcRect/>
            <a:stretch>
              <a:fillRect/>
            </a:stretch>
          </xdr:blipFill>
          <xdr:spPr bwMode="auto">
            <a:xfrm>
              <a:off x="15010630" y="11902142"/>
              <a:ext cx="2528230" cy="191382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7</xdr:col>
      <xdr:colOff>533001</xdr:colOff>
      <xdr:row>45</xdr:row>
      <xdr:rowOff>23981</xdr:rowOff>
    </xdr:from>
    <xdr:to>
      <xdr:col>10</xdr:col>
      <xdr:colOff>696612</xdr:colOff>
      <xdr:row>56</xdr:row>
      <xdr:rowOff>13291</xdr:rowOff>
    </xdr:to>
    <xdr:graphicFrame macro="">
      <xdr:nvGraphicFramePr>
        <xdr:cNvPr id="38" name="Graphique 37">
          <a:extLst>
            <a:ext uri="{FF2B5EF4-FFF2-40B4-BE49-F238E27FC236}">
              <a16:creationId xmlns:a16="http://schemas.microsoft.com/office/drawing/2014/main" id="{E0B619CA-9FB9-36EE-6C0F-68D7D9C79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</xdr:col>
      <xdr:colOff>508677</xdr:colOff>
      <xdr:row>5</xdr:row>
      <xdr:rowOff>165047</xdr:rowOff>
    </xdr:from>
    <xdr:to>
      <xdr:col>30</xdr:col>
      <xdr:colOff>531992</xdr:colOff>
      <xdr:row>16</xdr:row>
      <xdr:rowOff>45181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AD51F0A4-95A4-2A31-538F-D6B7F725182C}"/>
            </a:ext>
          </a:extLst>
        </xdr:cNvPr>
        <xdr:cNvSpPr/>
      </xdr:nvSpPr>
      <xdr:spPr>
        <a:xfrm>
          <a:off x="6677248" y="1072190"/>
          <a:ext cx="14673673" cy="1875848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cap="none" baseline="0"/>
            <a:t>Détails</a:t>
          </a:r>
          <a:endParaRPr lang="fr-FR" sz="1400" cap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239632</xdr:colOff>
          <xdr:row>8</xdr:row>
          <xdr:rowOff>56482</xdr:rowOff>
        </xdr:from>
        <xdr:to>
          <xdr:col>26</xdr:col>
          <xdr:colOff>463427</xdr:colOff>
          <xdr:row>18</xdr:row>
          <xdr:rowOff>46957</xdr:rowOff>
        </xdr:to>
        <xdr:pic>
          <xdr:nvPicPr>
            <xdr:cNvPr id="29" name="Image 28">
              <a:extLst>
                <a:ext uri="{FF2B5EF4-FFF2-40B4-BE49-F238E27FC236}">
                  <a16:creationId xmlns:a16="http://schemas.microsoft.com/office/drawing/2014/main" id="{6C457DF0-79FE-42B2-8B11-B7398565F7C9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X$4:$X$8" spid="_x0000_s114994"/>
                </a:ext>
              </a:extLst>
            </xdr:cNvPicPr>
          </xdr:nvPicPr>
          <xdr:blipFill>
            <a:blip xmlns:r="http://schemas.openxmlformats.org/officeDocument/2006/relationships" r:embed="rId23"/>
            <a:srcRect/>
            <a:stretch>
              <a:fillRect/>
            </a:stretch>
          </xdr:blipFill>
          <xdr:spPr bwMode="auto">
            <a:xfrm>
              <a:off x="16313070" y="1553268"/>
              <a:ext cx="2520000" cy="186145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63390</xdr:colOff>
          <xdr:row>8</xdr:row>
          <xdr:rowOff>56482</xdr:rowOff>
        </xdr:from>
        <xdr:to>
          <xdr:col>30</xdr:col>
          <xdr:colOff>287185</xdr:colOff>
          <xdr:row>18</xdr:row>
          <xdr:rowOff>46957</xdr:rowOff>
        </xdr:to>
        <xdr:pic>
          <xdr:nvPicPr>
            <xdr:cNvPr id="30" name="Image 29">
              <a:extLst>
                <a:ext uri="{FF2B5EF4-FFF2-40B4-BE49-F238E27FC236}">
                  <a16:creationId xmlns:a16="http://schemas.microsoft.com/office/drawing/2014/main" id="{92271E76-4569-7E6D-4AC4-D43F24524C34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Z$4:$Z$8" spid="_x0000_s114995"/>
                </a:ext>
              </a:extLst>
            </xdr:cNvPicPr>
          </xdr:nvPicPr>
          <xdr:blipFill>
            <a:blip xmlns:r="http://schemas.openxmlformats.org/officeDocument/2006/relationships" r:embed="rId24"/>
            <a:srcRect/>
            <a:stretch>
              <a:fillRect/>
            </a:stretch>
          </xdr:blipFill>
          <xdr:spPr bwMode="auto">
            <a:xfrm>
              <a:off x="19198435" y="1553268"/>
              <a:ext cx="2520000" cy="186145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2951</xdr:colOff>
          <xdr:row>8</xdr:row>
          <xdr:rowOff>56482</xdr:rowOff>
        </xdr:from>
        <xdr:to>
          <xdr:col>15</xdr:col>
          <xdr:colOff>226746</xdr:colOff>
          <xdr:row>18</xdr:row>
          <xdr:rowOff>147197</xdr:rowOff>
        </xdr:to>
        <xdr:pic>
          <xdr:nvPicPr>
            <xdr:cNvPr id="43" name="Image 42">
              <a:extLst>
                <a:ext uri="{FF2B5EF4-FFF2-40B4-BE49-F238E27FC236}">
                  <a16:creationId xmlns:a16="http://schemas.microsoft.com/office/drawing/2014/main" id="{91DD793E-A22F-B9FB-9B5D-B64AC73F9A9A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B$4:$AB$8" spid="_x0000_s114996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656969" y="1553268"/>
              <a:ext cx="2520000" cy="196169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31</xdr:col>
      <xdr:colOff>500380</xdr:colOff>
      <xdr:row>5</xdr:row>
      <xdr:rowOff>165046</xdr:rowOff>
    </xdr:from>
    <xdr:to>
      <xdr:col>46</xdr:col>
      <xdr:colOff>546085</xdr:colOff>
      <xdr:row>76</xdr:row>
      <xdr:rowOff>103099</xdr:rowOff>
    </xdr:to>
    <xdr:sp macro="" textlink="">
      <xdr:nvSpPr>
        <xdr:cNvPr id="45" name="Rectangle : coins arrondis 44">
          <a:extLst>
            <a:ext uri="{FF2B5EF4-FFF2-40B4-BE49-F238E27FC236}">
              <a16:creationId xmlns:a16="http://schemas.microsoft.com/office/drawing/2014/main" id="{BDCB0998-DD55-9AB7-5D74-CA57373F6EB6}"/>
            </a:ext>
          </a:extLst>
        </xdr:cNvPr>
        <xdr:cNvSpPr/>
      </xdr:nvSpPr>
      <xdr:spPr>
        <a:xfrm>
          <a:off x="22063359" y="1077014"/>
          <a:ext cx="11597300" cy="12888000"/>
        </a:xfrm>
        <a:prstGeom prst="roundRect">
          <a:avLst>
            <a:gd name="adj" fmla="val 671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/>
            <a:t>Répartition</a:t>
          </a:r>
          <a:r>
            <a:rPr lang="fr-FR" sz="1800" baseline="0"/>
            <a:t> des leviers d'engagement</a:t>
          </a:r>
          <a:endParaRPr lang="fr-FR" sz="1800"/>
        </a:p>
      </xdr:txBody>
    </xdr:sp>
    <xdr:clientData/>
  </xdr:twoCellAnchor>
  <xdr:twoCellAnchor>
    <xdr:from>
      <xdr:col>32</xdr:col>
      <xdr:colOff>715671</xdr:colOff>
      <xdr:row>9</xdr:row>
      <xdr:rowOff>126371</xdr:rowOff>
    </xdr:from>
    <xdr:to>
      <xdr:col>45</xdr:col>
      <xdr:colOff>330794</xdr:colOff>
      <xdr:row>41</xdr:row>
      <xdr:rowOff>99903</xdr:rowOff>
    </xdr:to>
    <xdr:graphicFrame macro="">
      <xdr:nvGraphicFramePr>
        <xdr:cNvPr id="25" name="Graphique 24">
          <a:extLst>
            <a:ext uri="{FF2B5EF4-FFF2-40B4-BE49-F238E27FC236}">
              <a16:creationId xmlns:a16="http://schemas.microsoft.com/office/drawing/2014/main" id="{A1F03263-4B84-462E-9425-D184B1236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202659</xdr:colOff>
      <xdr:row>39</xdr:row>
      <xdr:rowOff>2739</xdr:rowOff>
    </xdr:from>
    <xdr:to>
      <xdr:col>5</xdr:col>
      <xdr:colOff>532659</xdr:colOff>
      <xdr:row>69</xdr:row>
      <xdr:rowOff>22683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Actions">
              <a:extLst>
                <a:ext uri="{FF2B5EF4-FFF2-40B4-BE49-F238E27FC236}">
                  <a16:creationId xmlns:a16="http://schemas.microsoft.com/office/drawing/2014/main" id="{7A61D56D-D215-40E8-A76B-FD9EDA22DF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ction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2659" y="7251032"/>
              <a:ext cx="4163232" cy="55955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202659</xdr:colOff>
      <xdr:row>27</xdr:row>
      <xdr:rowOff>24349</xdr:rowOff>
    </xdr:from>
    <xdr:to>
      <xdr:col>5</xdr:col>
      <xdr:colOff>532659</xdr:colOff>
      <xdr:row>38</xdr:row>
      <xdr:rowOff>91784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Niveau 1">
              <a:extLst>
                <a:ext uri="{FF2B5EF4-FFF2-40B4-BE49-F238E27FC236}">
                  <a16:creationId xmlns:a16="http://schemas.microsoft.com/office/drawing/2014/main" id="{2EC4E04E-0815-4052-89AE-521C355833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au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2659" y="5042398"/>
              <a:ext cx="4163232" cy="2111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379084</xdr:colOff>
      <xdr:row>0</xdr:row>
      <xdr:rowOff>136070</xdr:rowOff>
    </xdr:from>
    <xdr:to>
      <xdr:col>5</xdr:col>
      <xdr:colOff>163285</xdr:colOff>
      <xdr:row>10</xdr:row>
      <xdr:rowOff>11681</xdr:rowOff>
    </xdr:to>
    <xdr:pic>
      <xdr:nvPicPr>
        <xdr:cNvPr id="5" name="Graphique 3">
          <a:extLst>
            <a:ext uri="{FF2B5EF4-FFF2-40B4-BE49-F238E27FC236}">
              <a16:creationId xmlns:a16="http://schemas.microsoft.com/office/drawing/2014/main" id="{A7571D57-B830-8712-7180-E4ADEE0C9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xmlns="" r:embed="rId28"/>
            </a:ext>
          </a:extLst>
        </a:blip>
        <a:srcRect l="8413" t="11322" r="8894" b="9519"/>
        <a:stretch/>
      </xdr:blipFill>
      <xdr:spPr>
        <a:xfrm>
          <a:off x="379084" y="136070"/>
          <a:ext cx="3594201" cy="17806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592113</xdr:colOff>
          <xdr:row>8</xdr:row>
          <xdr:rowOff>56482</xdr:rowOff>
        </xdr:from>
        <xdr:to>
          <xdr:col>19</xdr:col>
          <xdr:colOff>50506</xdr:colOff>
          <xdr:row>14</xdr:row>
          <xdr:rowOff>123157</xdr:rowOff>
        </xdr:to>
        <xdr:pic>
          <xdr:nvPicPr>
            <xdr:cNvPr id="53" name="Image 52">
              <a:extLst>
                <a:ext uri="{FF2B5EF4-FFF2-40B4-BE49-F238E27FC236}">
                  <a16:creationId xmlns:a16="http://schemas.microsoft.com/office/drawing/2014/main" id="{77A34FA7-1965-2D79-D95D-6EC1F2F3EBB9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D$4:$AD$6" spid="_x0000_s114997"/>
                </a:ext>
              </a:extLst>
            </xdr:cNvPicPr>
          </xdr:nvPicPr>
          <xdr:blipFill>
            <a:blip xmlns:r="http://schemas.openxmlformats.org/officeDocument/2006/relationships" r:embed="rId29"/>
            <a:srcRect/>
            <a:stretch>
              <a:fillRect/>
            </a:stretch>
          </xdr:blipFill>
          <xdr:spPr bwMode="auto">
            <a:xfrm>
              <a:off x="10542336" y="1553268"/>
              <a:ext cx="2520000" cy="118926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415873</xdr:colOff>
          <xdr:row>8</xdr:row>
          <xdr:rowOff>56482</xdr:rowOff>
        </xdr:from>
        <xdr:to>
          <xdr:col>22</xdr:col>
          <xdr:colOff>639667</xdr:colOff>
          <xdr:row>14</xdr:row>
          <xdr:rowOff>70499</xdr:rowOff>
        </xdr:to>
        <xdr:pic>
          <xdr:nvPicPr>
            <xdr:cNvPr id="11" name="Image 10">
              <a:extLst>
                <a:ext uri="{FF2B5EF4-FFF2-40B4-BE49-F238E27FC236}">
                  <a16:creationId xmlns:a16="http://schemas.microsoft.com/office/drawing/2014/main" id="{551E45A2-5796-7D48-46FB-35ABC5C0A323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F$4:$AF$6" spid="_x0000_s114998"/>
                </a:ext>
              </a:extLst>
            </xdr:cNvPicPr>
          </xdr:nvPicPr>
          <xdr:blipFill>
            <a:blip xmlns:r="http://schemas.openxmlformats.org/officeDocument/2006/relationships" r:embed="rId30"/>
            <a:srcRect/>
            <a:stretch>
              <a:fillRect/>
            </a:stretch>
          </xdr:blipFill>
          <xdr:spPr bwMode="auto">
            <a:xfrm>
              <a:off x="13427703" y="1553268"/>
              <a:ext cx="2520000" cy="11366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7</xdr:col>
      <xdr:colOff>180929</xdr:colOff>
      <xdr:row>61</xdr:row>
      <xdr:rowOff>181927</xdr:rowOff>
    </xdr:from>
    <xdr:to>
      <xdr:col>11</xdr:col>
      <xdr:colOff>278579</xdr:colOff>
      <xdr:row>76</xdr:row>
      <xdr:rowOff>132201</xdr:rowOff>
    </xdr:to>
    <xdr:sp macro="" textlink="">
      <xdr:nvSpPr>
        <xdr:cNvPr id="46" name="Rectangle : coins arrondis 45">
          <a:extLst>
            <a:ext uri="{FF2B5EF4-FFF2-40B4-BE49-F238E27FC236}">
              <a16:creationId xmlns:a16="http://schemas.microsoft.com/office/drawing/2014/main" id="{BD7E9B3D-44B3-A1AD-E50D-5F92727CFA8F}"/>
            </a:ext>
          </a:extLst>
        </xdr:cNvPr>
        <xdr:cNvSpPr/>
      </xdr:nvSpPr>
      <xdr:spPr>
        <a:xfrm>
          <a:off x="3261355" y="11307938"/>
          <a:ext cx="3178075" cy="2686178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cap="all" baseline="0"/>
            <a:t>H</a:t>
          </a:r>
          <a:r>
            <a:rPr lang="fr-FR" sz="1600" cap="none" baseline="0"/>
            <a:t>ausse de la rentabilité après amortissement des immobilisations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239630</xdr:colOff>
          <xdr:row>64</xdr:row>
          <xdr:rowOff>103432</xdr:rowOff>
        </xdr:from>
        <xdr:to>
          <xdr:col>26</xdr:col>
          <xdr:colOff>463425</xdr:colOff>
          <xdr:row>74</xdr:row>
          <xdr:rowOff>173707</xdr:rowOff>
        </xdr:to>
        <xdr:pic>
          <xdr:nvPicPr>
            <xdr:cNvPr id="55" name="Image 54">
              <a:extLst>
                <a:ext uri="{FF2B5EF4-FFF2-40B4-BE49-F238E27FC236}">
                  <a16:creationId xmlns:a16="http://schemas.microsoft.com/office/drawing/2014/main" id="{30C8BC1B-CC24-9665-7779-B9B01CABFF10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P$4:$AP$8" spid="_x0000_s114999"/>
                </a:ext>
              </a:extLst>
            </xdr:cNvPicPr>
          </xdr:nvPicPr>
          <xdr:blipFill>
            <a:blip xmlns:r="http://schemas.openxmlformats.org/officeDocument/2006/relationships" r:embed="rId31"/>
            <a:srcRect/>
            <a:stretch>
              <a:fillRect/>
            </a:stretch>
          </xdr:blipFill>
          <xdr:spPr bwMode="auto">
            <a:xfrm>
              <a:off x="17906969" y="11902142"/>
              <a:ext cx="2528230" cy="191382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63390</xdr:colOff>
          <xdr:row>64</xdr:row>
          <xdr:rowOff>103432</xdr:rowOff>
        </xdr:from>
        <xdr:to>
          <xdr:col>30</xdr:col>
          <xdr:colOff>287185</xdr:colOff>
          <xdr:row>74</xdr:row>
          <xdr:rowOff>173707</xdr:rowOff>
        </xdr:to>
        <xdr:pic>
          <xdr:nvPicPr>
            <xdr:cNvPr id="21" name="Image 20">
              <a:extLst>
                <a:ext uri="{FF2B5EF4-FFF2-40B4-BE49-F238E27FC236}">
                  <a16:creationId xmlns:a16="http://schemas.microsoft.com/office/drawing/2014/main" id="{E925C6B4-36C6-BF11-CF1D-4365B956E518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AX$4:$AX$8" spid="_x0000_s115000"/>
                </a:ext>
              </a:extLst>
            </xdr:cNvPicPr>
          </xdr:nvPicPr>
          <xdr:blipFill>
            <a:blip xmlns:r="http://schemas.openxmlformats.org/officeDocument/2006/relationships" r:embed="rId32"/>
            <a:srcRect/>
            <a:stretch>
              <a:fillRect/>
            </a:stretch>
          </xdr:blipFill>
          <xdr:spPr bwMode="auto">
            <a:xfrm>
              <a:off x="20803309" y="11902142"/>
              <a:ext cx="2528231" cy="191382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6</xdr:col>
      <xdr:colOff>121594</xdr:colOff>
      <xdr:row>79</xdr:row>
      <xdr:rowOff>82613</xdr:rowOff>
    </xdr:from>
    <xdr:to>
      <xdr:col>47</xdr:col>
      <xdr:colOff>47232</xdr:colOff>
      <xdr:row>95</xdr:row>
      <xdr:rowOff>166613</xdr:rowOff>
    </xdr:to>
    <xdr:sp macro="" textlink="">
      <xdr:nvSpPr>
        <xdr:cNvPr id="59" name="Rectangle : coins arrondis 58">
          <a:extLst>
            <a:ext uri="{FF2B5EF4-FFF2-40B4-BE49-F238E27FC236}">
              <a16:creationId xmlns:a16="http://schemas.microsoft.com/office/drawing/2014/main" id="{A1ACC022-8F76-6C34-7C6F-7CE8C8EC7692}"/>
            </a:ext>
          </a:extLst>
        </xdr:cNvPr>
        <xdr:cNvSpPr/>
      </xdr:nvSpPr>
      <xdr:spPr>
        <a:xfrm>
          <a:off x="4725344" y="14714071"/>
          <a:ext cx="31384596" cy="3047334"/>
        </a:xfrm>
        <a:prstGeom prst="roundRect">
          <a:avLst>
            <a:gd name="adj" fmla="val 6410"/>
          </a:avLst>
        </a:prstGeom>
        <a:solidFill>
          <a:srgbClr val="34303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Notice</a:t>
          </a:r>
        </a:p>
      </xdr:txBody>
    </xdr:sp>
    <xdr:clientData/>
  </xdr:twoCellAnchor>
  <xdr:twoCellAnchor>
    <xdr:from>
      <xdr:col>7</xdr:col>
      <xdr:colOff>185161</xdr:colOff>
      <xdr:row>80</xdr:row>
      <xdr:rowOff>181184</xdr:rowOff>
    </xdr:from>
    <xdr:to>
      <xdr:col>18</xdr:col>
      <xdr:colOff>577606</xdr:colOff>
      <xdr:row>94</xdr:row>
      <xdr:rowOff>34184</xdr:rowOff>
    </xdr:to>
    <xdr:sp macro="" textlink="">
      <xdr:nvSpPr>
        <xdr:cNvPr id="61" name="Rectangle : coins arrondis 60">
          <a:extLst>
            <a:ext uri="{FF2B5EF4-FFF2-40B4-BE49-F238E27FC236}">
              <a16:creationId xmlns:a16="http://schemas.microsoft.com/office/drawing/2014/main" id="{A34AC293-1D58-7982-3FFD-70881D3D5580}"/>
            </a:ext>
          </a:extLst>
        </xdr:cNvPr>
        <xdr:cNvSpPr/>
      </xdr:nvSpPr>
      <xdr:spPr>
        <a:xfrm>
          <a:off x="5519161" y="15421184"/>
          <a:ext cx="8774445" cy="2520000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Que</a:t>
          </a:r>
          <a:r>
            <a:rPr lang="fr-FR" sz="1800" b="1" baseline="0"/>
            <a:t> signifient les niveaux 1, 2, 3, 4 et "personnalisé" ?</a:t>
          </a:r>
        </a:p>
        <a:p>
          <a:pPr algn="l"/>
          <a:r>
            <a:rPr lang="fr-FR" sz="1800" baseline="0"/>
            <a:t>Il s'agit de différents niveaux d'engagement pour l'entreprise. Le niveau 1 regroupe les actions les moins coûteuses et jugées comme étant relativement simples à mettre en place. Puis, de niveau en niveau, les actions se multiplient et, avec elles, leur degré de difficulté.</a:t>
          </a:r>
        </a:p>
        <a:p>
          <a:pPr algn="l"/>
          <a:endParaRPr lang="fr-FR" sz="1800" baseline="0"/>
        </a:p>
        <a:p>
          <a:pPr algn="l"/>
          <a:r>
            <a:rPr lang="fr-FR" sz="1800" baseline="0"/>
            <a:t>Le </a:t>
          </a:r>
          <a:r>
            <a:rPr lang="fr-FR" sz="1800" b="1" baseline="0"/>
            <a:t>niveau personnalisé </a:t>
          </a:r>
          <a:r>
            <a:rPr lang="fr-FR" sz="1800" baseline="0"/>
            <a:t>vous laisse la possibilité de sélectionner vous-mêmes les actions que vous souhaitez mettre en oeuvre, indépendamment des niveaux pré-établis. </a:t>
          </a:r>
          <a:endParaRPr lang="fr-FR" sz="1800"/>
        </a:p>
      </xdr:txBody>
    </xdr:sp>
    <xdr:clientData/>
  </xdr:twoCellAnchor>
  <xdr:twoCellAnchor>
    <xdr:from>
      <xdr:col>19</xdr:col>
      <xdr:colOff>141310</xdr:colOff>
      <xdr:row>80</xdr:row>
      <xdr:rowOff>181184</xdr:rowOff>
    </xdr:from>
    <xdr:to>
      <xdr:col>30</xdr:col>
      <xdr:colOff>533756</xdr:colOff>
      <xdr:row>94</xdr:row>
      <xdr:rowOff>34184</xdr:rowOff>
    </xdr:to>
    <xdr:sp macro="" textlink="">
      <xdr:nvSpPr>
        <xdr:cNvPr id="65" name="Rectangle : coins arrondis 64">
          <a:extLst>
            <a:ext uri="{FF2B5EF4-FFF2-40B4-BE49-F238E27FC236}">
              <a16:creationId xmlns:a16="http://schemas.microsoft.com/office/drawing/2014/main" id="{0E96123E-7FE3-DEBA-8192-0020047BDB90}"/>
            </a:ext>
          </a:extLst>
        </xdr:cNvPr>
        <xdr:cNvSpPr/>
      </xdr:nvSpPr>
      <xdr:spPr>
        <a:xfrm>
          <a:off x="14619310" y="15421184"/>
          <a:ext cx="8774446" cy="2520000"/>
        </a:xfrm>
        <a:prstGeom prst="roundRect">
          <a:avLst>
            <a:gd name="adj" fmla="val 1877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 b="1"/>
            <a:t>Que</a:t>
          </a:r>
          <a:r>
            <a:rPr lang="fr-FR" sz="1800" b="1" baseline="0"/>
            <a:t> signifient les niveaux "Modéré", "Intense" et "Très intense" ?</a:t>
          </a:r>
        </a:p>
        <a:p>
          <a:pPr algn="l"/>
          <a:r>
            <a:rPr lang="fr-FR" sz="1800" baseline="0"/>
            <a:t>Il s'agit de différents niveaux d'activité physique classés. Ces niveaux sont établis à partir de l'équivalent métabolique (MET), unité mesurant la dépense énergétique associée à une activité. L'échelle utilisée dans l'étude correspond au MET multiplié par le nombre d'heures de pratique par semaine :</a:t>
          </a:r>
        </a:p>
        <a:p>
          <a:pPr algn="l"/>
          <a:r>
            <a:rPr lang="fr-FR" sz="1800" baseline="0"/>
            <a:t>APS modérée = 7,5 METs (exemple : Jogging léger, 1h / semaine)</a:t>
          </a:r>
        </a:p>
        <a:p>
          <a:pPr algn="l"/>
          <a:r>
            <a:rPr lang="fr-FR" sz="1800" baseline="0"/>
            <a:t>APS intense = 15 METs (exemple : Natation modérée, 2h / semaine)</a:t>
          </a:r>
        </a:p>
        <a:p>
          <a:pPr algn="l"/>
          <a:r>
            <a:rPr lang="fr-FR" sz="1800" baseline="0"/>
            <a:t>APS très intense = 30 METs (exemple : Football intense, 3h / semaine)</a:t>
          </a:r>
          <a:endParaRPr lang="fr-FR" sz="1800"/>
        </a:p>
      </xdr:txBody>
    </xdr:sp>
    <xdr:clientData/>
  </xdr:twoCellAnchor>
  <xdr:twoCellAnchor>
    <xdr:from>
      <xdr:col>7</xdr:col>
      <xdr:colOff>533731</xdr:colOff>
      <xdr:row>65</xdr:row>
      <xdr:rowOff>81068</xdr:rowOff>
    </xdr:from>
    <xdr:to>
      <xdr:col>10</xdr:col>
      <xdr:colOff>696612</xdr:colOff>
      <xdr:row>76</xdr:row>
      <xdr:rowOff>69138</xdr:rowOff>
    </xdr:to>
    <xdr:graphicFrame macro="">
      <xdr:nvGraphicFramePr>
        <xdr:cNvPr id="58" name="Graphique 57">
          <a:extLst>
            <a:ext uri="{FF2B5EF4-FFF2-40B4-BE49-F238E27FC236}">
              <a16:creationId xmlns:a16="http://schemas.microsoft.com/office/drawing/2014/main" id="{25EEA90C-6AF8-452B-97A8-20B60C8A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31</xdr:col>
      <xdr:colOff>500380</xdr:colOff>
      <xdr:row>1</xdr:row>
      <xdr:rowOff>143139</xdr:rowOff>
    </xdr:from>
    <xdr:to>
      <xdr:col>46</xdr:col>
      <xdr:colOff>546887</xdr:colOff>
      <xdr:row>4</xdr:row>
      <xdr:rowOff>95692</xdr:rowOff>
    </xdr:to>
    <xdr:sp macro="" textlink="">
      <xdr:nvSpPr>
        <xdr:cNvPr id="64" name="Rectangle : coins arrondis 63">
          <a:extLst>
            <a:ext uri="{FF2B5EF4-FFF2-40B4-BE49-F238E27FC236}">
              <a16:creationId xmlns:a16="http://schemas.microsoft.com/office/drawing/2014/main" id="{1C4A2649-391B-0E51-B190-6544473075D8}"/>
            </a:ext>
          </a:extLst>
        </xdr:cNvPr>
        <xdr:cNvSpPr/>
      </xdr:nvSpPr>
      <xdr:spPr>
        <a:xfrm>
          <a:off x="22063359" y="325533"/>
          <a:ext cx="11598102" cy="499733"/>
        </a:xfrm>
        <a:prstGeom prst="roundRect">
          <a:avLst>
            <a:gd name="adj" fmla="val 1877"/>
          </a:avLst>
        </a:prstGeom>
        <a:gradFill>
          <a:gsLst>
            <a:gs pos="0">
              <a:schemeClr val="bg1">
                <a:lumMod val="50000"/>
              </a:schemeClr>
            </a:gs>
            <a:gs pos="100000">
              <a:schemeClr val="bg1">
                <a:lumMod val="85000"/>
              </a:schemeClr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Incitations créées</a:t>
          </a:r>
        </a:p>
      </xdr:txBody>
    </xdr:sp>
    <xdr:clientData/>
  </xdr:twoCellAnchor>
  <xdr:twoCellAnchor>
    <xdr:from>
      <xdr:col>31</xdr:col>
      <xdr:colOff>584841</xdr:colOff>
      <xdr:row>42</xdr:row>
      <xdr:rowOff>153754</xdr:rowOff>
    </xdr:from>
    <xdr:to>
      <xdr:col>41</xdr:col>
      <xdr:colOff>83777</xdr:colOff>
      <xdr:row>45</xdr:row>
      <xdr:rowOff>40550</xdr:rowOff>
    </xdr:to>
    <xdr:sp macro="" textlink="Bases_annexes!C199">
      <xdr:nvSpPr>
        <xdr:cNvPr id="49" name="ZoneTexte 48">
          <a:extLst>
            <a:ext uri="{FF2B5EF4-FFF2-40B4-BE49-F238E27FC236}">
              <a16:creationId xmlns:a16="http://schemas.microsoft.com/office/drawing/2014/main" id="{DC84E718-380A-6893-0E58-1310E79DD5C9}"/>
            </a:ext>
          </a:extLst>
        </xdr:cNvPr>
        <xdr:cNvSpPr txBox="1"/>
      </xdr:nvSpPr>
      <xdr:spPr>
        <a:xfrm>
          <a:off x="22147820" y="7814286"/>
          <a:ext cx="7200000" cy="433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6B0E8F79-E46C-4FBF-867E-57CBBB10EEEC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/>
            <a:t>En sélectionnant le niveau 1, votre entreprise agît sur :</a:t>
          </a:fld>
          <a:endParaRPr lang="fr-FR" sz="2000" b="0" i="0" u="none" strike="noStrike">
            <a:solidFill>
              <a:schemeClr val="bg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31</xdr:col>
      <xdr:colOff>609534</xdr:colOff>
      <xdr:row>47</xdr:row>
      <xdr:rowOff>3425</xdr:rowOff>
    </xdr:from>
    <xdr:to>
      <xdr:col>46</xdr:col>
      <xdr:colOff>399377</xdr:colOff>
      <xdr:row>51</xdr:row>
      <xdr:rowOff>11627</xdr:rowOff>
    </xdr:to>
    <xdr:sp macro="" textlink="Bases_annexes!C201">
      <xdr:nvSpPr>
        <xdr:cNvPr id="50" name="ZoneTexte 49">
          <a:extLst>
            <a:ext uri="{FF2B5EF4-FFF2-40B4-BE49-F238E27FC236}">
              <a16:creationId xmlns:a16="http://schemas.microsoft.com/office/drawing/2014/main" id="{495AFC5A-8CDC-3977-AC55-AABE68EEADCA}"/>
            </a:ext>
          </a:extLst>
        </xdr:cNvPr>
        <xdr:cNvSpPr txBox="1"/>
      </xdr:nvSpPr>
      <xdr:spPr>
        <a:xfrm>
          <a:off x="22885744" y="8668102"/>
          <a:ext cx="11312020" cy="745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41C66BA8-FE22-4A7F-9A7A-98F58E3570C7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/>
            <a:t>•  la Motivation (43%), qui désigne l'expression du désir d'un individu de pratiquer une activité ou de changer de comportement.</a:t>
          </a:fld>
          <a:endParaRPr lang="fr-FR" sz="2000" b="0" i="0" u="none" strike="noStrike">
            <a:solidFill>
              <a:schemeClr val="bg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31</xdr:col>
      <xdr:colOff>609534</xdr:colOff>
      <xdr:row>52</xdr:row>
      <xdr:rowOff>121213</xdr:rowOff>
    </xdr:from>
    <xdr:to>
      <xdr:col>46</xdr:col>
      <xdr:colOff>400441</xdr:colOff>
      <xdr:row>56</xdr:row>
      <xdr:rowOff>136858</xdr:rowOff>
    </xdr:to>
    <xdr:sp macro="" textlink="Bases_annexes!C203">
      <xdr:nvSpPr>
        <xdr:cNvPr id="51" name="ZoneTexte 50">
          <a:extLst>
            <a:ext uri="{FF2B5EF4-FFF2-40B4-BE49-F238E27FC236}">
              <a16:creationId xmlns:a16="http://schemas.microsoft.com/office/drawing/2014/main" id="{38D9F3C5-1EE1-8A38-7E57-BC94FC930F86}"/>
            </a:ext>
          </a:extLst>
        </xdr:cNvPr>
        <xdr:cNvSpPr txBox="1"/>
      </xdr:nvSpPr>
      <xdr:spPr>
        <a:xfrm>
          <a:off x="22885744" y="9707665"/>
          <a:ext cx="11313084" cy="7530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C762F48B-36C1-486B-ABF6-D7ED704F6FC6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Calibri"/>
            </a:rPr>
            <a:pPr marL="0" indent="0"/>
            <a:t>•  la Capacité (43%), qui désigne l'aptitude d'un individu à pratiquer une activité ou à changer de comportement, ce qui inclut les capacités physiques, les connaissances et les compétences nécessaires.</a:t>
          </a:fld>
          <a:endParaRPr lang="fr-FR" sz="2000" b="0" i="0" u="none" strike="noStrike">
            <a:solidFill>
              <a:schemeClr val="bg1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31</xdr:col>
      <xdr:colOff>609534</xdr:colOff>
      <xdr:row>58</xdr:row>
      <xdr:rowOff>62089</xdr:rowOff>
    </xdr:from>
    <xdr:to>
      <xdr:col>46</xdr:col>
      <xdr:colOff>400441</xdr:colOff>
      <xdr:row>62</xdr:row>
      <xdr:rowOff>68663</xdr:rowOff>
    </xdr:to>
    <xdr:sp macro="" textlink="Bases_annexes!C205">
      <xdr:nvSpPr>
        <xdr:cNvPr id="52" name="ZoneTexte 51">
          <a:extLst>
            <a:ext uri="{FF2B5EF4-FFF2-40B4-BE49-F238E27FC236}">
              <a16:creationId xmlns:a16="http://schemas.microsoft.com/office/drawing/2014/main" id="{9C129E21-A80F-9CF3-873B-184D116FFFC2}"/>
            </a:ext>
          </a:extLst>
        </xdr:cNvPr>
        <xdr:cNvSpPr txBox="1"/>
      </xdr:nvSpPr>
      <xdr:spPr>
        <a:xfrm>
          <a:off x="22885744" y="10754670"/>
          <a:ext cx="11313084" cy="74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F3F7808-B068-4CFD-B698-2A41CC66D0D9}" type="TxLink">
            <a:rPr lang="en-US" sz="20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•  l'Opportunité (14%), qui recouvre les facteurs externes (environnementaux, sociaux) qui permettent ou motivent le comportement.</a:t>
          </a:fld>
          <a:endParaRPr lang="fr-FR" sz="3200">
            <a:solidFill>
              <a:schemeClr val="bg1"/>
            </a:solidFill>
          </a:endParaRPr>
        </a:p>
      </xdr:txBody>
    </xdr:sp>
    <xdr:clientData/>
  </xdr:twoCellAnchor>
  <xdr:twoCellAnchor>
    <xdr:from>
      <xdr:col>41</xdr:col>
      <xdr:colOff>561335</xdr:colOff>
      <xdr:row>84</xdr:row>
      <xdr:rowOff>46035</xdr:rowOff>
    </xdr:from>
    <xdr:to>
      <xdr:col>46</xdr:col>
      <xdr:colOff>446900</xdr:colOff>
      <xdr:row>91</xdr:row>
      <xdr:rowOff>17984</xdr:rowOff>
    </xdr:to>
    <xdr:grpSp>
      <xdr:nvGrpSpPr>
        <xdr:cNvPr id="56" name="Groupe 5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AD41B5DC-517E-04C1-2675-E9387A587006}"/>
            </a:ext>
          </a:extLst>
        </xdr:cNvPr>
        <xdr:cNvGrpSpPr/>
      </xdr:nvGrpSpPr>
      <xdr:grpSpPr>
        <a:xfrm>
          <a:off x="31534007" y="16599828"/>
          <a:ext cx="3662721" cy="1351432"/>
          <a:chOff x="30385909" y="14925839"/>
          <a:chExt cx="3740922" cy="1229469"/>
        </a:xfrm>
        <a:gradFill>
          <a:gsLst>
            <a:gs pos="14000">
              <a:srgbClr val="13007C"/>
            </a:gs>
            <a:gs pos="100000">
              <a:srgbClr val="FC001B"/>
            </a:gs>
          </a:gsLst>
          <a:lin ang="0" scaled="1"/>
        </a:gradFill>
      </xdr:grpSpPr>
      <xdr:sp macro="" textlink="">
        <xdr:nvSpPr>
          <xdr:cNvPr id="44" name="Rectangle 43">
            <a:hlinkClick xmlns:r="http://schemas.openxmlformats.org/officeDocument/2006/relationships" r:id="rId34"/>
            <a:extLst>
              <a:ext uri="{FF2B5EF4-FFF2-40B4-BE49-F238E27FC236}">
                <a16:creationId xmlns:a16="http://schemas.microsoft.com/office/drawing/2014/main" id="{2A30EFB6-E888-5D1C-158A-562E55362C05}"/>
              </a:ext>
            </a:extLst>
          </xdr:cNvPr>
          <xdr:cNvSpPr/>
        </xdr:nvSpPr>
        <xdr:spPr>
          <a:xfrm>
            <a:off x="30385909" y="15077003"/>
            <a:ext cx="2617531" cy="92714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fr-FR" sz="2000" b="1"/>
              <a:t>En</a:t>
            </a:r>
            <a:r>
              <a:rPr lang="fr-FR" sz="2000" b="1" baseline="0"/>
              <a:t> savoir plus sur les coûts induits</a:t>
            </a:r>
            <a:endParaRPr lang="fr-FR" sz="2000" b="1"/>
          </a:p>
        </xdr:txBody>
      </xdr:sp>
      <xdr:sp macro="" textlink="">
        <xdr:nvSpPr>
          <xdr:cNvPr id="47" name="Flèche : chevron 46">
            <a:extLst>
              <a:ext uri="{FF2B5EF4-FFF2-40B4-BE49-F238E27FC236}">
                <a16:creationId xmlns:a16="http://schemas.microsoft.com/office/drawing/2014/main" id="{2779DACB-2026-A11C-AC6B-5DD36A9B620A}"/>
              </a:ext>
            </a:extLst>
          </xdr:cNvPr>
          <xdr:cNvSpPr/>
        </xdr:nvSpPr>
        <xdr:spPr>
          <a:xfrm>
            <a:off x="32516459" y="14925839"/>
            <a:ext cx="1004400" cy="1229469"/>
          </a:xfrm>
          <a:prstGeom prst="chevron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>
              <a:solidFill>
                <a:schemeClr val="tx1"/>
              </a:solidFill>
            </a:endParaRPr>
          </a:p>
        </xdr:txBody>
      </xdr:sp>
      <xdr:sp macro="" textlink="">
        <xdr:nvSpPr>
          <xdr:cNvPr id="54" name="Flèche : chevron 53">
            <a:extLst>
              <a:ext uri="{FF2B5EF4-FFF2-40B4-BE49-F238E27FC236}">
                <a16:creationId xmlns:a16="http://schemas.microsoft.com/office/drawing/2014/main" id="{C86ACE7C-CCFF-4BBB-92BB-CA6E9D968317}"/>
              </a:ext>
            </a:extLst>
          </xdr:cNvPr>
          <xdr:cNvSpPr/>
        </xdr:nvSpPr>
        <xdr:spPr>
          <a:xfrm>
            <a:off x="33122431" y="14925839"/>
            <a:ext cx="1004400" cy="1229469"/>
          </a:xfrm>
          <a:prstGeom prst="chevron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31</xdr:col>
      <xdr:colOff>609534</xdr:colOff>
      <xdr:row>63</xdr:row>
      <xdr:rowOff>178249</xdr:rowOff>
    </xdr:from>
    <xdr:to>
      <xdr:col>46</xdr:col>
      <xdr:colOff>400441</xdr:colOff>
      <xdr:row>68</xdr:row>
      <xdr:rowOff>468</xdr:rowOff>
    </xdr:to>
    <xdr:sp macro="" textlink="Bases_annexes!C205">
      <xdr:nvSpPr>
        <xdr:cNvPr id="57" name="ZoneTexte 56">
          <a:extLst>
            <a:ext uri="{FF2B5EF4-FFF2-40B4-BE49-F238E27FC236}">
              <a16:creationId xmlns:a16="http://schemas.microsoft.com/office/drawing/2014/main" id="{5A4F16E8-B6A9-F056-605A-C501457BEA3C}"/>
            </a:ext>
          </a:extLst>
        </xdr:cNvPr>
        <xdr:cNvSpPr txBox="1"/>
      </xdr:nvSpPr>
      <xdr:spPr>
        <a:xfrm>
          <a:off x="23956860" y="12737958"/>
          <a:ext cx="11088000" cy="819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0" i="0" u="none" strike="noStrike">
              <a:solidFill>
                <a:schemeClr val="bg1"/>
              </a:solidFill>
              <a:latin typeface="Calibri"/>
              <a:cs typeface="Calibri"/>
            </a:rPr>
            <a:t>En savoir plus :</a:t>
          </a:r>
          <a:endParaRPr lang="en-US" sz="2000" b="0" i="0" u="none" strike="noStrike" baseline="0">
            <a:solidFill>
              <a:schemeClr val="bg1"/>
            </a:solidFill>
            <a:latin typeface="Calibri"/>
            <a:cs typeface="Calibri"/>
          </a:endParaRPr>
        </a:p>
        <a:p>
          <a:r>
            <a:rPr lang="fr-FR" sz="2000">
              <a:hlinkClick xmlns:r="http://schemas.openxmlformats.org/officeDocument/2006/relationships" r:id=""/>
            </a:rPr>
            <a:t>Office-based physical activity: mapping a social ecological model approach against COM-B - PMC (nih.gov)</a:t>
          </a:r>
          <a:endParaRPr lang="fr-FR" sz="20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652557</xdr:colOff>
      <xdr:row>35</xdr:row>
      <xdr:rowOff>1283</xdr:rowOff>
    </xdr:from>
    <xdr:to>
      <xdr:col>24</xdr:col>
      <xdr:colOff>157926</xdr:colOff>
      <xdr:row>36</xdr:row>
      <xdr:rowOff>141652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6433858F-210B-DB70-4775-6C5DF0F2A70C}"/>
            </a:ext>
          </a:extLst>
        </xdr:cNvPr>
        <xdr:cNvSpPr txBox="1"/>
      </xdr:nvSpPr>
      <xdr:spPr>
        <a:xfrm>
          <a:off x="6748557" y="6668783"/>
          <a:ext cx="11697369" cy="3308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1200">
              <a:solidFill>
                <a:schemeClr val="bg1"/>
              </a:solidFill>
            </a:rPr>
            <a:t>Note</a:t>
          </a:r>
          <a:r>
            <a:rPr lang="fr-FR" sz="1200" baseline="0">
              <a:solidFill>
                <a:schemeClr val="bg1"/>
              </a:solidFill>
            </a:rPr>
            <a:t> : Les éventuelles différences entre les gains par salarié et les gains totaux s'expliquent par l'arrondi appliqué sur le nombre de salariés convertis</a:t>
          </a:r>
          <a:endParaRPr lang="fr-FR" sz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254239</xdr:colOff>
      <xdr:row>75</xdr:row>
      <xdr:rowOff>48035</xdr:rowOff>
    </xdr:from>
    <xdr:to>
      <xdr:col>30</xdr:col>
      <xdr:colOff>521608</xdr:colOff>
      <xdr:row>76</xdr:row>
      <xdr:rowOff>182259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207CB3EC-2204-3F0A-3A4E-F920A495142E}"/>
            </a:ext>
          </a:extLst>
        </xdr:cNvPr>
        <xdr:cNvSpPr txBox="1"/>
      </xdr:nvSpPr>
      <xdr:spPr>
        <a:xfrm>
          <a:off x="11776416" y="13874648"/>
          <a:ext cx="11789547" cy="318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1200">
              <a:solidFill>
                <a:schemeClr val="bg1"/>
              </a:solidFill>
            </a:rPr>
            <a:t>Note</a:t>
          </a:r>
          <a:r>
            <a:rPr lang="fr-FR" sz="1200" baseline="0">
              <a:solidFill>
                <a:schemeClr val="bg1"/>
              </a:solidFill>
            </a:rPr>
            <a:t> : Les éventuelles différences entre les gains par salarié et les gains totaux s'expliquent par l'arrondi appliqué sur le nombre de salariés convertis</a:t>
          </a:r>
          <a:endParaRPr lang="fr-FR" sz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254239</xdr:colOff>
      <xdr:row>55</xdr:row>
      <xdr:rowOff>13690</xdr:rowOff>
    </xdr:from>
    <xdr:to>
      <xdr:col>30</xdr:col>
      <xdr:colOff>521608</xdr:colOff>
      <xdr:row>56</xdr:row>
      <xdr:rowOff>147914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D94BDAD-D7EE-0C9A-6230-7657C8D80F0D}"/>
            </a:ext>
          </a:extLst>
        </xdr:cNvPr>
        <xdr:cNvSpPr txBox="1"/>
      </xdr:nvSpPr>
      <xdr:spPr>
        <a:xfrm>
          <a:off x="11776416" y="10153206"/>
          <a:ext cx="11789547" cy="318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1200">
              <a:solidFill>
                <a:schemeClr val="bg1"/>
              </a:solidFill>
            </a:rPr>
            <a:t>Note</a:t>
          </a:r>
          <a:r>
            <a:rPr lang="fr-FR" sz="1200" baseline="0">
              <a:solidFill>
                <a:schemeClr val="bg1"/>
              </a:solidFill>
            </a:rPr>
            <a:t> : Les éventuelles différences entre les gains par salarié et les gains totaux s'expliquent par l'arrondi appliqué sur le nombre de salariés convertis</a:t>
          </a:r>
          <a:endParaRPr lang="fr-FR" sz="12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239632</xdr:colOff>
          <xdr:row>24</xdr:row>
          <xdr:rowOff>66332</xdr:rowOff>
        </xdr:from>
        <xdr:to>
          <xdr:col>26</xdr:col>
          <xdr:colOff>463426</xdr:colOff>
          <xdr:row>34</xdr:row>
          <xdr:rowOff>139350</xdr:rowOff>
        </xdr:to>
        <xdr:pic>
          <xdr:nvPicPr>
            <xdr:cNvPr id="67" name="Image 66">
              <a:extLst>
                <a:ext uri="{FF2B5EF4-FFF2-40B4-BE49-F238E27FC236}">
                  <a16:creationId xmlns:a16="http://schemas.microsoft.com/office/drawing/2014/main" id="{E824779F-4E3E-22D9-E487-49868AF2AB55}"/>
                </a:ext>
              </a:extLst>
            </xdr:cNvPr>
            <xdr:cNvPicPr>
              <a:picLocks noChangeArrowheads="1"/>
              <a:extLst>
                <a:ext uri="{84589F7E-364E-4C9E-8A38-B11213B215E9}">
                  <a14:cameraTool cellRange="Base_tbl_de_bord!$J$4:$J$8" spid="_x0000_s115001"/>
                </a:ext>
              </a:extLst>
            </xdr:cNvPicPr>
          </xdr:nvPicPr>
          <xdr:blipFill>
            <a:blip xmlns:r="http://schemas.openxmlformats.org/officeDocument/2006/relationships" r:embed="rId35"/>
            <a:srcRect/>
            <a:stretch>
              <a:fillRect/>
            </a:stretch>
          </xdr:blipFill>
          <xdr:spPr bwMode="auto">
            <a:xfrm>
              <a:off x="17676214" y="4731638"/>
              <a:ext cx="2498130" cy="20168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137584</xdr:colOff>
      <xdr:row>0</xdr:row>
      <xdr:rowOff>132292</xdr:rowOff>
    </xdr:from>
    <xdr:to>
      <xdr:col>44</xdr:col>
      <xdr:colOff>439774</xdr:colOff>
      <xdr:row>74</xdr:row>
      <xdr:rowOff>142277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254EC8E2-1699-4D96-935E-84F43A8DEA1B}"/>
            </a:ext>
          </a:extLst>
        </xdr:cNvPr>
        <xdr:cNvSpPr/>
      </xdr:nvSpPr>
      <xdr:spPr>
        <a:xfrm>
          <a:off x="4741334" y="132292"/>
          <a:ext cx="29459273" cy="13715402"/>
        </a:xfrm>
        <a:prstGeom prst="roundRect">
          <a:avLst>
            <a:gd name="adj" fmla="val 1066"/>
          </a:avLst>
        </a:prstGeom>
        <a:solidFill>
          <a:srgbClr val="34303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380234</xdr:colOff>
      <xdr:row>1</xdr:row>
      <xdr:rowOff>133226</xdr:rowOff>
    </xdr:from>
    <xdr:to>
      <xdr:col>44</xdr:col>
      <xdr:colOff>175715</xdr:colOff>
      <xdr:row>4</xdr:row>
      <xdr:rowOff>61459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EC78F309-BC51-45F8-8A58-E60FEA5A343A}"/>
            </a:ext>
          </a:extLst>
        </xdr:cNvPr>
        <xdr:cNvSpPr/>
      </xdr:nvSpPr>
      <xdr:spPr>
        <a:xfrm>
          <a:off x="4983984" y="318434"/>
          <a:ext cx="28952564" cy="483858"/>
        </a:xfrm>
        <a:prstGeom prst="roundRect">
          <a:avLst>
            <a:gd name="adj" fmla="val 1877"/>
          </a:avLst>
        </a:prstGeom>
        <a:gradFill>
          <a:gsLst>
            <a:gs pos="0">
              <a:schemeClr val="bg1">
                <a:lumMod val="50000"/>
              </a:schemeClr>
            </a:gs>
            <a:gs pos="100000">
              <a:schemeClr val="bg1">
                <a:lumMod val="85000"/>
              </a:schemeClr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000" b="1"/>
            <a:t>Coûts</a:t>
          </a:r>
          <a:r>
            <a:rPr lang="fr-FR" sz="2000" b="1" baseline="0"/>
            <a:t> estimés</a:t>
          </a:r>
          <a:r>
            <a:rPr lang="fr-FR" sz="2000" b="1"/>
            <a:t> des actions mises en oeuvre</a:t>
          </a:r>
        </a:p>
      </xdr:txBody>
    </xdr:sp>
    <xdr:clientData/>
  </xdr:twoCellAnchor>
  <xdr:twoCellAnchor>
    <xdr:from>
      <xdr:col>6</xdr:col>
      <xdr:colOff>403165</xdr:colOff>
      <xdr:row>5</xdr:row>
      <xdr:rowOff>122707</xdr:rowOff>
    </xdr:from>
    <xdr:to>
      <xdr:col>22</xdr:col>
      <xdr:colOff>175071</xdr:colOff>
      <xdr:row>73</xdr:row>
      <xdr:rowOff>93141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63CA1469-E2C1-4A19-93AD-0F40BA259048}"/>
            </a:ext>
          </a:extLst>
        </xdr:cNvPr>
        <xdr:cNvSpPr/>
      </xdr:nvSpPr>
      <xdr:spPr>
        <a:xfrm>
          <a:off x="5006915" y="1048749"/>
          <a:ext cx="12048573" cy="12564600"/>
        </a:xfrm>
        <a:prstGeom prst="roundRect">
          <a:avLst>
            <a:gd name="adj" fmla="val 729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/>
            <a:t>Répartition</a:t>
          </a:r>
          <a:r>
            <a:rPr lang="fr-FR" sz="1800" baseline="0"/>
            <a:t> des coûts</a:t>
          </a:r>
          <a:endParaRPr lang="fr-FR" sz="1800"/>
        </a:p>
      </xdr:txBody>
    </xdr:sp>
    <xdr:clientData/>
  </xdr:twoCellAnchor>
  <xdr:twoCellAnchor>
    <xdr:from>
      <xdr:col>6</xdr:col>
      <xdr:colOff>420847</xdr:colOff>
      <xdr:row>13</xdr:row>
      <xdr:rowOff>48412</xdr:rowOff>
    </xdr:from>
    <xdr:to>
      <xdr:col>22</xdr:col>
      <xdr:colOff>157390</xdr:colOff>
      <xdr:row>68</xdr:row>
      <xdr:rowOff>28146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phique 4">
              <a:extLst>
                <a:ext uri="{FF2B5EF4-FFF2-40B4-BE49-F238E27FC236}">
                  <a16:creationId xmlns:a16="http://schemas.microsoft.com/office/drawing/2014/main" id="{9EA301BE-93F0-4CE6-BFA1-7D61259D753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>
    <xdr:from>
      <xdr:col>22</xdr:col>
      <xdr:colOff>408523</xdr:colOff>
      <xdr:row>5</xdr:row>
      <xdr:rowOff>122707</xdr:rowOff>
    </xdr:from>
    <xdr:to>
      <xdr:col>44</xdr:col>
      <xdr:colOff>167630</xdr:colOff>
      <xdr:row>73</xdr:row>
      <xdr:rowOff>94411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F0B9EF06-A689-4D58-BD66-B25D577D41C3}"/>
            </a:ext>
          </a:extLst>
        </xdr:cNvPr>
        <xdr:cNvSpPr/>
      </xdr:nvSpPr>
      <xdr:spPr>
        <a:xfrm>
          <a:off x="17288940" y="1048749"/>
          <a:ext cx="16639523" cy="12565870"/>
        </a:xfrm>
        <a:prstGeom prst="roundRect">
          <a:avLst>
            <a:gd name="adj" fmla="val 403"/>
          </a:avLst>
        </a:prstGeom>
        <a:gradFill>
          <a:gsLst>
            <a:gs pos="0">
              <a:srgbClr val="413D3D"/>
            </a:gs>
            <a:gs pos="100000">
              <a:srgbClr val="514D4D"/>
            </a:gs>
          </a:gsLst>
          <a:lin ang="360000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800"/>
            <a:t>Détail des hypothèses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28147</xdr:colOff>
          <xdr:row>9</xdr:row>
          <xdr:rowOff>68679</xdr:rowOff>
        </xdr:from>
        <xdr:to>
          <xdr:col>43</xdr:col>
          <xdr:colOff>552023</xdr:colOff>
          <xdr:row>59</xdr:row>
          <xdr:rowOff>87730</xdr:rowOff>
        </xdr:to>
        <xdr:pic>
          <xdr:nvPicPr>
            <xdr:cNvPr id="9" name="Image 8">
              <a:extLst>
                <a:ext uri="{FF2B5EF4-FFF2-40B4-BE49-F238E27FC236}">
                  <a16:creationId xmlns:a16="http://schemas.microsoft.com/office/drawing/2014/main" id="{8BC10FF2-1EE4-6902-2292-6212ACD31E6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ase_tbl_de_bord!$BM$17:$BO$33" spid="_x0000_s821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7675855" y="1735554"/>
              <a:ext cx="15869710" cy="9279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370679</xdr:colOff>
      <xdr:row>10</xdr:row>
      <xdr:rowOff>36247</xdr:rowOff>
    </xdr:from>
    <xdr:to>
      <xdr:col>5</xdr:col>
      <xdr:colOff>455343</xdr:colOff>
      <xdr:row>16</xdr:row>
      <xdr:rowOff>49887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F1B70AC-5AAF-4449-BC65-0EB705349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770"/>
        <a:stretch/>
      </xdr:blipFill>
      <xdr:spPr>
        <a:xfrm>
          <a:off x="370679" y="1888330"/>
          <a:ext cx="3921122" cy="1124890"/>
        </a:xfrm>
        <a:prstGeom prst="rect">
          <a:avLst/>
        </a:prstGeom>
      </xdr:spPr>
    </xdr:pic>
    <xdr:clientData/>
  </xdr:twoCellAnchor>
  <xdr:twoCellAnchor editAs="oneCell">
    <xdr:from>
      <xdr:col>0</xdr:col>
      <xdr:colOff>185207</xdr:colOff>
      <xdr:row>38</xdr:row>
      <xdr:rowOff>184169</xdr:rowOff>
    </xdr:from>
    <xdr:to>
      <xdr:col>5</xdr:col>
      <xdr:colOff>515207</xdr:colOff>
      <xdr:row>69</xdr:row>
      <xdr:rowOff>18905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Actions 1">
              <a:extLst>
                <a:ext uri="{FF2B5EF4-FFF2-40B4-BE49-F238E27FC236}">
                  <a16:creationId xmlns:a16="http://schemas.microsoft.com/office/drawing/2014/main" id="{18993035-7517-48F3-82DA-BB130A3152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ction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5207" y="7222086"/>
              <a:ext cx="4166458" cy="55761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185207</xdr:colOff>
      <xdr:row>27</xdr:row>
      <xdr:rowOff>20571</xdr:rowOff>
    </xdr:from>
    <xdr:to>
      <xdr:col>5</xdr:col>
      <xdr:colOff>515207</xdr:colOff>
      <xdr:row>38</xdr:row>
      <xdr:rowOff>88006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Niveau 2">
              <a:extLst>
                <a:ext uri="{FF2B5EF4-FFF2-40B4-BE49-F238E27FC236}">
                  <a16:creationId xmlns:a16="http://schemas.microsoft.com/office/drawing/2014/main" id="{13668556-7BF9-4AF9-BE2E-68D6EF9D81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au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5207" y="5021196"/>
              <a:ext cx="4166458" cy="21047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361632</xdr:colOff>
      <xdr:row>0</xdr:row>
      <xdr:rowOff>132292</xdr:rowOff>
    </xdr:from>
    <xdr:to>
      <xdr:col>5</xdr:col>
      <xdr:colOff>145833</xdr:colOff>
      <xdr:row>10</xdr:row>
      <xdr:rowOff>7903</xdr:rowOff>
    </xdr:to>
    <xdr:pic>
      <xdr:nvPicPr>
        <xdr:cNvPr id="11" name="Graphique 3">
          <a:extLst>
            <a:ext uri="{FF2B5EF4-FFF2-40B4-BE49-F238E27FC236}">
              <a16:creationId xmlns:a16="http://schemas.microsoft.com/office/drawing/2014/main" id="{1D6C5171-A2FC-4EED-BD05-6A49751F2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xmlns="" r:embed="rId5"/>
            </a:ext>
          </a:extLst>
        </a:blip>
        <a:srcRect l="8413" t="11322" r="8894" b="9519"/>
        <a:stretch/>
      </xdr:blipFill>
      <xdr:spPr>
        <a:xfrm>
          <a:off x="361632" y="132292"/>
          <a:ext cx="3620659" cy="172769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VET Paul" refreshedDate="45090.427079398149" createdVersion="8" refreshedVersion="8" minRefreshableVersion="3" recordCount="50">
  <cacheSource type="worksheet">
    <worksheetSource name="Tableau5"/>
  </cacheSource>
  <cacheFields count="6">
    <cacheField name="Niveau" numFmtId="0">
      <sharedItems count="5">
        <s v="Niveau_1"/>
        <s v="Niveau_2"/>
        <s v="Niveau_3"/>
        <s v="Niveau_4"/>
        <s v="Personnalisé"/>
      </sharedItems>
    </cacheField>
    <cacheField name="Actions" numFmtId="0">
      <sharedItems count="14">
        <s v="Ateliers, conférences, formations"/>
        <s v="Diffusion d'informations de santé "/>
        <s v="Affichage d'incitations (nudge) pour les escaliers par ex"/>
        <s v="Abri à vélos"/>
        <s v="Douches"/>
        <s v="Offre mobilités actives"/>
        <s v="Négociation des tarifs à proximité"/>
        <s v="Participation à des événements sportifs"/>
        <s v="Association sportive d'entreprise"/>
        <s v="Participation à des cotisations sportives"/>
        <s v="Flexibilité des horaires permettant d'insérer du sport sur le temps de travail"/>
        <s v="Aménagement de créneaux dédiés à l'APS"/>
        <s v="Salle de sport intégrée"/>
        <s v="Coach"/>
      </sharedItems>
    </cacheField>
    <cacheField name="Indice_incitation" numFmtId="0">
      <sharedItems containsSemiMixedTypes="0" containsString="0" containsNumber="1" minValue="0.73764592293513565" maxValue="0.73764592293513565"/>
    </cacheField>
    <cacheField name="Part_Motivation" numFmtId="0">
      <sharedItems containsSemiMixedTypes="0" containsString="0" containsNumber="1" minValue="0.33333333333333331" maxValue="0.33333333333333331"/>
    </cacheField>
    <cacheField name="Part_Capacité" numFmtId="0">
      <sharedItems containsSemiMixedTypes="0" containsString="0" containsNumber="1" minValue="0.29166666666666669" maxValue="0.29166666666666669"/>
    </cacheField>
    <cacheField name="Part_Opportunité" numFmtId="0">
      <sharedItems containsSemiMixedTypes="0" containsString="0" containsNumber="1" minValue="0.375" maxValue="0.375"/>
    </cacheField>
  </cacheFields>
  <extLst>
    <ext xmlns:x14="http://schemas.microsoft.com/office/spreadsheetml/2009/9/main" uri="{725AE2AE-9491-48be-B2B4-4EB974FC3084}">
      <x14:pivotCacheDefinition pivotCacheId="144462492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AVET Paul" refreshedDate="45097.49512673611" createdVersion="8" refreshedVersion="8" minRefreshableVersion="3" recordCount="648">
  <cacheSource type="worksheet">
    <worksheetSource name="Base"/>
  </cacheSource>
  <cacheFields count="89">
    <cacheField name="Secteur" numFmtId="2">
      <sharedItems count="37">
        <s v="AZ - Agriculture_sylviculture_et_pêche"/>
        <s v="DE - Industries_extractives_énergie_eau_gestion_des_déchets_et_de_pollution"/>
        <s v="C2 - Cokéfaction_et_raffinage_énergie_eau_déchets"/>
        <s v="C1 - Industrie_agroalimentaire"/>
        <s v="C3 - Fabrication_de_biens_d'équipement"/>
        <s v="C4 - Fabrication_de_matériels_de_transport"/>
        <s v="C5 - Fabrication_d'autres_produits_industriels"/>
        <s v="FZ - Construction"/>
        <s v="GZ - Commerce"/>
        <s v="HZ - Transports_et_entreposage"/>
        <s v="IZ - Hébergement_et_restauration"/>
        <s v="JZ - Information_et_communication"/>
        <s v="KZ - Activités_financières_et_d'assurance"/>
        <s v="LZ - Activités_immobilières"/>
        <s v="MN - Services_aux_entreprises"/>
        <s v="OQ - Enseignement_santé_humaine_et_action_sociale"/>
        <s v="RU - Autres_activités_de_services"/>
        <s v="00 - Moyenne"/>
        <s v="Fabrication_d'autres_produits_industriels" u="1"/>
        <s v="Agriculture_sylviculture_et_pêche" u="1"/>
        <s v="Commerce" u="1"/>
        <s v="Enseignement_santé_humaine_et_action_sociale" u="1"/>
        <s v="Activités_financières_et_d'assurance" u="1"/>
        <s v="A. Agriculture_sylviculture_et_pêche" u="1"/>
        <s v="Hébergement_et_restauration" u="1"/>
        <s v="Fabrication_de_matériels_de_transport" u="1"/>
        <s v="Activités_immobilières" u="1"/>
        <s v="Cokéfaction_et_raffinage_énergie_eau_déchets" u="1"/>
        <s v="Moyenne" u="1"/>
        <s v="Industrie_agroalimentaire" u="1"/>
        <s v="Transports_et_entreposage" u="1"/>
        <s v="Services_aux_entreprises" u="1"/>
        <s v="Industries_extractives_énergie_eau_gestion_des_déchets_et_de_pollution" u="1"/>
        <s v="Fabrication_de_biens_d'équipement" u="1"/>
        <s v="Autres_activités_de_services" u="1"/>
        <s v="Information_et_communication" u="1"/>
        <s v="Construction" u="1"/>
      </sharedItems>
    </cacheField>
    <cacheField name="Intensité_chiffrée" numFmtId="0">
      <sharedItems containsSemiMixedTypes="0" containsString="0" containsNumber="1" minValue="7.5" maxValue="30"/>
    </cacheField>
    <cacheField name="Intensité_APS" numFmtId="0">
      <sharedItems count="3">
        <s v="1. Modéré"/>
        <s v="2. Intense"/>
        <s v="3. Très intense"/>
      </sharedItems>
    </cacheField>
    <cacheField name="Pathologie" numFmtId="0">
      <sharedItems/>
    </cacheField>
    <cacheField name="Risque" numFmtId="2">
      <sharedItems containsSemiMixedTypes="0" containsString="0" containsNumber="1" minValue="8.9809779297667564E-2" maxValue="4.4901789846988658"/>
    </cacheField>
    <cacheField name="Prévalence" numFmtId="2">
      <sharedItems containsSemiMixedTypes="0" containsString="0" containsNumber="1" minValue="6.593568911523901E-4" maxValue="0.371"/>
    </cacheField>
    <cacheField name="Prévalence_prod" numFmtId="2">
      <sharedItems containsSemiMixedTypes="0" containsString="0" containsNumber="1" minValue="6.593568911523901E-4" maxValue="0.371"/>
    </cacheField>
    <cacheField name="Présentéisme" numFmtId="2">
      <sharedItems containsSemiMixedTypes="0" containsString="0" containsNumber="1" minValue="0" maxValue="0.17199999999999999"/>
    </cacheField>
    <cacheField name="Coût" numFmtId="2">
      <sharedItems containsSemiMixedTypes="0" containsString="0" containsNumber="1" minValue="0" maxValue="29.93"/>
    </cacheField>
    <cacheField name="Part_ménages_dépenses_santé" numFmtId="2">
      <sharedItems containsSemiMixedTypes="0" containsString="0" containsNumber="1" minValue="7.0000000000000007E-2" maxValue="7.0000000000000007E-2"/>
    </cacheField>
    <cacheField name="Coût_salarié" numFmtId="43">
      <sharedItems containsSemiMixedTypes="0" containsString="0" containsNumber="1" minValue="0" maxValue="2.0951"/>
    </cacheField>
    <cacheField name="Part_coûts_salarié" numFmtId="43">
      <sharedItems containsSemiMixedTypes="0" containsString="0" containsNumber="1" minValue="0" maxValue="1"/>
    </cacheField>
    <cacheField name="Population_emploi" numFmtId="164">
      <sharedItems containsSemiMixedTypes="0" containsString="0" containsNumber="1" containsInteger="1" minValue="27700000" maxValue="27700000"/>
    </cacheField>
    <cacheField name="[Maladies]Coûts_évités_par_salarié" numFmtId="43">
      <sharedItems containsSemiMixedTypes="0" containsString="0" containsNumber="1" minValue="0" maxValue="1.9907788399138429"/>
    </cacheField>
    <cacheField name="Durée_perte_10%" numFmtId="0">
      <sharedItems containsSemiMixedTypes="0" containsString="0" containsNumber="1" containsInteger="1" minValue="50" maxValue="50"/>
    </cacheField>
    <cacheField name="Durée_perte_33,33%" numFmtId="0">
      <sharedItems containsSemiMixedTypes="0" containsString="0" containsNumber="1" containsInteger="1" minValue="50" maxValue="50"/>
    </cacheField>
    <cacheField name="%_perte_rémunération_premiers_jours" numFmtId="43">
      <sharedItems containsSemiMixedTypes="0" containsString="0" containsNumber="1" minValue="9.9999999999999978E-2" maxValue="9.9999999999999978E-2"/>
    </cacheField>
    <cacheField name="%_perte_rémunération_jours_suivants" numFmtId="43">
      <sharedItems containsSemiMixedTypes="0" containsString="0" containsNumber="1" minValue="0.33340000000000003" maxValue="0.33340000000000003"/>
    </cacheField>
    <cacheField name="Prévalence_Travail" numFmtId="2">
      <sharedItems containsSemiMixedTypes="0" containsString="0" containsNumber="1" minValue="0" maxValue="0.14499999999999999"/>
    </cacheField>
    <cacheField name="Salaire_net_horaire" numFmtId="2">
      <sharedItems containsSemiMixedTypes="0" containsString="0" containsNumber="1" minValue="16.658711101877199" maxValue="16.658711101877199"/>
    </cacheField>
    <cacheField name="Durée_arrêt" numFmtId="2">
      <sharedItems containsSemiMixedTypes="0" containsString="0" containsNumber="1" minValue="0" maxValue="80.324106187301894"/>
    </cacheField>
    <cacheField name="[Travail]Coûts_évités_par_salarié" numFmtId="43">
      <sharedItems containsSemiMixedTypes="0" containsString="0" containsNumber="1" minValue="0" maxValue="30.90547383120817"/>
    </cacheField>
    <cacheField name="Budget_santé_salarié" numFmtId="2">
      <sharedItems containsSemiMixedTypes="0" containsString="0" containsNumber="1" minValue="234.5" maxValue="234.5"/>
    </cacheField>
    <cacheField name="Part_sur_budget_salarié" numFmtId="2">
      <sharedItems containsSemiMixedTypes="0" containsString="0" containsNumber="1" minValue="0" maxValue="0.13607988080588845"/>
    </cacheField>
    <cacheField name="Part_société_dépenses_santé" numFmtId="2">
      <sharedItems containsSemiMixedTypes="0" containsString="0" containsNumber="1" minValue="0.8" maxValue="0.8"/>
    </cacheField>
    <cacheField name="Coût_société" numFmtId="2">
      <sharedItems containsSemiMixedTypes="0" containsString="0" containsNumber="1" minValue="0" maxValue="23.944000000000003"/>
    </cacheField>
    <cacheField name="Population_totale" numFmtId="2">
      <sharedItems containsSemiMixedTypes="0" containsString="0" containsNumber="1" containsInteger="1" minValue="67635124" maxValue="67635124"/>
    </cacheField>
    <cacheField name="Espérance_vie" numFmtId="2">
      <sharedItems containsSemiMixedTypes="0" containsString="0" containsNumber="1" minValue="82.297079063317852" maxValue="82.297079063317852"/>
    </cacheField>
    <cacheField name="[SC]Prévalence_travail" numFmtId="2">
      <sharedItems containsSemiMixedTypes="0" containsString="0" containsNumber="1" minValue="0" maxValue="0.14499999999999999"/>
    </cacheField>
    <cacheField name="[SC]Patients_en_emploi" numFmtId="2">
      <sharedItems containsSemiMixedTypes="0" containsString="0" containsNumber="1" minValue="0" maxValue="4016499.9999999995"/>
    </cacheField>
    <cacheField name="[SC]Patients_évités" numFmtId="2">
      <sharedItems containsSemiMixedTypes="0" containsString="0" containsNumber="1" minValue="0" maxValue="1513679.7473528497"/>
    </cacheField>
    <cacheField name="[SC]Prestations" numFmtId="2">
      <sharedItems containsString="0" containsBlank="1" containsNumber="1" minValue="0" maxValue="5730042552.54"/>
    </cacheField>
    <cacheField name="[SC]Prestations_par_patient" numFmtId="2">
      <sharedItems containsSemiMixedTypes="0" containsString="0" containsNumber="1" minValue="0" maxValue="4220.8312340005614"/>
    </cacheField>
    <cacheField name="[SC]Montant_max_IJ" numFmtId="2">
      <sharedItems containsString="0" containsBlank="1" containsNumber="1" minValue="51.7" maxValue="51.7"/>
    </cacheField>
    <cacheField name="[SC][Travail]Coûts_évités" numFmtId="2">
      <sharedItems containsSemiMixedTypes="0" containsString="0" containsNumber="1" minValue="0" maxValue="1447758994.3556333"/>
    </cacheField>
    <cacheField name="[SC][Travail]Coûts_évités_par_salarié" numFmtId="2">
      <sharedItems containsSemiMixedTypes="0" containsString="0" containsNumber="1" minValue="0" maxValue="52.265667666268349"/>
    </cacheField>
    <cacheField name="[SC][Maladies]Coûts_évités_par_salarié" numFmtId="2">
      <sharedItems containsSemiMixedTypes="0" containsString="0" containsNumber="1" minValue="0" maxValue="22.751758170443921"/>
    </cacheField>
    <cacheField name="[SC]Coût_personne_dépendante" numFmtId="2">
      <sharedItems containsSemiMixedTypes="0" containsString="0" containsNumber="1" minValue="0" maxValue="14909.24243952"/>
    </cacheField>
    <cacheField name="[SC]Nb_personnes_dépendantes" numFmtId="2">
      <sharedItems containsSemiMixedTypes="0" containsString="0" containsNumber="1" containsInteger="1" minValue="0" maxValue="1316000"/>
    </cacheField>
    <cacheField name="[SC]Coût_total_dépendance" numFmtId="2">
      <sharedItems containsSemiMixedTypes="0" containsString="0" containsNumber="1" minValue="0" maxValue="19620563050.408321"/>
    </cacheField>
    <cacheField name="[SC]Coût_dépendance_pop_totale" numFmtId="2">
      <sharedItems containsSemiMixedTypes="0" containsString="0" containsNumber="1" minValue="0" maxValue="290.09428666691468"/>
    </cacheField>
    <cacheField name="[SC]Durée_moyenne_dépendance_avt" numFmtId="2">
      <sharedItems containsSemiMixedTypes="0" containsString="0" containsNumber="1" minValue="0" maxValue="4.5"/>
    </cacheField>
    <cacheField name="[SC]Hausse_esp_de_vie" numFmtId="2">
      <sharedItems containsSemiMixedTypes="0" containsString="0" containsNumber="1" minValue="0.50393265050357905" maxValue="1.0077957276768601"/>
    </cacheField>
    <cacheField name="[SC]Âge_début_dépendance_après" numFmtId="2">
      <sharedItems containsSemiMixedTypes="0" containsString="0" containsNumber="1" minValue="80.54625619626313" maxValue="83.883608971244797"/>
    </cacheField>
    <cacheField name="[SC]Durée_moyenne_dépendance_après" numFmtId="2">
      <sharedItems containsSemiMixedTypes="0" containsString="0" containsNumber="1" minValue="0" maxValue="2.2547555175583085"/>
    </cacheField>
    <cacheField name="[SC][Dépendance]Gains" numFmtId="2">
      <sharedItems containsSemiMixedTypes="0" containsString="0" containsNumber="1" minValue="0" maxValue="197.91750914540722"/>
    </cacheField>
    <cacheField name="[SC]Âge_moyen_retraite" numFmtId="2">
      <sharedItems containsSemiMixedTypes="0" containsString="0" containsNumber="1" minValue="62.9" maxValue="62.9"/>
    </cacheField>
    <cacheField name="[SC]Budget_total_retraites" numFmtId="2">
      <sharedItems containsSemiMixedTypes="0" containsString="0" containsNumber="1" containsInteger="1" minValue="336905600000" maxValue="336905600000"/>
    </cacheField>
    <cacheField name="[SC]Nombre_de_retraités" numFmtId="2">
      <sharedItems containsSemiMixedTypes="0" containsString="0" containsNumber="1" containsInteger="1" minValue="15049171" maxValue="15049171"/>
    </cacheField>
    <cacheField name="[SC]Budget_par_retraité" numFmtId="2">
      <sharedItems containsSemiMixedTypes="0" containsString="0" containsNumber="1" minValue="22386.987296509556" maxValue="22386.987296509556"/>
    </cacheField>
    <cacheField name="[SC][Dépendance]Coût_retraite_personnes_dépendantes" numFmtId="2">
      <sharedItems containsSemiMixedTypes="0" containsString="0" containsNumber="1" minValue="0" maxValue="29461275282.206577"/>
    </cacheField>
    <cacheField name="[SC][Dépendance]Coût_retraite_personnes_dépendantes_pop_totale" numFmtId="2">
      <sharedItems containsSemiMixedTypes="0" containsString="0" containsNumber="1" minValue="0" maxValue="435.59135460750508"/>
    </cacheField>
    <cacheField name="[SC][Dépendance]Coûts" numFmtId="2">
      <sharedItems containsSemiMixedTypes="0" containsString="0" containsNumber="1" minValue="0" maxValue="66.701124021684066"/>
    </cacheField>
    <cacheField name="[SC][Dépendance]Calcul" numFmtId="2">
      <sharedItems containsSemiMixedTypes="0" containsString="0" containsNumber="1" minValue="0" maxValue="131.21638512372317"/>
    </cacheField>
    <cacheField name="[SC][Mort_prématurée]Morts_prématurées_évitées" numFmtId="2">
      <sharedItems containsSemiMixedTypes="0" containsString="0" containsNumber="1" minValue="0" maxValue="34962.473416801695"/>
    </cacheField>
    <cacheField name="[SC][Mort_prématurée]Âge_moyen_mort précoce" numFmtId="2">
      <sharedItems containsSemiMixedTypes="0" containsString="0" containsNumber="1" minValue="52.74" maxValue="52.74"/>
    </cacheField>
    <cacheField name="[SC][Mort_prématurée]Années_supp_en_activité_s/_mort_précoce" numFmtId="2">
      <sharedItems containsSemiMixedTypes="0" containsString="0" containsNumber="1" minValue="10.159999999999997" maxValue="10.159999999999997"/>
    </cacheField>
    <cacheField name="[SC][Mort_prématurée]Années_supp_en_retraite_s/_mort_précoce" numFmtId="2">
      <sharedItems containsSemiMixedTypes="0" containsString="0" containsNumber="1" minValue="19.90101171382144" maxValue="20.404874790994718"/>
    </cacheField>
    <cacheField name="[SC][Mort_prématurée]Gain_conso_55-64ans" numFmtId="2">
      <sharedItems containsSemiMixedTypes="0" containsString="0" containsNumber="1" minValue="106583.42676924677" maxValue="106583.42676924677"/>
    </cacheField>
    <cacheField name="[SC][Mort_prématurée]Gain_cotisations_sociales" numFmtId="2">
      <sharedItems containsSemiMixedTypes="0" containsString="0" containsNumber="1" minValue="97601.789429271477" maxValue="97601.789429271477"/>
    </cacheField>
    <cacheField name="[SC][Mort_prématurée]Gain_conso_64ans_et_plus" numFmtId="2">
      <sharedItems containsSemiMixedTypes="0" containsString="0" containsNumber="1" minValue="302038.31496633729" maxValue="302038.31496633729"/>
    </cacheField>
    <cacheField name="[SC][Mort_prématurée]Gain_cotisations_patronales" numFmtId="2">
      <sharedItems containsSemiMixedTypes="0" containsString="0" containsNumber="1" minValue="117293.58934859755" maxValue="117293.58934859755"/>
    </cacheField>
    <cacheField name="[SC][Mort_prématurée]Gain_années_vie_supp" numFmtId="2">
      <sharedItems containsSemiMixedTypes="0" containsString="0" containsNumber="1" minValue="1523999.9999999995" maxValue="1523999.9999999995"/>
    </cacheField>
    <cacheField name="[SC][Mort_prématurée]Gains" numFmtId="2">
      <sharedItems containsSemiMixedTypes="0" containsString="0" containsNumber="1" minValue="0" maxValue="2456496574.9573283"/>
    </cacheField>
    <cacheField name="[SC][Mort_prématurée]Coûts_retraites" numFmtId="2">
      <sharedItems containsSemiMixedTypes="0" containsString="0" containsNumber="1" minValue="294804.96027377353" maxValue="294804.96027377353"/>
    </cacheField>
    <cacheField name="[SC][Mort_prématurée]Coûts" numFmtId="2">
      <sharedItems containsSemiMixedTypes="0" containsString="0" containsNumber="1" minValue="0" maxValue="337220769.17356968"/>
    </cacheField>
    <cacheField name="[SC][Mort_prématurée]Calcul" numFmtId="2">
      <sharedItems containsSemiMixedTypes="0" containsString="0" containsNumber="1" minValue="0" maxValue="31.333953136298806"/>
    </cacheField>
    <cacheField name="[SC][Mort_prématurée]Baisse_risque" numFmtId="2">
      <sharedItems containsSemiMixedTypes="0" containsString="0" containsNumber="1" minValue="0" maxValue="0.28936709012503803"/>
    </cacheField>
    <cacheField name="[SC]Budget_santé_société_civile" numFmtId="2">
      <sharedItems containsSemiMixedTypes="0" containsString="0" containsNumber="1" containsInteger="1" minValue="2680" maxValue="2680"/>
    </cacheField>
    <cacheField name="[SC]Part_sur_budget_société_civile" numFmtId="2">
      <sharedItems containsSemiMixedTypes="0" containsString="0" containsNumber="1" minValue="0" maxValue="4.8961337732732528E-2"/>
    </cacheField>
    <cacheField name="[Prod][Absentéisme]Total_jours_absence_avant" numFmtId="2">
      <sharedItems containsSemiMixedTypes="0" containsString="0" containsNumber="1" minValue="0" maxValue="72478435"/>
    </cacheField>
    <cacheField name="[Prod][Absentéisme]Total_jours_absence_après" numFmtId="2">
      <sharedItems containsSemiMixedTypes="0" containsString="0" containsNumber="1" minValue="0" maxValue="63331503.664730832"/>
    </cacheField>
    <cacheField name="[Prod][Absentéisme]Total_jours_absence_évités" numFmtId="2">
      <sharedItems containsSemiMixedTypes="0" containsString="0" containsNumber="1" minValue="0" maxValue="32544114.568086267"/>
    </cacheField>
    <cacheField name="[Prod][Absentéisme]Taux_initial" numFmtId="2">
      <sharedItems containsSemiMixedTypes="0" containsString="0" containsNumber="1" minValue="0" maxValue="6.1899999999999997E-2"/>
    </cacheField>
    <cacheField name="[Prod]Jours_ouvrés" numFmtId="2">
      <sharedItems containsSemiMixedTypes="0" containsString="0" containsNumber="1" containsInteger="1" minValue="254" maxValue="254"/>
    </cacheField>
    <cacheField name="[Prod][Absentéisme]Jours_théoriques" numFmtId="2">
      <sharedItems containsSemiMixedTypes="0" containsString="0" containsNumber="1" minValue="0" maxValue="149563397.95897081"/>
    </cacheField>
    <cacheField name="[Prod][Absentéisme]Taux_final" numFmtId="2">
      <sharedItems containsSemiMixedTypes="0" containsString="0" containsNumber="1" minValue="0" maxValue="1.9755166364211284E-2"/>
    </cacheField>
    <cacheField name="[Prod][Présentéisme]Jours_avant" numFmtId="2">
      <sharedItems containsSemiMixedTypes="0" containsString="0" containsNumber="1" minValue="0" maxValue="6.4516000000000009"/>
    </cacheField>
    <cacheField name="[Prod][Présentéisme]Jours_après" numFmtId="2">
      <sharedItems containsSemiMixedTypes="0" containsString="0" containsNumber="1" minValue="0" maxValue="5.0967640000000012"/>
    </cacheField>
    <cacheField name="[Prod][Présentéisme]Jours_gagnés" numFmtId="2">
      <sharedItems containsSemiMixedTypes="0" containsString="0" containsNumber="1" minValue="0" maxValue="2.7037582821837627"/>
    </cacheField>
    <cacheField name="[Prod][Présentéisme]Gain" numFmtId="2">
      <sharedItems containsSemiMixedTypes="0" containsString="0" containsNumber="1" minValue="0" maxValue="1.0644717646392767E-2"/>
    </cacheField>
    <cacheField name="[Prod]Sérénité" numFmtId="0">
      <sharedItems containsSemiMixedTypes="0" containsString="0" containsNumber="1" minValue="5.8333039429220801E-2" maxValue="9.3428413505841454E-2"/>
    </cacheField>
    <cacheField name="[Prod]Impact_motifs_turnover" numFmtId="0">
      <sharedItems containsSemiMixedTypes="0" containsString="0" containsNumber="1" minValue="1.4658164114728258E-2" maxValue="2.1038737314955848E-2"/>
    </cacheField>
    <cacheField name="[Prod][Turnover]DMC_initiale" numFmtId="2">
      <sharedItems containsSemiMixedTypes="0" containsString="0" containsNumber="1" containsInteger="1" minValue="11" maxValue="11"/>
    </cacheField>
    <cacheField name="[Prod][Turnover]Ecart_accidents" numFmtId="2">
      <sharedItems containsSemiMixedTypes="0" containsString="0" containsNumber="1" minValue="0.13729577077682142" maxValue="1.6219398392978641"/>
    </cacheField>
    <cacheField name="[Prod]Turnover_Part_emplois" numFmtId="2">
      <sharedItems containsSemiMixedTypes="0" containsString="0" containsNumber="1" minValue="0" maxValue="0.42377466100567313"/>
    </cacheField>
    <cacheField name="[Prod][Turnover]DMC_finale" numFmtId="2">
      <sharedItems containsSemiMixedTypes="0" containsString="0" containsNumber="1" minValue="11.022137543343351" maxValue="11.375359228416144"/>
    </cacheField>
    <cacheField name="[Prod][Turnover]1/DMC_initiale" numFmtId="2">
      <sharedItems containsSemiMixedTypes="0" containsString="0" containsNumber="1" minValue="9.0909090909090912E-2" maxValue="9.0909090909090912E-2"/>
    </cacheField>
    <cacheField name="[Prod][Turnover]1/DMC_finale" numFmtId="2">
      <sharedItems containsSemiMixedTypes="0" containsString="0" containsNumber="1" minValue="8.7909311690303041E-2" maxValue="9.0726503463380792E-2"/>
    </cacheField>
  </cacheFields>
  <extLst>
    <ext xmlns:x14="http://schemas.microsoft.com/office/spreadsheetml/2009/9/main" uri="{725AE2AE-9491-48be-B2B4-4EB974FC3084}">
      <x14:pivotCacheDefinition pivotCacheId="139870397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n v="0.73764592293513565"/>
    <n v="0.33333333333333331"/>
    <n v="0.29166666666666669"/>
    <n v="0.375"/>
  </r>
  <r>
    <x v="0"/>
    <x v="1"/>
    <n v="0.73764592293513565"/>
    <n v="0.33333333333333331"/>
    <n v="0.29166666666666669"/>
    <n v="0.375"/>
  </r>
  <r>
    <x v="0"/>
    <x v="2"/>
    <n v="0.73764592293513565"/>
    <n v="0.33333333333333331"/>
    <n v="0.29166666666666669"/>
    <n v="0.375"/>
  </r>
  <r>
    <x v="0"/>
    <x v="3"/>
    <n v="0.73764592293513565"/>
    <n v="0.33333333333333331"/>
    <n v="0.29166666666666669"/>
    <n v="0.375"/>
  </r>
  <r>
    <x v="1"/>
    <x v="0"/>
    <n v="0.73764592293513565"/>
    <n v="0.33333333333333331"/>
    <n v="0.29166666666666669"/>
    <n v="0.375"/>
  </r>
  <r>
    <x v="1"/>
    <x v="1"/>
    <n v="0.73764592293513565"/>
    <n v="0.33333333333333331"/>
    <n v="0.29166666666666669"/>
    <n v="0.375"/>
  </r>
  <r>
    <x v="1"/>
    <x v="2"/>
    <n v="0.73764592293513565"/>
    <n v="0.33333333333333331"/>
    <n v="0.29166666666666669"/>
    <n v="0.375"/>
  </r>
  <r>
    <x v="1"/>
    <x v="3"/>
    <n v="0.73764592293513565"/>
    <n v="0.33333333333333331"/>
    <n v="0.29166666666666669"/>
    <n v="0.375"/>
  </r>
  <r>
    <x v="1"/>
    <x v="4"/>
    <n v="0.73764592293513565"/>
    <n v="0.33333333333333331"/>
    <n v="0.29166666666666669"/>
    <n v="0.375"/>
  </r>
  <r>
    <x v="1"/>
    <x v="5"/>
    <n v="0.73764592293513565"/>
    <n v="0.33333333333333331"/>
    <n v="0.29166666666666669"/>
    <n v="0.375"/>
  </r>
  <r>
    <x v="1"/>
    <x v="6"/>
    <n v="0.73764592293513565"/>
    <n v="0.33333333333333331"/>
    <n v="0.29166666666666669"/>
    <n v="0.375"/>
  </r>
  <r>
    <x v="1"/>
    <x v="7"/>
    <n v="0.73764592293513565"/>
    <n v="0.33333333333333331"/>
    <n v="0.29166666666666669"/>
    <n v="0.375"/>
  </r>
  <r>
    <x v="1"/>
    <x v="8"/>
    <n v="0.73764592293513565"/>
    <n v="0.33333333333333331"/>
    <n v="0.29166666666666669"/>
    <n v="0.375"/>
  </r>
  <r>
    <x v="2"/>
    <x v="0"/>
    <n v="0.73764592293513565"/>
    <n v="0.33333333333333331"/>
    <n v="0.29166666666666669"/>
    <n v="0.375"/>
  </r>
  <r>
    <x v="2"/>
    <x v="1"/>
    <n v="0.73764592293513565"/>
    <n v="0.33333333333333331"/>
    <n v="0.29166666666666669"/>
    <n v="0.375"/>
  </r>
  <r>
    <x v="2"/>
    <x v="2"/>
    <n v="0.73764592293513565"/>
    <n v="0.33333333333333331"/>
    <n v="0.29166666666666669"/>
    <n v="0.375"/>
  </r>
  <r>
    <x v="2"/>
    <x v="3"/>
    <n v="0.73764592293513565"/>
    <n v="0.33333333333333331"/>
    <n v="0.29166666666666669"/>
    <n v="0.375"/>
  </r>
  <r>
    <x v="2"/>
    <x v="4"/>
    <n v="0.73764592293513565"/>
    <n v="0.33333333333333331"/>
    <n v="0.29166666666666669"/>
    <n v="0.375"/>
  </r>
  <r>
    <x v="2"/>
    <x v="5"/>
    <n v="0.73764592293513565"/>
    <n v="0.33333333333333331"/>
    <n v="0.29166666666666669"/>
    <n v="0.375"/>
  </r>
  <r>
    <x v="2"/>
    <x v="9"/>
    <n v="0.73764592293513565"/>
    <n v="0.33333333333333331"/>
    <n v="0.29166666666666669"/>
    <n v="0.375"/>
  </r>
  <r>
    <x v="2"/>
    <x v="7"/>
    <n v="0.73764592293513565"/>
    <n v="0.33333333333333331"/>
    <n v="0.29166666666666669"/>
    <n v="0.375"/>
  </r>
  <r>
    <x v="2"/>
    <x v="8"/>
    <n v="0.73764592293513565"/>
    <n v="0.33333333333333331"/>
    <n v="0.29166666666666669"/>
    <n v="0.375"/>
  </r>
  <r>
    <x v="2"/>
    <x v="10"/>
    <n v="0.73764592293513565"/>
    <n v="0.33333333333333331"/>
    <n v="0.29166666666666669"/>
    <n v="0.375"/>
  </r>
  <r>
    <x v="2"/>
    <x v="11"/>
    <n v="0.73764592293513565"/>
    <n v="0.33333333333333331"/>
    <n v="0.29166666666666669"/>
    <n v="0.375"/>
  </r>
  <r>
    <x v="3"/>
    <x v="0"/>
    <n v="0.73764592293513565"/>
    <n v="0.33333333333333331"/>
    <n v="0.29166666666666669"/>
    <n v="0.375"/>
  </r>
  <r>
    <x v="3"/>
    <x v="1"/>
    <n v="0.73764592293513565"/>
    <n v="0.33333333333333331"/>
    <n v="0.29166666666666669"/>
    <n v="0.375"/>
  </r>
  <r>
    <x v="3"/>
    <x v="2"/>
    <n v="0.73764592293513565"/>
    <n v="0.33333333333333331"/>
    <n v="0.29166666666666669"/>
    <n v="0.375"/>
  </r>
  <r>
    <x v="3"/>
    <x v="3"/>
    <n v="0.73764592293513565"/>
    <n v="0.33333333333333331"/>
    <n v="0.29166666666666669"/>
    <n v="0.375"/>
  </r>
  <r>
    <x v="3"/>
    <x v="4"/>
    <n v="0.73764592293513565"/>
    <n v="0.33333333333333331"/>
    <n v="0.29166666666666669"/>
    <n v="0.375"/>
  </r>
  <r>
    <x v="3"/>
    <x v="5"/>
    <n v="0.73764592293513565"/>
    <n v="0.33333333333333331"/>
    <n v="0.29166666666666669"/>
    <n v="0.375"/>
  </r>
  <r>
    <x v="3"/>
    <x v="12"/>
    <n v="0.73764592293513565"/>
    <n v="0.33333333333333331"/>
    <n v="0.29166666666666669"/>
    <n v="0.375"/>
  </r>
  <r>
    <x v="3"/>
    <x v="7"/>
    <n v="0.73764592293513565"/>
    <n v="0.33333333333333331"/>
    <n v="0.29166666666666669"/>
    <n v="0.375"/>
  </r>
  <r>
    <x v="3"/>
    <x v="8"/>
    <n v="0.73764592293513565"/>
    <n v="0.33333333333333331"/>
    <n v="0.29166666666666669"/>
    <n v="0.375"/>
  </r>
  <r>
    <x v="3"/>
    <x v="10"/>
    <n v="0.73764592293513565"/>
    <n v="0.33333333333333331"/>
    <n v="0.29166666666666669"/>
    <n v="0.375"/>
  </r>
  <r>
    <x v="3"/>
    <x v="11"/>
    <n v="0.73764592293513565"/>
    <n v="0.33333333333333331"/>
    <n v="0.29166666666666669"/>
    <n v="0.375"/>
  </r>
  <r>
    <x v="3"/>
    <x v="13"/>
    <n v="0.73764592293513565"/>
    <n v="0.33333333333333331"/>
    <n v="0.29166666666666669"/>
    <n v="0.375"/>
  </r>
  <r>
    <x v="4"/>
    <x v="7"/>
    <n v="0.73764592293513565"/>
    <n v="0.33333333333333331"/>
    <n v="0.29166666666666669"/>
    <n v="0.375"/>
  </r>
  <r>
    <x v="4"/>
    <x v="0"/>
    <n v="0.73764592293513565"/>
    <n v="0.33333333333333331"/>
    <n v="0.29166666666666669"/>
    <n v="0.375"/>
  </r>
  <r>
    <x v="4"/>
    <x v="1"/>
    <n v="0.73764592293513565"/>
    <n v="0.33333333333333331"/>
    <n v="0.29166666666666669"/>
    <n v="0.375"/>
  </r>
  <r>
    <x v="4"/>
    <x v="2"/>
    <n v="0.73764592293513565"/>
    <n v="0.33333333333333331"/>
    <n v="0.29166666666666669"/>
    <n v="0.375"/>
  </r>
  <r>
    <x v="4"/>
    <x v="10"/>
    <n v="0.73764592293513565"/>
    <n v="0.33333333333333331"/>
    <n v="0.29166666666666669"/>
    <n v="0.375"/>
  </r>
  <r>
    <x v="4"/>
    <x v="3"/>
    <n v="0.73764592293513565"/>
    <n v="0.33333333333333331"/>
    <n v="0.29166666666666669"/>
    <n v="0.375"/>
  </r>
  <r>
    <x v="4"/>
    <x v="4"/>
    <n v="0.73764592293513565"/>
    <n v="0.33333333333333331"/>
    <n v="0.29166666666666669"/>
    <n v="0.375"/>
  </r>
  <r>
    <x v="4"/>
    <x v="5"/>
    <n v="0.73764592293513565"/>
    <n v="0.33333333333333331"/>
    <n v="0.29166666666666669"/>
    <n v="0.375"/>
  </r>
  <r>
    <x v="4"/>
    <x v="9"/>
    <n v="0.73764592293513565"/>
    <n v="0.33333333333333331"/>
    <n v="0.29166666666666669"/>
    <n v="0.375"/>
  </r>
  <r>
    <x v="4"/>
    <x v="6"/>
    <n v="0.73764592293513565"/>
    <n v="0.33333333333333331"/>
    <n v="0.29166666666666669"/>
    <n v="0.375"/>
  </r>
  <r>
    <x v="4"/>
    <x v="12"/>
    <n v="0.73764592293513565"/>
    <n v="0.33333333333333331"/>
    <n v="0.29166666666666669"/>
    <n v="0.375"/>
  </r>
  <r>
    <x v="4"/>
    <x v="8"/>
    <n v="0.73764592293513565"/>
    <n v="0.33333333333333331"/>
    <n v="0.29166666666666669"/>
    <n v="0.375"/>
  </r>
  <r>
    <x v="4"/>
    <x v="13"/>
    <n v="0.73764592293513565"/>
    <n v="0.33333333333333331"/>
    <n v="0.29166666666666669"/>
    <n v="0.375"/>
  </r>
  <r>
    <x v="4"/>
    <x v="11"/>
    <n v="0.73764592293513565"/>
    <n v="0.33333333333333331"/>
    <n v="0.29166666666666669"/>
    <n v="0.37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8">
  <r>
    <x v="0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Cancers"/>
    <n v="8.9809779297667564E-2"/>
    <n v="2.5999999999999999E-2"/>
    <n v="2.5999999999999999E-2"/>
    <n v="8.5000000000000006E-2"/>
    <n v="24.289173334126499"/>
    <n v="7.0000000000000007E-2"/>
    <n v="1.7002421333888551"/>
    <n v="0.99784170771638514"/>
    <n v="27700000"/>
    <n v="0.14301764905993752"/>
    <n v="50"/>
    <n v="50"/>
    <n v="9.9999999999999978E-2"/>
    <n v="0.33340000000000003"/>
    <n v="2.5999999999999999E-2"/>
    <n v="16.658711101877199"/>
    <n v="22.173118639135399"/>
    <n v="1.3389494050021937"/>
    <n v="234.5"/>
    <n v="6.3196889299024783E-3"/>
    <n v="0.8"/>
    <n v="19.431338667301201"/>
    <n v="67635124"/>
    <n v="82.297079063317852"/>
    <n v="2.5999999999999999E-2"/>
    <n v="720200"/>
    <n v="64681.003050180181"/>
    <n v="1257615774.8399999"/>
    <n v="1746.203519633435"/>
    <n v="51.7"/>
    <n v="112946195.17964558"/>
    <n v="4.0774799703843172"/>
    <n v="1.6344874178278568"/>
    <n v="0"/>
    <n v="0"/>
    <n v="0"/>
    <n v="0"/>
    <n v="0"/>
    <n v="0.50393265050357905"/>
    <n v="82.89082149311910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313311150045425E-3"/>
    <n v="15969080.043905314"/>
    <n v="14534900.489575392"/>
    <n v="1434179.5543299224"/>
    <n v="6.1899999999999997E-2"/>
    <n v="254"/>
    <n v="32953110.44789074"/>
    <n v="4.4797934696211971E-3"/>
    <n v="0.56134000000000006"/>
    <n v="0.51092617848904731"/>
    <n v="5.041382151095275E-2"/>
    <n v="1.9847961224784546E-4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Diabète"/>
    <n v="0.2893870666258177"/>
    <n v="3.6700000000000003E-2"/>
    <n v="3.6700000000000003E-2"/>
    <n v="0.114"/>
    <n v="10.311441509770701"/>
    <n v="7.0000000000000007E-2"/>
    <n v="0.72180090568394906"/>
    <n v="0.99731334462301791"/>
    <n v="27700000"/>
    <n v="0.27600342134882699"/>
    <n v="50"/>
    <n v="50"/>
    <n v="9.9999999999999978E-2"/>
    <n v="0.33340000000000003"/>
    <n v="3.6700000000000003E-2"/>
    <n v="16.658711101877199"/>
    <n v="10.42033853287208"/>
    <n v="4.6343873565030878"/>
    <n v="234.5"/>
    <n v="2.0939832741372771E-2"/>
    <n v="0.8"/>
    <n v="8.2491532078165601"/>
    <n v="67635124"/>
    <n v="82.297079063317852"/>
    <n v="3.6700000000000003E-2"/>
    <n v="1016590.0000000001"/>
    <n v="294187.99806114007"/>
    <n v="756671404.20000005"/>
    <n v="744.32308423258144"/>
    <n v="51.7"/>
    <n v="218970918.06107646"/>
    <n v="7.9050872946236987"/>
    <n v="3.154324815415166"/>
    <n v="0"/>
    <n v="0"/>
    <n v="0"/>
    <n v="0"/>
    <n v="0"/>
    <n v="0.50393265050357905"/>
    <n v="83.09039878044725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1266463097159945E-3"/>
    <n v="10593211.949132429"/>
    <n v="7527673.4170274343"/>
    <n v="3065538.5321049951"/>
    <n v="6.1899999999999997E-2"/>
    <n v="254"/>
    <n v="21859699.018222708"/>
    <n v="2.6712186938397499E-3"/>
    <n v="1.0626852000000002"/>
    <n v="0.75515784722532964"/>
    <n v="0.30752735277467058"/>
    <n v="1.2107376093490967E-3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aladies neurologiques ou dégénératives"/>
    <n v="0.21454558387776099"/>
    <n v="6.593568911523901E-4"/>
    <n v="6.593568911523901E-4"/>
    <n v="0"/>
    <n v="4.7304000000000004"/>
    <n v="7.0000000000000007E-2"/>
    <n v="0.33112800000000003"/>
    <n v="1"/>
    <n v="27700000"/>
    <n v="1.6910492885881272E-3"/>
    <n v="50"/>
    <n v="50"/>
    <n v="9.9999999999999978E-2"/>
    <n v="0.33340000000000003"/>
    <n v="6.593568911523901E-4"/>
    <n v="16.658711101877199"/>
    <n v="45.453421187287603"/>
    <n v="0.11951941618289752"/>
    <n v="234.5"/>
    <n v="5.16888978556442E-4"/>
    <n v="0.8"/>
    <n v="3.7843200000000006"/>
    <n v="67635124"/>
    <n v="82.297079063317852"/>
    <n v="6.593568911523901E-4"/>
    <n v="18264.185884921208"/>
    <n v="3918.5004247323814"/>
    <n v="60180000"/>
    <n v="3294.9730351619019"/>
    <n v="51.7"/>
    <n v="12911353.237763656"/>
    <n v="0.46611383529832695"/>
    <n v="1.9326277583864307E-2"/>
    <n v="0"/>
    <n v="0"/>
    <n v="0"/>
    <n v="0"/>
    <n v="0"/>
    <n v="0.50393265050357905"/>
    <n v="83.015557297699203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113437047842957E-4"/>
    <n v="830169.73367023666"/>
    <n v="652060.48344231036"/>
    <n v="178109.2502279263"/>
    <n v="6.1899999999999997E-2"/>
    <n v="254"/>
    <n v="1713102.7491199889"/>
    <n v="2.1816900692061492E-4"/>
    <n v="0"/>
    <n v="0"/>
    <n v="0"/>
    <n v="0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aladies cardio-neurovasculaires"/>
    <n v="0.11974637239689005"/>
    <n v="8.741584028593305E-3"/>
    <n v="8.741584028593305E-3"/>
    <n v="6.8000000000000005E-2"/>
    <n v="16.260750000000002"/>
    <n v="7.0000000000000007E-2"/>
    <n v="1.1382525000000001"/>
    <n v="0.99809973356799431"/>
    <n v="27700000"/>
    <n v="4.2932411739332398E-2"/>
    <n v="50"/>
    <n v="50"/>
    <n v="9.9999999999999978E-2"/>
    <n v="0.33340000000000003"/>
    <n v="8.741584028593305E-3"/>
    <n v="16.658711101877199"/>
    <n v="80.324106187301894"/>
    <n v="0.62445178490217967"/>
    <n v="234.5"/>
    <n v="2.8459880453795823E-3"/>
    <n v="0.8"/>
    <n v="13.008600000000001"/>
    <n v="67635124"/>
    <n v="82.297079063317852"/>
    <n v="8.741584028593305E-3"/>
    <n v="242141.87759203455"/>
    <n v="28995.611447017935"/>
    <n v="1022040000"/>
    <n v="4220.8312340005614"/>
    <n v="51.7"/>
    <n v="122385582.44451751"/>
    <n v="4.4182520738092963"/>
    <n v="0.49065613416379883"/>
    <n v="0"/>
    <n v="0"/>
    <n v="0"/>
    <n v="0"/>
    <n v="0"/>
    <n v="0.50393265050357905"/>
    <n v="82.920758086218328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3168216715414E-3"/>
    <n v="19449829.888095241"/>
    <n v="17120783.315259226"/>
    <n v="2329046.5728360154"/>
    <n v="6.1899999999999997E-2"/>
    <n v="254"/>
    <n v="40135836.92566587"/>
    <n v="5.3734884949586201E-3"/>
    <n v="0.15098463934186357"/>
    <n v="0.13290477649302265"/>
    <n v="1.8079862848840916E-2"/>
    <n v="7.1180562397011481E-5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aladies respiratoires"/>
    <n v="0.10477807584727883"/>
    <n v="4.1000000000000002E-2"/>
    <n v="4.1000000000000002E-2"/>
    <n v="0.17199999999999999"/>
    <n v="3.8954334592466999"/>
    <n v="7.0000000000000007E-2"/>
    <n v="0.27268034214726899"/>
    <n v="0.82690611956969029"/>
    <n v="27700000"/>
    <n v="3.4969107056328594E-2"/>
    <n v="50"/>
    <n v="50"/>
    <n v="9.9999999999999978E-2"/>
    <n v="0.33340000000000003"/>
    <n v="4.1000000000000002E-2"/>
    <n v="16.658711101877199"/>
    <n v="6.5286422873795198"/>
    <n v="1.6796147488713495"/>
    <n v="234.5"/>
    <n v="7.3116582342331688E-3"/>
    <n v="0.8"/>
    <n v="3.1163467673973599"/>
    <n v="67635124"/>
    <n v="82.297079063317852"/>
    <n v="0.11599999999999999"/>
    <n v="3213200"/>
    <n v="336672.91331247636"/>
    <n v="552654220.25999999"/>
    <n v="171.99496460226564"/>
    <n v="51.7"/>
    <n v="57906045.807721019"/>
    <n v="2.0904709677877622"/>
    <n v="0.39964693778661253"/>
    <n v="0"/>
    <n v="0"/>
    <n v="0"/>
    <n v="0"/>
    <n v="0"/>
    <n v="0.50393265050357905"/>
    <n v="82.905789789668717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9.2914847222924429E-4"/>
    <n v="7414579.0457769213"/>
    <n v="6637693.7201428628"/>
    <n v="776885.32563405856"/>
    <n v="6.1899999999999997E-2"/>
    <n v="254"/>
    <n v="15300408.135492712"/>
    <n v="2.0642319011141097E-3"/>
    <n v="1.7912080000000001"/>
    <n v="1.6035286723177473"/>
    <n v="0.18767932768225282"/>
    <n v="7.3889499087501109E-4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aladies mentales"/>
    <n v="0.10976750803048256"/>
    <n v="0.14499999999999999"/>
    <n v="0.14499999999999999"/>
    <n v="0.153"/>
    <n v="29.93"/>
    <n v="7.0000000000000007E-2"/>
    <n v="2.0951"/>
    <n v="0.82690611956969029"/>
    <n v="27700000"/>
    <n v="0.99545813681589546"/>
    <n v="50"/>
    <n v="50"/>
    <n v="9.9999999999999978E-2"/>
    <n v="0.33340000000000003"/>
    <n v="0.14499999999999999"/>
    <n v="16.658711101877199"/>
    <n v="17.7120401072847"/>
    <n v="8.2986171635173491"/>
    <n v="234.5"/>
    <n v="3.963358337029102E-2"/>
    <n v="0.8"/>
    <n v="23.944000000000003"/>
    <n v="67635124"/>
    <n v="82.297079063317852"/>
    <n v="0.14499999999999999"/>
    <n v="4016499.9999999995"/>
    <n v="440881.19600443315"/>
    <n v="5730042552.54"/>
    <n v="1426.625806682435"/>
    <n v="51.7"/>
    <n v="628972491.90094125"/>
    <n v="22.706588155268637"/>
    <n v="11.376664420753091"/>
    <n v="0"/>
    <n v="0"/>
    <n v="0"/>
    <n v="0"/>
    <n v="0"/>
    <n v="0.50393265050357905"/>
    <n v="82.910779221851925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2717631558217063E-2"/>
    <n v="71140409.090908989"/>
    <n v="63331503.664730832"/>
    <n v="7808905.4261781573"/>
    <n v="6.1899999999999997E-2"/>
    <n v="254"/>
    <n v="146802304.9314959"/>
    <n v="1.9755166364211284E-2"/>
    <n v="5.6349899999999993"/>
    <n v="5.0164511899233108"/>
    <n v="0.61853881007668843"/>
    <n v="2.4351921656562536E-3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Troubles musculo-squelettiques"/>
    <n v="0.22452444824416889"/>
    <n v="0.1217"/>
    <n v="0.1217"/>
    <n v="9.1999999999999998E-2"/>
    <n v="7.27956"/>
    <n v="7.0000000000000007E-2"/>
    <n v="0.50956920000000006"/>
    <n v="1"/>
    <n v="27700000"/>
    <n v="0.50266380796279742"/>
    <n v="50"/>
    <n v="50"/>
    <n v="9.9999999999999978E-2"/>
    <n v="0.33340000000000003"/>
    <n v="0.1217"/>
    <n v="16.658711101877199"/>
    <n v="21.5"/>
    <n v="15.453803697631404"/>
    <n v="234.5"/>
    <n v="6.8044637550508325E-2"/>
    <n v="0.8"/>
    <n v="5.8236480000000004"/>
    <n v="67635124"/>
    <n v="82.297079063317852"/>
    <n v="0.1217"/>
    <n v="3371090"/>
    <n v="756892.12223143526"/>
    <n v="0"/>
    <n v="0"/>
    <n v="51.7"/>
    <n v="723929470.30825627"/>
    <n v="26.134637917265568"/>
    <n v="5.7447292338605402"/>
    <n v="0"/>
    <n v="0"/>
    <n v="0"/>
    <n v="0"/>
    <n v="0"/>
    <n v="0.50393265050357905"/>
    <n v="83.02553616206560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1895286250420189E-2"/>
    <n v="72478435"/>
    <n v="56205254.372024149"/>
    <n v="16273180.627975851"/>
    <n v="6.1899999999999997E-2"/>
    <n v="254"/>
    <n v="149563397.95897081"/>
    <n v="1.8944571666476444E-2"/>
    <n v="2.8438856000000001"/>
    <n v="2.2053637547904628"/>
    <n v="0.63852184520953736"/>
    <n v="2.5138655323210133E-3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Obésité"/>
    <n v="0.12473580458009381"/>
    <n v="0.17849999999999999"/>
    <n v="8.4823104693140794E-4"/>
    <n v="0"/>
    <n v="1.82"/>
    <n v="7.0000000000000007E-2"/>
    <n v="0.12740000000000001"/>
    <n v="0.82690611956969029"/>
    <n v="27700000"/>
    <n v="8.4678902001058889E-2"/>
    <n v="50"/>
    <n v="50"/>
    <n v="9.9999999999999978E-2"/>
    <n v="0.33340000000000003"/>
    <n v="8.4823104693140805E-4"/>
    <n v="16.658711101877199"/>
    <n v="20.125"/>
    <n v="5.8142820704242752E-2"/>
    <n v="234.5"/>
    <n v="6.090478580183438E-4"/>
    <n v="0.8"/>
    <n v="1.4560000000000002"/>
    <n v="67635124"/>
    <n v="82.297079063317852"/>
    <n v="8.4823104693140805E-4"/>
    <n v="23496.000000000004"/>
    <n v="2930.7924644138848"/>
    <n v="0"/>
    <n v="0"/>
    <n v="51.7"/>
    <n v="2594813.7432746384"/>
    <n v="9.3675586399806443E-2"/>
    <n v="0.96775888001210164"/>
    <n v="0"/>
    <n v="0"/>
    <n v="0"/>
    <n v="0"/>
    <n v="0"/>
    <n v="0.50393265050357905"/>
    <n v="82.925747518401536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9605763672086121E-4"/>
    <n v="472856.99999999994"/>
    <n v="413874.80165367055"/>
    <n v="58982.198346329387"/>
    <n v="6.1899999999999997E-2"/>
    <n v="254"/>
    <n v="975767.47716317349"/>
    <n v="1.3030291918713496E-4"/>
    <n v="0"/>
    <n v="0"/>
    <n v="0"/>
    <n v="0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Infections"/>
    <n v="0.45626028693033643"/>
    <n v="0.1079"/>
    <n v="0.1079"/>
    <n v="7.6499999999999999E-2"/>
    <n v="7.67629534616262"/>
    <n v="7.0000000000000007E-2"/>
    <n v="0.53734067423138343"/>
    <n v="0.82690611956969029"/>
    <n v="27700000"/>
    <n v="0.78969659741536868"/>
    <n v="50"/>
    <n v="50"/>
    <n v="9.9999999999999978E-2"/>
    <n v="0.33340000000000003"/>
    <n v="0.1079"/>
    <n v="16.658711101877199"/>
    <n v="4.25"/>
    <n v="17.940046826413699"/>
    <n v="234.5"/>
    <n v="7.9870974088823307E-2"/>
    <n v="0.8"/>
    <n v="6.1410362769300963"/>
    <n v="67635124"/>
    <n v="82.297079063317852"/>
    <n v="0.1079"/>
    <n v="2988830"/>
    <n v="1363684.4333859975"/>
    <n v="0"/>
    <n v="0"/>
    <n v="51.7"/>
    <n v="88128106.507570103"/>
    <n v="3.1815200905259964"/>
    <n v="9.0251039704613572"/>
    <n v="0"/>
    <n v="0"/>
    <n v="0"/>
    <n v="0"/>
    <n v="0"/>
    <n v="0.50393265050357905"/>
    <n v="83.257272000751769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5547104705176691E-3"/>
    <n v="12702527.499999998"/>
    <n v="6906868.6581095094"/>
    <n v="5795658.8418904888"/>
    <n v="6.1899999999999997E-2"/>
    <n v="254"/>
    <n v="26212392.355978303"/>
    <n v="2.901835400961911E-3"/>
    <n v="2.0966048999999995"/>
    <n v="1.1400073467464504"/>
    <n v="0.95659755325354912"/>
    <n v="3.7661320994234219E-3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Dépendance"/>
    <n v="2.245244482441688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50393265050357905"/>
    <n v="80.54625619626313"/>
    <n v="2.2547555175583085"/>
    <n v="98.965586205274604"/>
    <n v="62.9"/>
    <n v="336905600000"/>
    <n v="15049171"/>
    <n v="22386.987296509556"/>
    <n v="29461275282.206577"/>
    <n v="435.59135460750508"/>
    <n v="33.352864371928391"/>
    <n v="65.612721833346214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4482358893039631E-2"/>
    <n v="0"/>
    <n v="0"/>
    <n v="0"/>
    <n v="0"/>
    <n v="254"/>
    <n v="0"/>
    <n v="0"/>
    <n v="0"/>
    <n v="0"/>
    <n v="0"/>
    <n v="0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ort prématurée"/>
    <n v="0.14469353331290885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50393265050357905"/>
    <n v="82.945705247134342"/>
    <n v="0"/>
    <n v="0"/>
    <n v="62.9"/>
    <n v="336905600000"/>
    <n v="15049171"/>
    <n v="22386.987296509556"/>
    <n v="0"/>
    <n v="0"/>
    <n v="0"/>
    <n v="0"/>
    <n v="17482.443528217791"/>
    <n v="52.74"/>
    <n v="10.159999999999997"/>
    <n v="19.90101171382144"/>
    <n v="106583.42676924677"/>
    <n v="97601.789429271477"/>
    <n v="302038.31496633729"/>
    <n v="117293.58934859755"/>
    <n v="1523999.9999999995"/>
    <n v="1248921597.9379506"/>
    <n v="294804.96027377353"/>
    <n v="171448357.05762598"/>
    <n v="15.930675914489704"/>
    <n v="0.14469353331290885"/>
    <n v="2680"/>
    <n v="5.9442820576454123E-3"/>
    <n v="0"/>
    <n v="0"/>
    <n v="0"/>
    <n v="0"/>
    <n v="254"/>
    <n v="0"/>
    <n v="0"/>
    <n v="0"/>
    <n v="0"/>
    <n v="0"/>
    <n v="0"/>
    <n v="5.8333039429220801E-2"/>
    <n v="1.4658164114728258E-2"/>
    <n v="11"/>
    <n v="0.85076983926913452"/>
    <n v="0"/>
    <n v="11.137177963206547"/>
    <n v="9.0909090909090912E-2"/>
    <n v="8.9789352680154741E-2"/>
  </r>
  <r>
    <x v="0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3966184516047948"/>
    <n v="1.4392894727292521E-2"/>
    <n v="11.225190487162088"/>
    <n v="9.0909090909090912E-2"/>
    <n v="8.9085347918475846E-2"/>
  </r>
  <r>
    <x v="1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68054183762612652"/>
    <n v="1.2135452577082654E-2"/>
    <n v="11.109730433371487"/>
    <n v="9.0909090909090912E-2"/>
    <n v="9.001118487953523E-2"/>
  </r>
  <r>
    <x v="2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31563677172153043"/>
    <n v="1.3003350630813707E-4"/>
    <n v="11.05089321160591"/>
    <n v="9.0909090909090912E-2"/>
    <n v="9.0490422887244654E-2"/>
  </r>
  <r>
    <x v="3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1688035738877327"/>
    <n v="9.6557438521367826E-3"/>
    <n v="11.188457660643202"/>
    <n v="9.0909090909090912E-2"/>
    <n v="8.9377824033568531E-2"/>
  </r>
  <r>
    <x v="4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52204401140486179"/>
    <n v="1.2443904150185675E-2"/>
    <n v="11.084174274737117"/>
    <n v="9.0909090909090912E-2"/>
    <n v="9.0218718617514418E-2"/>
  </r>
  <r>
    <x v="5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49446424657188709"/>
    <n v="1.0795805058605798E-2"/>
    <n v="11.079727318826279"/>
    <n v="9.0909090909090912E-2"/>
    <n v="9.025492877436031E-2"/>
  </r>
  <r>
    <x v="6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85274500894619554"/>
    <n v="4.2903496994109176E-2"/>
    <n v="11.137496439180635"/>
    <n v="9.0909090909090912E-2"/>
    <n v="8.9786785159553156E-2"/>
  </r>
  <r>
    <x v="7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6219398392978641"/>
    <n v="9.628527536862988E-2"/>
    <n v="11.261521263835085"/>
    <n v="9.0909090909090912E-2"/>
    <n v="8.8797949812639457E-2"/>
  </r>
  <r>
    <x v="8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96913802401210614"/>
    <n v="0.10293966445307301"/>
    <n v="11.156263626263723"/>
    <n v="9.0909090909090912E-2"/>
    <n v="8.9635744860477456E-2"/>
  </r>
  <r>
    <x v="9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3987208237662601"/>
    <n v="2.1768516166491274E-2"/>
    <n v="11.225529473239991"/>
    <n v="9.0909090909090912E-2"/>
    <n v="8.9082657738670828E-2"/>
  </r>
  <r>
    <x v="10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1624525375985588"/>
    <n v="3.7953151649308701E-2"/>
    <n v="11.18743362078872"/>
    <n v="9.0909090909090912E-2"/>
    <n v="8.9386005217655939E-2"/>
  </r>
  <r>
    <x v="11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19346787829229528"/>
    <n v="2.8126549817953091E-2"/>
    <n v="11.031194723020304"/>
    <n v="9.0909090909090912E-2"/>
    <n v="9.065201232584201E-2"/>
  </r>
  <r>
    <x v="12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13729577077682142"/>
    <n v="1.373516710817578E-2"/>
    <n v="11.022137543343351"/>
    <n v="9.0909090909090912E-2"/>
    <n v="9.0726503463380792E-2"/>
  </r>
  <r>
    <x v="13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60922528771817497"/>
    <n v="3.8601807163334179E-3"/>
    <n v="11.098231366752371"/>
    <n v="9.0909090909090912E-2"/>
    <n v="9.0104447001867274E-2"/>
  </r>
  <r>
    <x v="14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78414927716175975"/>
    <n v="0.12835819090128339"/>
    <n v="11.126436076745907"/>
    <n v="9.0909090909090912E-2"/>
    <n v="8.9876038751526707E-2"/>
  </r>
  <r>
    <x v="15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99648427619813984"/>
    <n v="0.42377466100567313"/>
    <n v="11.160672930640844"/>
    <n v="9.0909090909090912E-2"/>
    <n v="8.9600332006376626E-2"/>
  </r>
  <r>
    <x v="16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1.1593596509901765"/>
    <n v="4.0741311947357597E-2"/>
    <n v="11.186934924354288"/>
    <n v="9.0909090909090912E-2"/>
    <n v="8.9389989908940148E-2"/>
  </r>
  <r>
    <x v="17"/>
    <n v="7.5"/>
    <x v="0"/>
    <s v="Migraine"/>
    <n v="0.2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50393265050357905"/>
    <n v="83.011011713821432"/>
    <n v="0"/>
    <n v="0"/>
    <n v="62.9"/>
    <n v="336905600000"/>
    <n v="15049171"/>
    <n v="22386.987296509556"/>
    <n v="0"/>
    <n v="0"/>
    <n v="0"/>
    <n v="0"/>
    <n v="0"/>
    <n v="52.74"/>
    <n v="10.159999999999997"/>
    <n v="19.90101171382144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5.0967640000000012"/>
    <n v="1.3548359999999997"/>
    <n v="5.3339999999999985E-3"/>
    <n v="5.8333039429220801E-2"/>
    <n v="1.4658164114728258E-2"/>
    <n v="11"/>
    <n v="0.85076983926913452"/>
    <n v="0"/>
    <n v="11.137177963206547"/>
    <n v="9.0909090909090912E-2"/>
    <n v="8.9789352680154741E-2"/>
  </r>
  <r>
    <x v="0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Cancers"/>
    <n v="0.14968089896154918"/>
    <n v="2.5999999999999999E-2"/>
    <n v="2.5999999999999999E-2"/>
    <n v="8.5000000000000006E-2"/>
    <n v="24.289173334126499"/>
    <n v="7.0000000000000007E-2"/>
    <n v="1.7002421333888551"/>
    <n v="0.99784170771638514"/>
    <n v="27700000"/>
    <n v="0.23835945757874455"/>
    <n v="50"/>
    <n v="50"/>
    <n v="9.9999999999999978E-2"/>
    <n v="0.33340000000000003"/>
    <n v="2.5999999999999999E-2"/>
    <n v="16.658711101877199"/>
    <n v="22.173118639135399"/>
    <n v="2.2315515322724409"/>
    <n v="234.5"/>
    <n v="1.0532669466316357E-2"/>
    <n v="0.8"/>
    <n v="19.431338667301201"/>
    <n v="67635124"/>
    <n v="82.297079063317852"/>
    <n v="2.5999999999999999E-2"/>
    <n v="720200"/>
    <n v="107800.18343210772"/>
    <n v="1257615774.8399999"/>
    <n v="1746.203519633435"/>
    <n v="51.7"/>
    <n v="188241059.7262764"/>
    <n v="6.7957061273023971"/>
    <n v="2.7241080866142231"/>
    <n v="0"/>
    <n v="0"/>
    <n v="0"/>
    <n v="0"/>
    <n v="0"/>
    <n v="0.83987615528424797"/>
    <n v="83.28663611756364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552169482804709E-3"/>
    <n v="15969080.043905314"/>
    <n v="13578813.787344631"/>
    <n v="2390266.2565606833"/>
    <n v="6.1899999999999997E-2"/>
    <n v="254"/>
    <n v="32953110.44789074"/>
    <n v="4.3439046293712235E-3"/>
    <n v="0.56134000000000006"/>
    <n v="0.47731812417692393"/>
    <n v="8.4021875823076131E-2"/>
    <n v="3.3079478670502413E-4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Diabète"/>
    <n v="0.48230511887610295"/>
    <n v="3.6700000000000003E-2"/>
    <n v="3.6700000000000003E-2"/>
    <n v="0.114"/>
    <n v="10.311441509770701"/>
    <n v="7.0000000000000007E-2"/>
    <n v="0.72180090568394906"/>
    <n v="0.99731334462301791"/>
    <n v="27700000"/>
    <n v="0.45999935137384956"/>
    <n v="50"/>
    <n v="50"/>
    <n v="9.9999999999999978E-2"/>
    <n v="0.33340000000000003"/>
    <n v="3.6700000000000003E-2"/>
    <n v="16.658711101877199"/>
    <n v="10.42033853287208"/>
    <n v="7.7238722896564909"/>
    <n v="234.5"/>
    <n v="3.4899239407378845E-2"/>
    <n v="0.8"/>
    <n v="8.2491532078165601"/>
    <n v="67635124"/>
    <n v="82.297079063317852"/>
    <n v="3.6700000000000003E-2"/>
    <n v="1016590.0000000001"/>
    <n v="490306.56079825753"/>
    <n v="756671404.20000005"/>
    <n v="744.32308423258144"/>
    <n v="51.7"/>
    <n v="364946491.55282873"/>
    <n v="13.174963593964936"/>
    <n v="5.2571354442725662"/>
    <n v="0"/>
    <n v="0"/>
    <n v="0"/>
    <n v="0"/>
    <n v="0"/>
    <n v="0.83987615528424797"/>
    <n v="83.619260337478195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8776488948647397E-3"/>
    <n v="10593211.949132429"/>
    <n v="5484051.6007263586"/>
    <n v="5109160.3484060708"/>
    <n v="6.1899999999999997E-2"/>
    <n v="254"/>
    <n v="21859699.018222708"/>
    <n v="2.3807582179448871E-3"/>
    <n v="1.0626852000000002"/>
    <n v="0.5501466882861249"/>
    <n v="0.51253851171387532"/>
    <n v="2.01786815635384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aladies neurologiques ou dégénératives"/>
    <n v="0.36"/>
    <n v="6.593568911523901E-4"/>
    <n v="6.593568911523901E-4"/>
    <n v="0"/>
    <n v="4.7304000000000004"/>
    <n v="7.0000000000000007E-2"/>
    <n v="0.33112800000000003"/>
    <n v="1"/>
    <n v="27700000"/>
    <n v="2.8375216720311594E-3"/>
    <n v="50"/>
    <n v="50"/>
    <n v="9.9999999999999978E-2"/>
    <n v="0.33340000000000003"/>
    <n v="6.593568911523901E-4"/>
    <n v="16.658711101877199"/>
    <n v="45.453421187287603"/>
    <n v="0.20054940795406012"/>
    <n v="234.5"/>
    <n v="8.6732166151851293E-4"/>
    <n v="0.8"/>
    <n v="3.7843200000000006"/>
    <n v="67635124"/>
    <n v="82.297079063317852"/>
    <n v="6.593568911523901E-4"/>
    <n v="18264.185884921208"/>
    <n v="6575.1069185716342"/>
    <n v="60180000"/>
    <n v="3294.9730351619019"/>
    <n v="51.7"/>
    <n v="21664799.999999996"/>
    <n v="0.78212274368231038"/>
    <n v="3.2428819108927538E-2"/>
    <n v="0"/>
    <n v="0"/>
    <n v="0"/>
    <n v="0"/>
    <n v="0"/>
    <n v="0.83987615528424797"/>
    <n v="83.496955218602096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393715029523806E-4"/>
    <n v="830169.73367023666"/>
    <n v="531308.62954895152"/>
    <n v="298861.10412128514"/>
    <n v="6.1899999999999997E-2"/>
    <n v="254"/>
    <n v="1713102.7491199889"/>
    <n v="2.010065159610426E-4"/>
    <n v="0"/>
    <n v="0"/>
    <n v="0"/>
    <n v="0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aladies cardio-neurovasculaires"/>
    <n v="0.1995745319487322"/>
    <n v="8.741584028593305E-3"/>
    <n v="8.741584028593305E-3"/>
    <n v="6.8000000000000005E-2"/>
    <n v="16.260750000000002"/>
    <n v="7.0000000000000007E-2"/>
    <n v="1.1382525000000001"/>
    <n v="0.99809973356799431"/>
    <n v="27700000"/>
    <n v="7.1553031685242463E-2"/>
    <n v="50"/>
    <n v="50"/>
    <n v="9.9999999999999978E-2"/>
    <n v="0.33340000000000003"/>
    <n v="8.741584028593305E-3"/>
    <n v="16.658711101877199"/>
    <n v="80.324106187301894"/>
    <n v="1.040738606121145"/>
    <n v="234.5"/>
    <n v="4.7432479224152977E-3"/>
    <n v="0.8"/>
    <n v="13.008600000000001"/>
    <n v="67635124"/>
    <n v="82.297079063317852"/>
    <n v="8.741584028593305E-3"/>
    <n v="242141.87759203455"/>
    <n v="48325.3518856175"/>
    <n v="1022040000"/>
    <n v="4220.8312340005614"/>
    <n v="51.7"/>
    <n v="203973154.63288227"/>
    <n v="7.3636517918008035"/>
    <n v="0.81774893354562839"/>
    <n v="0"/>
    <n v="0"/>
    <n v="0"/>
    <n v="0"/>
    <n v="0"/>
    <n v="0.83987615528424797"/>
    <n v="83.33652975055082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0527614646815044E-3"/>
    <n v="19449829.888095241"/>
    <n v="15568139.191696171"/>
    <n v="3881690.6963990703"/>
    <n v="6.1899999999999997E-2"/>
    <n v="254"/>
    <n v="40135836.92566587"/>
    <n v="5.1528108003733473E-3"/>
    <n v="0.15098463934186357"/>
    <n v="0.12085195061376301"/>
    <n v="3.0132688728100557E-2"/>
    <n v="1.1863263278779747E-4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aladies respiratoires"/>
    <n v="0.17462771545514072"/>
    <n v="4.1000000000000002E-2"/>
    <n v="4.1000000000000002E-2"/>
    <n v="0.17199999999999999"/>
    <n v="3.8954334592466999"/>
    <n v="7.0000000000000007E-2"/>
    <n v="0.27268034214726899"/>
    <n v="0.82690611956969029"/>
    <n v="27700000"/>
    <n v="5.8281040450233614E-2"/>
    <n v="50"/>
    <n v="50"/>
    <n v="9.9999999999999978E-2"/>
    <n v="0.33340000000000003"/>
    <n v="4.1000000000000002E-2"/>
    <n v="16.658711101877199"/>
    <n v="6.5286422873795198"/>
    <n v="2.7993192666343574"/>
    <n v="234.5"/>
    <n v="1.2185928814859663E-2"/>
    <n v="0.8"/>
    <n v="3.1163467673973599"/>
    <n v="67635124"/>
    <n v="82.297079063317852"/>
    <n v="0.11599999999999999"/>
    <n v="3213200"/>
    <n v="561113.77530045819"/>
    <n v="552654220.25999999"/>
    <n v="171.99496460226564"/>
    <n v="51.7"/>
    <n v="96508743.920645937"/>
    <n v="3.4840701776406475"/>
    <n v="0.66606903371695558"/>
    <n v="0"/>
    <n v="0"/>
    <n v="0"/>
    <n v="0"/>
    <n v="0"/>
    <n v="0.83987615528424797"/>
    <n v="83.311582934057242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5485594072229862E-3"/>
    <n v="7414579.0457769213"/>
    <n v="6119788.0459513394"/>
    <n v="1294790.9998255819"/>
    <n v="6.1899999999999997E-2"/>
    <n v="254"/>
    <n v="15300408.135492712"/>
    <n v="1.9906218391181002E-3"/>
    <n v="1.7912080000000001"/>
    <n v="1.4784134390550281"/>
    <n v="0.31279456094497204"/>
    <n v="1.2314746493896538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aladies mentales"/>
    <n v="0.18294332095300453"/>
    <n v="0.14499999999999999"/>
    <n v="0.14499999999999999"/>
    <n v="0.153"/>
    <n v="29.93"/>
    <n v="7.0000000000000007E-2"/>
    <n v="2.0951"/>
    <n v="0.82690611956969029"/>
    <n v="27700000"/>
    <n v="1.6590739890735007"/>
    <n v="50"/>
    <n v="50"/>
    <n v="9.9999999999999978E-2"/>
    <n v="0.33340000000000003"/>
    <n v="0.14499999999999999"/>
    <n v="16.658711101877199"/>
    <n v="17.7120401072847"/>
    <n v="13.830837653614827"/>
    <n v="234.5"/>
    <n v="6.6055060309971547E-2"/>
    <n v="0.8"/>
    <n v="23.944000000000003"/>
    <n v="67635124"/>
    <n v="82.297079063317852"/>
    <n v="0.14499999999999999"/>
    <n v="4016499.9999999995"/>
    <n v="734791.84860774258"/>
    <n v="5730042552.54"/>
    <n v="1426.625806682435"/>
    <n v="51.7"/>
    <n v="1048273013.7636985"/>
    <n v="37.84379111060283"/>
    <n v="18.960845589411438"/>
    <n v="0"/>
    <n v="0"/>
    <n v="0"/>
    <n v="0"/>
    <n v="0"/>
    <n v="0.83987615528424797"/>
    <n v="83.319898539555098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1195759962691893E-2"/>
    <n v="71140409.090908989"/>
    <n v="58125746.397862785"/>
    <n v="13014662.693046205"/>
    <n v="6.1899999999999997E-2"/>
    <n v="254"/>
    <n v="146802304.9314959"/>
    <n v="1.9015270792013657E-2"/>
    <n v="5.6349899999999993"/>
    <n v="4.6041062158630286"/>
    <n v="1.0308837841369707"/>
    <n v="4.0585975753424045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Troubles musculo-squelettiques"/>
    <n v="0.37420224740387292"/>
    <n v="0.1217"/>
    <n v="0.1217"/>
    <n v="9.1999999999999998E-2"/>
    <n v="7.27956"/>
    <n v="7.0000000000000007E-2"/>
    <n v="0.50956920000000006"/>
    <n v="1"/>
    <n v="27700000"/>
    <n v="0.83776144691250853"/>
    <n v="50"/>
    <n v="50"/>
    <n v="9.9999999999999978E-2"/>
    <n v="0.33340000000000003"/>
    <n v="0.1217"/>
    <n v="16.658711101877199"/>
    <n v="21.5"/>
    <n v="25.755983902043234"/>
    <n v="234.5"/>
    <n v="0.11340616353499251"/>
    <n v="0.8"/>
    <n v="5.8236480000000004"/>
    <n v="67635124"/>
    <n v="82.297079063317852"/>
    <n v="0.1217"/>
    <n v="3371090"/>
    <n v="1261469.454200722"/>
    <n v="0"/>
    <n v="0"/>
    <n v="51.7"/>
    <n v="1206532459.4702806"/>
    <n v="43.557128500732155"/>
    <n v="9.5744165361429534"/>
    <n v="0"/>
    <n v="0"/>
    <n v="0"/>
    <n v="0"/>
    <n v="0"/>
    <n v="0.83987615528424797"/>
    <n v="83.511157466005969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9825203371968324E-2"/>
    <n v="72478435"/>
    <n v="45356841.734684482"/>
    <n v="27121593.265315518"/>
    <n v="6.1899999999999997E-2"/>
    <n v="254"/>
    <n v="149563397.95897081"/>
    <n v="1.7402684086195642E-2"/>
    <n v="2.8438856000000001"/>
    <n v="1.7796972171204886"/>
    <n v="1.0641883828795116"/>
    <n v="4.1897180428327229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Obésité"/>
    <n v="0.20789013744659607"/>
    <n v="0.17849999999999999"/>
    <n v="8.4823104693140794E-4"/>
    <n v="0"/>
    <n v="1.82"/>
    <n v="7.0000000000000007E-2"/>
    <n v="0.12740000000000001"/>
    <n v="0.82690611956969029"/>
    <n v="27700000"/>
    <n v="0.1411295548626807"/>
    <n v="50"/>
    <n v="50"/>
    <n v="9.9999999999999978E-2"/>
    <n v="0.33340000000000003"/>
    <n v="8.4823104693140805E-4"/>
    <n v="16.658711101877199"/>
    <n v="20.125"/>
    <n v="9.6903363299961368E-2"/>
    <n v="234.5"/>
    <n v="1.0150657490944225E-3"/>
    <n v="0.8"/>
    <n v="1.4560000000000002"/>
    <n v="67635124"/>
    <n v="82.297079063317852"/>
    <n v="8.4823104693140805E-4"/>
    <n v="23496.000000000004"/>
    <n v="4884.5866694452216"/>
    <n v="0"/>
    <n v="0"/>
    <n v="51.7"/>
    <n v="4324629.8651266955"/>
    <n v="0.15612382184572907"/>
    <n v="1.6129091984306367"/>
    <n v="0"/>
    <n v="0"/>
    <n v="0"/>
    <n v="0"/>
    <n v="0"/>
    <n v="0.83987615528424797"/>
    <n v="83.344845356048694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6.6008694786431562E-4"/>
    <n v="472856.99999999994"/>
    <n v="374554.69327741495"/>
    <n v="98302.306722584995"/>
    <n v="6.1899999999999997E-2"/>
    <n v="254"/>
    <n v="975767.47716317349"/>
    <n v="1.2471434242596272E-4"/>
    <n v="0"/>
    <n v="0"/>
    <n v="0"/>
    <n v="0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Infections"/>
    <n v="0.46956247854973554"/>
    <n v="0.1079"/>
    <n v="0.1079"/>
    <n v="7.6499999999999999E-2"/>
    <n v="7.67629534616262"/>
    <n v="7.0000000000000007E-2"/>
    <n v="0.53734067423138343"/>
    <n v="0.82690611956969029"/>
    <n v="27700000"/>
    <n v="0.81272006836148358"/>
    <n v="50"/>
    <n v="50"/>
    <n v="9.9999999999999978E-2"/>
    <n v="0.33340000000000003"/>
    <n v="0.1079"/>
    <n v="16.658711101877199"/>
    <n v="4.25"/>
    <n v="18.463085862205094"/>
    <n v="234.5"/>
    <n v="8.2199598851030176E-2"/>
    <n v="0.8"/>
    <n v="6.1410362769300963"/>
    <n v="67635124"/>
    <n v="82.297079063317852"/>
    <n v="0.1079"/>
    <n v="2988830"/>
    <n v="1403442.4227638061"/>
    <n v="0"/>
    <n v="0"/>
    <n v="51.7"/>
    <n v="90697466.571110964"/>
    <n v="3.2742767715202512"/>
    <n v="9.2882293527026718"/>
    <n v="0"/>
    <n v="0"/>
    <n v="0"/>
    <n v="0"/>
    <n v="0"/>
    <n v="0.83987615528424797"/>
    <n v="83.6065176971518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6875022851578067E-3"/>
    <n v="12702527.499999998"/>
    <n v="6737897.2032538243"/>
    <n v="5964630.2967461739"/>
    <n v="6.1899999999999997E-2"/>
    <n v="254"/>
    <n v="26212392.355978303"/>
    <n v="2.8778194461514155E-3"/>
    <n v="2.0966048999999995"/>
    <n v="1.1121179066164795"/>
    <n v="0.98448699338352008"/>
    <n v="3.875933044817008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Dépendance"/>
    <n v="3.7420224740387296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0.83987615528424797"/>
    <n v="82.378977692640831"/>
    <n v="0.757977525961266"/>
    <n v="164.94036646460066"/>
    <n v="62.9"/>
    <n v="336905600000"/>
    <n v="15049171"/>
    <n v="22386.987296509556"/>
    <n v="29461275282.206577"/>
    <n v="435.59135460750508"/>
    <n v="55.587339832851811"/>
    <n v="109.35302663174885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080336814617494E-2"/>
    <n v="0"/>
    <n v="0"/>
    <n v="0"/>
    <n v="0"/>
    <n v="254"/>
    <n v="0"/>
    <n v="0"/>
    <n v="0"/>
    <n v="0"/>
    <n v="0"/>
    <n v="0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ort prématurée"/>
    <n v="0.24115255943805147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0.83987615528424797"/>
    <n v="83.378107778040146"/>
    <n v="0"/>
    <n v="0"/>
    <n v="62.9"/>
    <n v="336905600000"/>
    <n v="15049171"/>
    <n v="22386.987296509556"/>
    <n v="0"/>
    <n v="0"/>
    <n v="0"/>
    <n v="0"/>
    <n v="29137.003607090672"/>
    <n v="52.74"/>
    <n v="10.159999999999997"/>
    <n v="20.236955218602098"/>
    <n v="106583.42676924677"/>
    <n v="97601.789429271477"/>
    <n v="302038.31496633729"/>
    <n v="117293.58934859755"/>
    <n v="1523999.9999999995"/>
    <n v="2058502690.045646"/>
    <n v="294804.96027377353"/>
    <n v="282585315.83546507"/>
    <n v="26.257324141376316"/>
    <n v="0.24115255943805147"/>
    <n v="2680"/>
    <n v="9.7975090079762371E-3"/>
    <n v="0"/>
    <n v="0"/>
    <n v="0"/>
    <n v="0"/>
    <n v="254"/>
    <n v="0"/>
    <n v="0"/>
    <n v="0"/>
    <n v="0"/>
    <n v="0"/>
    <n v="0"/>
    <n v="7.5880726467531134E-2"/>
    <n v="1.989821358241517E-2"/>
    <n v="11"/>
    <n v="0.85076983926913452"/>
    <n v="0"/>
    <n v="11.186216799683796"/>
    <n v="9.0909090909090912E-2"/>
    <n v="8.9395728502979416E-2"/>
  </r>
  <r>
    <x v="0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3966184516047948"/>
    <n v="1.4392894727292521E-2"/>
    <n v="11.305692334674916"/>
    <n v="9.0909090909090912E-2"/>
    <n v="8.8451018336397527E-2"/>
  </r>
  <r>
    <x v="1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68054183762612652"/>
    <n v="1.2135452577082654E-2"/>
    <n v="11.148957235205394"/>
    <n v="9.0909090909090912E-2"/>
    <n v="8.9694487018236124E-2"/>
  </r>
  <r>
    <x v="2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31563677172153043"/>
    <n v="1.3003350630813707E-4"/>
    <n v="11.069086686879968"/>
    <n v="9.0909090909090912E-2"/>
    <n v="9.0341690176235209E-2"/>
  </r>
  <r>
    <x v="3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1688035738877327"/>
    <n v="9.6557438521367826E-3"/>
    <n v="11.25582813464019"/>
    <n v="9.0909090909090912E-2"/>
    <n v="8.8842863273868436E-2"/>
  </r>
  <r>
    <x v="4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52204401140486179"/>
    <n v="1.2443904150185675E-2"/>
    <n v="11.114265175621902"/>
    <n v="9.0909090909090912E-2"/>
    <n v="8.9974459327586145E-2"/>
  </r>
  <r>
    <x v="5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49446424657188709"/>
    <n v="1.0795805058605798E-2"/>
    <n v="11.108228507058708"/>
    <n v="9.0909090909090912E-2"/>
    <n v="9.0023355151953477E-2"/>
  </r>
  <r>
    <x v="6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85274500894619554"/>
    <n v="4.2903496994109176E-2"/>
    <n v="11.186649125512849"/>
    <n v="9.0909090909090912E-2"/>
    <n v="8.9392273663017496E-2"/>
  </r>
  <r>
    <x v="7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6219398392978641"/>
    <n v="9.628527536862988E-2"/>
    <n v="11.355010758741946"/>
    <n v="9.0909090909090912E-2"/>
    <n v="8.8066847425056327E-2"/>
  </r>
  <r>
    <x v="8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96913802401210614"/>
    <n v="0.10293966445307301"/>
    <n v="11.212125269318959"/>
    <n v="9.0909090909090912E-2"/>
    <n v="8.9189156915363429E-2"/>
  </r>
  <r>
    <x v="9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3987208237662601"/>
    <n v="2.1768516166491274E-2"/>
    <n v="11.306152502628199"/>
    <n v="9.0909090909090912E-2"/>
    <n v="8.8447418320913546E-2"/>
  </r>
  <r>
    <x v="10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1624525375985588"/>
    <n v="3.7953151649308701E-2"/>
    <n v="11.254438017598122"/>
    <n v="9.0909090909090912E-2"/>
    <n v="8.885383689850522E-2"/>
  </r>
  <r>
    <x v="11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19346787829229528"/>
    <n v="2.8126549817953091E-2"/>
    <n v="11.042346316799566"/>
    <n v="9.0909090909090912E-2"/>
    <n v="9.0560463447756881E-2"/>
  </r>
  <r>
    <x v="12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13729577077682142"/>
    <n v="1.373516710817578E-2"/>
    <n v="11.030051346279674"/>
    <n v="9.0909090909090912E-2"/>
    <n v="9.0661409326738093E-2"/>
  </r>
  <r>
    <x v="13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60922528771817497"/>
    <n v="3.8601807163334179E-3"/>
    <n v="11.133347443843071"/>
    <n v="9.0909090909090912E-2"/>
    <n v="8.9820245442265148E-2"/>
  </r>
  <r>
    <x v="14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78414927716175975"/>
    <n v="0.12835819090128339"/>
    <n v="11.171634867772074"/>
    <n v="9.0909090909090912E-2"/>
    <n v="8.9512413521927708E-2"/>
  </r>
  <r>
    <x v="15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99648427619813984"/>
    <n v="0.42377466100567313"/>
    <n v="11.218110826552397"/>
    <n v="9.0909090909090912E-2"/>
    <n v="8.9141568973723953E-2"/>
  </r>
  <r>
    <x v="16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1.1593596509901765"/>
    <n v="4.0741311947357597E-2"/>
    <n v="11.253761045496606"/>
    <n v="9.0909090909090912E-2"/>
    <n v="8.8859181917690336E-2"/>
  </r>
  <r>
    <x v="17"/>
    <n v="15"/>
    <x v="1"/>
    <s v="Migraine"/>
    <n v="0.349255430910281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m/>
    <n v="0"/>
    <m/>
    <n v="0"/>
    <n v="0"/>
    <n v="0"/>
    <n v="0"/>
    <n v="0"/>
    <n v="0"/>
    <n v="0"/>
    <n v="0"/>
    <n v="0.83987615528424797"/>
    <n v="83.486210649512373"/>
    <n v="0"/>
    <n v="0"/>
    <n v="62.9"/>
    <n v="336905600000"/>
    <n v="15049171"/>
    <n v="22386.987296509556"/>
    <n v="0"/>
    <n v="0"/>
    <n v="0"/>
    <n v="0"/>
    <n v="0"/>
    <n v="52.74"/>
    <n v="10.159999999999997"/>
    <n v="20.23695521860209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4.1983436619392309"/>
    <n v="2.25325633806077"/>
    <n v="8.8710879451211408E-3"/>
    <n v="7.5880726467531134E-2"/>
    <n v="1.989821358241517E-2"/>
    <n v="11"/>
    <n v="0.85076983926913452"/>
    <n v="0"/>
    <n v="11.186216799683796"/>
    <n v="9.0909090909090912E-2"/>
    <n v="8.9395728502979416E-2"/>
  </r>
  <r>
    <x v="0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Cancers"/>
    <n v="0.17960715938795463"/>
    <n v="2.5999999999999999E-2"/>
    <n v="2.5999999999999999E-2"/>
    <n v="8.5000000000000006E-2"/>
    <n v="24.289173334126499"/>
    <n v="7.0000000000000007E-2"/>
    <n v="1.7002421333888551"/>
    <n v="0.99784170771638514"/>
    <n v="27700000"/>
    <n v="0.28601555299296749"/>
    <n v="50"/>
    <n v="50"/>
    <n v="9.9999999999999978E-2"/>
    <n v="0.33340000000000003"/>
    <n v="2.5999999999999999E-2"/>
    <n v="16.658711101877199"/>
    <n v="22.173118639135399"/>
    <n v="2.677713953617094"/>
    <n v="234.5"/>
    <n v="1.26385053586783E-2"/>
    <n v="0.8"/>
    <n v="19.431338667301201"/>
    <n v="67635124"/>
    <n v="82.297079063317852"/>
    <n v="2.5999999999999999E-2"/>
    <n v="720200"/>
    <n v="129353.07619120492"/>
    <n v="1257615774.8399999"/>
    <n v="1746.203519633435"/>
    <n v="51.7"/>
    <n v="225876796.9204939"/>
    <n v="8.1543970007398521"/>
    <n v="3.2687491770624852"/>
    <n v="0"/>
    <n v="0"/>
    <n v="0"/>
    <n v="0"/>
    <n v="0"/>
    <n v="1.0077957276768601"/>
    <n v="83.48448195038267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2623679767919169E-3"/>
    <n v="15969080.043905314"/>
    <n v="13100918.939180605"/>
    <n v="2868161.1047247089"/>
    <n v="6.1899999999999997E-2"/>
    <n v="254"/>
    <n v="32953110.44789074"/>
    <n v="4.2759813160075655E-3"/>
    <n v="0.56134000000000006"/>
    <n v="0.46051931714916555"/>
    <n v="0.10082068285083451"/>
    <n v="3.9693182224737994E-4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Diabète"/>
    <n v="0.57873418025007606"/>
    <n v="3.6700000000000003E-2"/>
    <n v="3.6700000000000003E-2"/>
    <n v="0.114"/>
    <n v="10.311441509770701"/>
    <n v="7.0000000000000007E-2"/>
    <n v="0.72180090568394906"/>
    <n v="0.99731334462301791"/>
    <n v="27700000"/>
    <n v="0.55196873745248154"/>
    <n v="50"/>
    <n v="50"/>
    <n v="9.9999999999999978E-2"/>
    <n v="0.33340000000000003"/>
    <n v="3.6700000000000003E-2"/>
    <n v="16.658711101877199"/>
    <n v="10.42033853287208"/>
    <n v="9.2681348859142467"/>
    <n v="234.5"/>
    <n v="4.187677451329095E-2"/>
    <n v="0.8"/>
    <n v="8.2491532078165601"/>
    <n v="67635124"/>
    <n v="82.297079063317852"/>
    <n v="3.6700000000000003E-2"/>
    <n v="1016590.0000000001"/>
    <n v="588335.38030042488"/>
    <n v="756671404.20000005"/>
    <n v="744.32308423258144"/>
    <n v="51.7"/>
    <n v="437911604.82836097"/>
    <n v="15.809083206800036"/>
    <n v="6.308214142314073"/>
    <n v="0"/>
    <n v="0"/>
    <n v="0"/>
    <n v="0"/>
    <n v="0"/>
    <n v="1.0077957276768601"/>
    <n v="83.88360897124479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8.2527228914604893E-3"/>
    <n v="10593211.949132429"/>
    <n v="4462558.1155359624"/>
    <n v="6130653.833596467"/>
    <n v="6.1899999999999997E-2"/>
    <n v="254"/>
    <n v="21859699.018222708"/>
    <n v="2.2355730954015519E-3"/>
    <n v="1.0626852000000002"/>
    <n v="0.44767295191411194"/>
    <n v="0.61501224808588828"/>
    <n v="2.421308063330269E-3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aladies neurologiques ou dégénératives"/>
    <n v="0.42906154742678049"/>
    <n v="6.593568911523901E-4"/>
    <n v="6.593568911523901E-4"/>
    <n v="0"/>
    <n v="4.7304000000000004"/>
    <n v="7.0000000000000007E-2"/>
    <n v="0.33112800000000003"/>
    <n v="1"/>
    <n v="27700000"/>
    <n v="3.3818651096075409E-3"/>
    <n v="50"/>
    <n v="50"/>
    <n v="9.9999999999999978E-2"/>
    <n v="0.33340000000000003"/>
    <n v="6.593568911523901E-4"/>
    <n v="16.658711101877199"/>
    <n v="45.453421187287603"/>
    <n v="0.23902233142303808"/>
    <n v="234.5"/>
    <n v="1.0337065950219429E-3"/>
    <n v="0.8"/>
    <n v="3.7843200000000006"/>
    <n v="67635124"/>
    <n v="82.297079063317852"/>
    <n v="6.593568911523901E-4"/>
    <n v="18264.185884921208"/>
    <n v="7836.4598582746557"/>
    <n v="60180000"/>
    <n v="3294.9730351619019"/>
    <n v="51.7"/>
    <n v="25820923.92414365"/>
    <n v="0.93216331856114254"/>
    <n v="3.8649886966943332E-2"/>
    <n v="0"/>
    <n v="0"/>
    <n v="0"/>
    <n v="0"/>
    <n v="0"/>
    <n v="1.0077957276768601"/>
    <n v="83.73393633842150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224373340600221E-4"/>
    <n v="830169.73367023666"/>
    <n v="473975.82311480673"/>
    <n v="356193.91055542993"/>
    <n v="6.1899999999999997E-2"/>
    <n v="254"/>
    <n v="1713102.7491199889"/>
    <n v="1.9285778995488203E-4"/>
    <n v="0"/>
    <n v="0"/>
    <n v="0"/>
    <n v="0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aladies cardio-neurovasculaires"/>
    <n v="0.2394762125172728"/>
    <n v="8.741584028593305E-3"/>
    <n v="8.741584028593305E-3"/>
    <n v="6.8000000000000005E-2"/>
    <n v="16.260750000000002"/>
    <n v="7.0000000000000007E-2"/>
    <n v="1.1382525000000001"/>
    <n v="0.99809973356799431"/>
    <n v="27700000"/>
    <n v="8.5858896196795667E-2"/>
    <n v="50"/>
    <n v="50"/>
    <n v="9.9999999999999978E-2"/>
    <n v="0.33340000000000003"/>
    <n v="8.741584028593305E-3"/>
    <n v="16.658711101877199"/>
    <n v="80.324106187301894"/>
    <n v="1.2488173575094326"/>
    <n v="234.5"/>
    <n v="5.6915831714551314E-3"/>
    <n v="0.8"/>
    <n v="13.008600000000001"/>
    <n v="67635124"/>
    <n v="82.297079063317852"/>
    <n v="8.741584028593305E-3"/>
    <n v="242141.87759203455"/>
    <n v="57987.219737561521"/>
    <n v="1022040000"/>
    <n v="4220.8312340005614"/>
    <n v="51.7"/>
    <n v="244754268.24115351"/>
    <n v="8.8358941603304508"/>
    <n v="0.98124452796337913"/>
    <n v="0"/>
    <n v="0"/>
    <n v="0"/>
    <n v="0"/>
    <n v="0"/>
    <n v="1.0077957276768601"/>
    <n v="83.544351003511991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3.663111450855907E-3"/>
    <n v="19449829.888095241"/>
    <n v="14792058.292388938"/>
    <n v="4657771.5957063027"/>
    <n v="6.1899999999999997E-2"/>
    <n v="254"/>
    <n v="40135836.92566587"/>
    <n v="5.0425062295630305E-3"/>
    <n v="0.15098463934186357"/>
    <n v="0.11482740976398766"/>
    <n v="3.6157229577875913E-2"/>
    <n v="1.4235129755069256E-4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aladies respiratoires"/>
    <n v="0.20954168595261374"/>
    <n v="4.1000000000000002E-2"/>
    <n v="4.1000000000000002E-2"/>
    <n v="0.17199999999999999"/>
    <n v="3.8954334592466999"/>
    <n v="7.0000000000000007E-2"/>
    <n v="0.27268034214726899"/>
    <n v="0.82690611956969029"/>
    <n v="27700000"/>
    <n v="6.9933386250772972E-2"/>
    <n v="50"/>
    <n v="50"/>
    <n v="9.9999999999999978E-2"/>
    <n v="0.33340000000000003"/>
    <n v="4.1000000000000002E-2"/>
    <n v="16.658711101877199"/>
    <n v="6.5286422873795198"/>
    <n v="3.3589976088353506"/>
    <n v="234.5"/>
    <n v="1.4622307015292638E-2"/>
    <n v="0.8"/>
    <n v="3.1163467673973599"/>
    <n v="67635124"/>
    <n v="82.297079063317852"/>
    <n v="0.11599999999999999"/>
    <n v="3213200"/>
    <n v="673299.34530293848"/>
    <n v="552654220.25999999"/>
    <n v="171.99496460226564"/>
    <n v="51.7"/>
    <n v="115804097.06210753"/>
    <n v="4.1806533235417884"/>
    <n v="0.7992387000088339"/>
    <n v="0"/>
    <n v="0"/>
    <n v="0"/>
    <n v="0"/>
    <n v="0"/>
    <n v="1.0077957276768601"/>
    <n v="83.514416476947332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1.8581686655039635E-3"/>
    <n v="7414579.0457769213"/>
    <n v="5860915.6518959031"/>
    <n v="1553663.3938810183"/>
    <n v="6.1899999999999997E-2"/>
    <n v="254"/>
    <n v="15300408.135492712"/>
    <n v="1.9538282415093797E-3"/>
    <n v="1.7912080000000001"/>
    <n v="1.4158752557881906"/>
    <n v="0.37533274421180951"/>
    <n v="1.4776879693378328E-3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aladies mentales"/>
    <n v="0.21951986147416674"/>
    <n v="0.14499999999999999"/>
    <n v="0.14499999999999999"/>
    <n v="0.153"/>
    <n v="29.93"/>
    <n v="7.0000000000000007E-2"/>
    <n v="2.0951"/>
    <n v="0.82690611956969029"/>
    <n v="27700000"/>
    <n v="1.9907788399138429"/>
    <n v="50"/>
    <n v="50"/>
    <n v="9.9999999999999978E-2"/>
    <n v="0.33340000000000003"/>
    <n v="0.14499999999999999"/>
    <n v="16.658711101877199"/>
    <n v="17.7120401072847"/>
    <n v="16.59608861355019"/>
    <n v="234.5"/>
    <n v="7.9261694897501206E-2"/>
    <n v="0.8"/>
    <n v="23.944000000000003"/>
    <n v="67635124"/>
    <n v="82.297079063317852"/>
    <n v="0.14499999999999999"/>
    <n v="4016499.9999999995"/>
    <n v="881701.52361099061"/>
    <n v="5730042552.54"/>
    <n v="1426.625806682435"/>
    <n v="51.7"/>
    <n v="1257858147.3746614"/>
    <n v="45.410041421467923"/>
    <n v="22.751758170443921"/>
    <n v="0"/>
    <n v="0"/>
    <n v="0"/>
    <n v="0"/>
    <n v="0"/>
    <n v="1.0077957276768601"/>
    <n v="83.52439465246888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433507310414868E-2"/>
    <n v="71140409.090908989"/>
    <n v="55523676.342057109"/>
    <n v="15616732.74885188"/>
    <n v="6.1899999999999997E-2"/>
    <n v="254"/>
    <n v="146802304.9314959"/>
    <n v="1.8645437929253821E-2"/>
    <n v="5.6349899999999993"/>
    <n v="4.3979977757916853"/>
    <n v="1.236992224208314"/>
    <n v="4.8700481268043857E-3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Troubles musculo-squelettiques"/>
    <n v="0.44901789846988649"/>
    <n v="0.1217"/>
    <n v="0.1217"/>
    <n v="9.1999999999999998E-2"/>
    <n v="7.27956"/>
    <n v="7.0000000000000007E-2"/>
    <n v="0.50956920000000006"/>
    <n v="1"/>
    <n v="27700000"/>
    <n v="1.0052582177726723"/>
    <n v="50"/>
    <n v="50"/>
    <n v="9.9999999999999978E-2"/>
    <n v="0.33340000000000003"/>
    <n v="0.1217"/>
    <n v="16.658711101877199"/>
    <n v="21.5"/>
    <n v="30.90547383120817"/>
    <n v="234.5"/>
    <n v="0.13607988080588845"/>
    <n v="0.8"/>
    <n v="5.8236480000000004"/>
    <n v="67635124"/>
    <n v="82.297079063317852"/>
    <n v="0.1217"/>
    <n v="3371090"/>
    <n v="1513679.7473528497"/>
    <n v="0"/>
    <n v="0"/>
    <n v="51.7"/>
    <n v="1447758994.3556333"/>
    <n v="52.265667666268349"/>
    <n v="11.488665345973399"/>
    <n v="0"/>
    <n v="0"/>
    <n v="0"/>
    <n v="0"/>
    <n v="0"/>
    <n v="1.0077957276768601"/>
    <n v="83.75389268946460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3788930228448413E-2"/>
    <n v="72478435"/>
    <n v="39934320.431913733"/>
    <n v="32544114.568086267"/>
    <n v="6.1899999999999997E-2"/>
    <n v="254"/>
    <n v="149563397.95897081"/>
    <n v="1.6631979787783132E-2"/>
    <n v="2.8438856000000001"/>
    <n v="1.5669300643992279"/>
    <n v="1.2769555356007722"/>
    <n v="5.0273839984282375E-3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Obésité"/>
    <n v="0.24945438803882591"/>
    <n v="0.17849999999999999"/>
    <n v="8.4823104693140794E-4"/>
    <n v="0"/>
    <n v="1.82"/>
    <n v="7.0000000000000007E-2"/>
    <n v="0.12740000000000001"/>
    <n v="0.82690611956969029"/>
    <n v="27700000"/>
    <n v="0.16934611316761322"/>
    <n v="50"/>
    <n v="50"/>
    <n v="9.9999999999999978E-2"/>
    <n v="0.33340000000000003"/>
    <n v="8.4823104693140805E-4"/>
    <n v="16.658711101877199"/>
    <n v="20.125"/>
    <n v="0.11627761416582626"/>
    <n v="234.5"/>
    <n v="1.2180116304197847E-3"/>
    <n v="0.8"/>
    <n v="1.4560000000000002"/>
    <n v="67635124"/>
    <n v="82.297079063317852"/>
    <n v="8.4823104693140805E-4"/>
    <n v="23496.000000000004"/>
    <n v="5861.1803013602548"/>
    <n v="0"/>
    <n v="0"/>
    <n v="51.7"/>
    <n v="5189269.2445630692"/>
    <n v="0.18733823987592307"/>
    <n v="1.9353841504870084"/>
    <n v="0"/>
    <n v="0"/>
    <n v="0"/>
    <n v="0"/>
    <n v="0"/>
    <n v="1.0077957276768601"/>
    <n v="83.554329179033545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7.9206059341900418E-4"/>
    <n v="472856.99999999994"/>
    <n v="354900.74643512495"/>
    <n v="117956.25356487499"/>
    <n v="6.1899999999999997E-2"/>
    <n v="254"/>
    <n v="975767.47716317349"/>
    <n v="1.2192092208395613E-4"/>
    <n v="0"/>
    <n v="0"/>
    <n v="0"/>
    <n v="0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Infections"/>
    <n v="0.251640133011237"/>
    <n v="0.1079"/>
    <n v="0.1079"/>
    <n v="7.6499999999999999E-2"/>
    <n v="7.67629534616262"/>
    <n v="7.0000000000000007E-2"/>
    <n v="0.53734067423138343"/>
    <n v="0.82690611956969029"/>
    <n v="27700000"/>
    <n v="0.43553945522869025"/>
    <n v="50"/>
    <n v="50"/>
    <n v="9.9999999999999978E-2"/>
    <n v="0.33340000000000003"/>
    <n v="0.1079"/>
    <n v="16.658711101877199"/>
    <n v="4.25"/>
    <n v="9.8944306549209813"/>
    <n v="234.5"/>
    <n v="4.4051045245840817E-2"/>
    <n v="0.8"/>
    <n v="6.1410362769300963"/>
    <n v="67635124"/>
    <n v="82.297079063317852"/>
    <n v="0.1079"/>
    <n v="2988830"/>
    <n v="752109.57874797552"/>
    <n v="0"/>
    <n v="0"/>
    <n v="51.7"/>
    <n v="48605081.526587926"/>
    <n v="1.754696083992344"/>
    <n v="4.977593774042175"/>
    <n v="0"/>
    <n v="0"/>
    <n v="0"/>
    <n v="0"/>
    <n v="0"/>
    <n v="1.0077957276768601"/>
    <n v="83.556514924005953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2.5120484544904919E-3"/>
    <n v="12702527.499999998"/>
    <n v="9506061.7903211042"/>
    <n v="3196465.7096788939"/>
    <n v="6.1899999999999997E-2"/>
    <n v="254"/>
    <n v="26212392.355978303"/>
    <n v="3.2712593658573877E-3"/>
    <n v="2.0966048999999995"/>
    <n v="1.5690149640919888"/>
    <n v="0.52758993590801073"/>
    <n v="2.0771257319213022E-3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Dépendance"/>
    <n v="4.4901789846988658"/>
    <n v="0.371"/>
    <n v="0.371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14909.24243952"/>
    <n v="1316000"/>
    <n v="19620563050.408321"/>
    <n v="290.09428666691468"/>
    <n v="4.5"/>
    <n v="1.0077957276768601"/>
    <n v="83.295053775693589"/>
    <n v="9.8210153011279999E-3"/>
    <n v="197.91750914540722"/>
    <n v="62.9"/>
    <n v="336905600000"/>
    <n v="15049171"/>
    <n v="22386.987296509556"/>
    <n v="29461275282.206577"/>
    <n v="435.59135460750508"/>
    <n v="66.701124021684066"/>
    <n v="131.21638512372317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4.8961337732732528E-2"/>
    <n v="0"/>
    <n v="0"/>
    <n v="0"/>
    <n v="0"/>
    <n v="254"/>
    <n v="0"/>
    <n v="0"/>
    <n v="0"/>
    <n v="0"/>
    <n v="0"/>
    <n v="0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ort prématurée"/>
    <n v="0.28936709012503803"/>
    <n v="1.7864082739021815E-3"/>
    <n v="1.7864082739021815E-3"/>
    <n v="0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594241881119757"/>
    <n v="0"/>
    <n v="0"/>
    <n v="62.9"/>
    <n v="336905600000"/>
    <n v="15049171"/>
    <n v="22386.987296509556"/>
    <n v="0"/>
    <n v="0"/>
    <n v="0"/>
    <n v="0"/>
    <n v="34962.473416801695"/>
    <n v="52.74"/>
    <n v="10.159999999999997"/>
    <n v="20.404874790994718"/>
    <n v="106583.42676924677"/>
    <n v="97601.789429271477"/>
    <n v="302038.31496633729"/>
    <n v="117293.58934859755"/>
    <n v="1523999.9999999995"/>
    <n v="2456496574.9573283"/>
    <n v="294804.96027377353"/>
    <n v="337220769.17356968"/>
    <n v="31.333953136298806"/>
    <n v="0.28936709012503803"/>
    <n v="2680"/>
    <n v="1.169177355832045E-2"/>
    <n v="0"/>
    <n v="0"/>
    <n v="0"/>
    <n v="0"/>
    <n v="254"/>
    <n v="0"/>
    <n v="0"/>
    <n v="0"/>
    <n v="0"/>
    <n v="0"/>
    <n v="0"/>
    <n v="9.3428413505841454E-2"/>
    <n v="2.1038737314955848E-2"/>
    <n v="11"/>
    <n v="0.85076983926913452"/>
    <n v="0"/>
    <n v="11.196890354802576"/>
    <n v="9.0909090909090912E-2"/>
    <n v="8.9310511071592255E-2"/>
  </r>
  <r>
    <x v="0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3966184516047948"/>
    <n v="1.4392894727292521E-2"/>
    <n v="11.32321397605787"/>
    <n v="9.0909090909090912E-2"/>
    <n v="8.8314148448879345E-2"/>
  </r>
  <r>
    <x v="1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68054183762612652"/>
    <n v="1.2135452577082654E-2"/>
    <n v="11.157495150490188"/>
    <n v="9.0909090909090912E-2"/>
    <n v="8.9625851189015879E-2"/>
  </r>
  <r>
    <x v="2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31563677172153043"/>
    <n v="1.3003350630813707E-4"/>
    <n v="11.073046590399091"/>
    <n v="9.0909090909090912E-2"/>
    <n v="9.030938250246795E-2"/>
  </r>
  <r>
    <x v="3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1688035738877327"/>
    <n v="9.6557438521367826E-3"/>
    <n v="11.270491665001861"/>
    <n v="9.0909090909090912E-2"/>
    <n v="8.8727273815861069E-2"/>
  </r>
  <r>
    <x v="4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52204401140486179"/>
    <n v="1.2443904150185675E-2"/>
    <n v="11.120814615050721"/>
    <n v="9.0909090909090912E-2"/>
    <n v="8.9921470199369843E-2"/>
  </r>
  <r>
    <x v="5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49446424657188709"/>
    <n v="1.0795805058605798E-2"/>
    <n v="11.114431937347899"/>
    <n v="9.0909090909090912E-2"/>
    <n v="8.9973109344409538E-2"/>
  </r>
  <r>
    <x v="6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85274500894619554"/>
    <n v="4.2903496994109176E-2"/>
    <n v="11.197347460638447"/>
    <n v="9.0909090909090912E-2"/>
    <n v="8.930686517635153E-2"/>
  </r>
  <r>
    <x v="7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6219398392978641"/>
    <n v="9.628527536862988E-2"/>
    <n v="11.375359228416144"/>
    <n v="9.0909090909090912E-2"/>
    <n v="8.7909311690303041E-2"/>
  </r>
  <r>
    <x v="8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96913802401210614"/>
    <n v="0.10293966445307301"/>
    <n v="11.224283843400386"/>
    <n v="9.0909090909090912E-2"/>
    <n v="8.9092543805186858E-2"/>
  </r>
  <r>
    <x v="9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3987208237662601"/>
    <n v="2.1768516166491274E-2"/>
    <n v="11.323700519869947"/>
    <n v="9.0909090909090912E-2"/>
    <n v="8.8310353867561045E-2"/>
  </r>
  <r>
    <x v="10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1624525375985588"/>
    <n v="3.7953151649308701E-2"/>
    <n v="11.269021869376038"/>
    <n v="9.0909090909090912E-2"/>
    <n v="8.8738846333907204E-2"/>
  </r>
  <r>
    <x v="11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19346787829229528"/>
    <n v="2.8126549817953091E-2"/>
    <n v="11.044773518573008"/>
    <n v="9.0909090909090912E-2"/>
    <n v="9.0540561861082031E-2"/>
  </r>
  <r>
    <x v="12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13729577077682142"/>
    <n v="1.373516710817578E-2"/>
    <n v="11.031773826214106"/>
    <n v="9.0909090909090912E-2"/>
    <n v="9.0647253628764871E-2"/>
  </r>
  <r>
    <x v="13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60922528771817497"/>
    <n v="3.8601807163334179E-3"/>
    <n v="11.140990638733241"/>
    <n v="9.0909090909090912E-2"/>
    <n v="8.9758624921859057E-2"/>
  </r>
  <r>
    <x v="14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78414927716175975"/>
    <n v="0.12835819090128339"/>
    <n v="11.181472617237107"/>
    <n v="9.0909090909090912E-2"/>
    <n v="8.9433658180088235E-2"/>
  </r>
  <r>
    <x v="15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99648427619813984"/>
    <n v="0.42377466100567313"/>
    <n v="11.230612480179582"/>
    <n v="9.0909090909090912E-2"/>
    <n v="8.9042338676083466E-2"/>
  </r>
  <r>
    <x v="16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1.1593596509901765"/>
    <n v="4.0741311947357597E-2"/>
    <n v="11.268306094658152"/>
    <n v="9.0909090909090912E-2"/>
    <n v="8.8744483119256007E-2"/>
  </r>
  <r>
    <x v="17"/>
    <n v="30"/>
    <x v="2"/>
    <s v="Migraine"/>
    <n v="0.41908337190522699"/>
    <n v="0.2"/>
    <n v="0.2"/>
    <n v="0.127"/>
    <n v="0"/>
    <n v="7.0000000000000007E-2"/>
    <n v="0"/>
    <n v="0"/>
    <n v="27700000"/>
    <n v="0"/>
    <n v="50"/>
    <n v="50"/>
    <n v="9.9999999999999978E-2"/>
    <n v="0.33340000000000003"/>
    <n v="0"/>
    <n v="16.658711101877199"/>
    <n v="0"/>
    <n v="0"/>
    <n v="234.5"/>
    <n v="0"/>
    <n v="0.8"/>
    <n v="0"/>
    <n v="67635124"/>
    <n v="82.297079063317852"/>
    <n v="0"/>
    <n v="0"/>
    <n v="0"/>
    <n v="0"/>
    <n v="0"/>
    <n v="51.7"/>
    <n v="0"/>
    <n v="0"/>
    <n v="0"/>
    <n v="0"/>
    <n v="0"/>
    <n v="0"/>
    <n v="0"/>
    <n v="0"/>
    <n v="1.0077957276768601"/>
    <n v="83.723958162899947"/>
    <n v="0"/>
    <n v="0"/>
    <n v="62.9"/>
    <n v="336905600000"/>
    <n v="15049171"/>
    <n v="22386.987296509556"/>
    <n v="0"/>
    <n v="0"/>
    <n v="0"/>
    <n v="0"/>
    <n v="0"/>
    <n v="52.74"/>
    <n v="10.159999999999997"/>
    <n v="20.404874790994718"/>
    <n v="106583.42676924677"/>
    <n v="97601.789429271477"/>
    <n v="302038.31496633729"/>
    <n v="117293.58934859755"/>
    <n v="1523999.9999999995"/>
    <n v="0"/>
    <n v="294804.96027377353"/>
    <n v="0"/>
    <n v="0"/>
    <n v="0"/>
    <n v="2680"/>
    <n v="0"/>
    <n v="0"/>
    <n v="0"/>
    <n v="0"/>
    <n v="0"/>
    <n v="254"/>
    <n v="0"/>
    <n v="0"/>
    <n v="6.4516000000000009"/>
    <n v="3.7478417178162382"/>
    <n v="2.7037582821837627"/>
    <n v="1.0644717646392767E-2"/>
    <n v="9.3428413505841454E-2"/>
    <n v="2.1038737314955848E-2"/>
    <n v="11"/>
    <n v="0.85076983926913452"/>
    <n v="0"/>
    <n v="11.196890354802576"/>
    <n v="9.0909090909090912E-2"/>
    <n v="8.9310511071592255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" applyNumberFormats="0" applyBorderFormats="0" applyFontFormats="0" applyPatternFormats="0" applyAlignmentFormats="0" applyWidthHeightFormats="1" dataCaption="Valeurs" updatedVersion="8" minRefreshableVersion="3" rowGrandTotals="0" colGrandTotals="0" itemPrintTitles="1" createdVersion="8" indent="0" compact="0" compactData="0" gridDropZones="1" multipleFieldFilters="0">
  <location ref="A3:R5" firstHeaderRow="1" firstDataRow="2" firstDataCol="1"/>
  <pivotFields count="89">
    <pivotField compact="0" outline="0" showAll="0">
      <items count="38">
        <item h="1" x="17"/>
        <item h="1" m="1" x="23"/>
        <item h="1" m="1" x="22"/>
        <item h="1" m="1" x="26"/>
        <item h="1" m="1" x="19"/>
        <item h="1" m="1" x="34"/>
        <item h="1" x="0"/>
        <item h="1" x="3"/>
        <item h="1" x="2"/>
        <item h="1" x="4"/>
        <item h="1" x="5"/>
        <item h="1" x="6"/>
        <item h="1" m="1" x="27"/>
        <item h="1" m="1" x="20"/>
        <item h="1" m="1" x="36"/>
        <item x="1"/>
        <item h="1" m="1" x="21"/>
        <item h="1" m="1" x="18"/>
        <item h="1" m="1" x="33"/>
        <item h="1" m="1" x="25"/>
        <item h="1" x="7"/>
        <item h="1" x="8"/>
        <item h="1" m="1" x="24"/>
        <item h="1" x="9"/>
        <item h="1" m="1" x="29"/>
        <item h="1" m="1" x="32"/>
        <item h="1" m="1" x="35"/>
        <item h="1" x="10"/>
        <item h="1" x="11"/>
        <item h="1" x="12"/>
        <item h="1" x="13"/>
        <item h="1" x="14"/>
        <item h="1" m="1" x="28"/>
        <item h="1" x="15"/>
        <item h="1" x="16"/>
        <item h="1" m="1" x="31"/>
        <item h="1" m="1" x="30"/>
        <item t="default"/>
      </items>
    </pivotField>
    <pivotField compact="0" outline="0" showAll="0"/>
    <pivotField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compact="0" numFmtId="2" outline="0" showAll="0"/>
    <pivotField compact="0" numFmtId="2" outline="0" showAll="0"/>
    <pivotField compact="0" numFmtId="2" outline="0" showAll="0"/>
    <pivotField compact="0" outline="0" showAll="0"/>
    <pivotField compact="0" outline="0" showAll="0"/>
    <pivotField compact="0" numFmtId="2" outline="0" showAll="0"/>
    <pivotField compact="0" numFmtId="43" outline="0" showAll="0"/>
    <pivotField compact="0" numFmtId="43" outline="0" showAll="0"/>
    <pivotField compact="0" numFmtId="164" outline="0" showAll="0"/>
    <pivotField dataField="1" compact="0" numFmtId="43" outline="0" showAll="0"/>
    <pivotField compact="0" outline="0" showAll="0"/>
    <pivotField compact="0" outline="0" showAll="0"/>
    <pivotField compact="0" numFmtId="43" outline="0" showAll="0"/>
    <pivotField compact="0" numFmtId="43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43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outline="0" showAll="0"/>
    <pivotField compact="0" numFmtId="2" outline="0" showAll="0"/>
    <pivotField compact="0" outline="0" showAll="0"/>
    <pivotField compact="0" numFmtId="2" outline="0" showAll="0"/>
    <pivotField dataField="1"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dataField="1" compact="0" numFmtId="2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dataField="1" compact="0" outline="0" showAll="0"/>
    <pivotField dataField="1" compact="0" numFmtId="2" outline="0" showAll="0"/>
    <pivotField compact="0" numFmtId="2" outline="0" showAll="0"/>
    <pivotField compact="0" numFmtId="2" outline="0" showAll="0"/>
    <pivotField compact="0" numFmtId="2" outline="0" showAll="0"/>
    <pivotField compact="0" numFmtId="2" outline="0" showAll="0"/>
    <pivotField dataField="1" compact="0" numFmtId="2" outline="0" showAll="0"/>
    <pivotField dataField="1" compact="0" numFmtId="2" outline="0" showAll="0"/>
  </pivotFields>
  <rowItems count="1">
    <i/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Somme de [Maladies]Coûts_évités_par_salarié" fld="13" baseField="0" baseItem="0" numFmtId="165"/>
    <dataField name="Somme de [Travail]Coûts_évités_par_salarié" fld="21" baseField="0" baseItem="0"/>
    <dataField name="Somme de Part_sur_budget_salarié" fld="23" baseField="0" baseItem="0"/>
    <dataField name="Somme de [SC][Travail]Coûts_évités_par_salarié" fld="35" baseField="0" baseItem="0"/>
    <dataField name="Somme de [SC][Maladies]Coûts_évités_par_salarié" fld="36" baseField="0" baseItem="0"/>
    <dataField name="Somme de [SC][Dépendance]Calcul" fld="53" baseField="0" baseItem="0"/>
    <dataField name="Somme de [SC][Mort_prématurée]Calcul" fld="66" baseField="0" baseItem="0"/>
    <dataField name="Somme de [SC]Part_sur_budget_société_civile" fld="69" baseField="0" baseItem="0" numFmtId="166"/>
    <dataField name="Max. de [SC]Hausse_esp_de_vie" fld="42" subtotal="max" baseField="0" baseItem="0" numFmtId="167"/>
    <dataField name="Somme de [SC][Mort_prématurée]Baisse_risque" fld="67" baseField="0" baseItem="0" numFmtId="9"/>
    <dataField name="Max. de [Prod][Absentéisme]Taux_initial" fld="73" subtotal="max" baseField="0" baseItem="0" numFmtId="166"/>
    <dataField name="Somme de [Prod][Absentéisme]Taux_final" fld="76" baseField="0" baseItem="0" numFmtId="166"/>
    <dataField name="Somme de [Prod][Présentéisme]Gain" fld="80" baseField="0" baseItem="0" numFmtId="10"/>
    <dataField name="Max. de [Prod]Impact_motifs_turnover" fld="82" subtotal="max" baseField="0" baseItem="0" numFmtId="10"/>
    <dataField name="Max. de [Prod]Sérénité" fld="81" subtotal="max" baseField="0" baseItem="0" numFmtId="9"/>
    <dataField name="Max. de [Prod][Turnover]1/DMC_initiale" fld="87" subtotal="max" baseField="0" baseItem="0" numFmtId="10"/>
    <dataField name="Max. de [Prod][Turnover]1/DMC_finale" fld="88" subtotal="max" baseField="0" baseItem="0" numFmtId="10"/>
  </dataFields>
  <formats count="11">
    <format dxfId="0">
      <pivotArea outline="0" collapsedLevelsAreSubtotals="1" fieldPosition="0"/>
    </format>
    <format dxfId="1">
      <pivotArea outline="0" fieldPosition="0">
        <references count="1">
          <reference field="4294967294" count="1" selected="0">
            <x v="11"/>
          </reference>
        </references>
      </pivotArea>
    </format>
    <format dxfId="2">
      <pivotArea outline="0" fieldPosition="0">
        <references count="1">
          <reference field="4294967294" count="1" selected="0">
            <x v="12"/>
          </reference>
        </references>
      </pivotArea>
    </format>
    <format dxfId="3">
      <pivotArea outline="0" fieldPosition="0">
        <references count="1">
          <reference field="4294967294" count="1">
            <x v="8"/>
          </reference>
        </references>
      </pivotArea>
    </format>
    <format dxfId="4">
      <pivotArea outline="0" fieldPosition="0">
        <references count="1">
          <reference field="4294967294" count="1" selected="0">
            <x v="9"/>
          </reference>
        </references>
      </pivotArea>
    </format>
    <format dxfId="5">
      <pivotArea outline="0" fieldPosition="0">
        <references count="1">
          <reference field="4294967294" count="1" selected="0">
            <x v="13"/>
          </reference>
        </references>
      </pivotArea>
    </format>
    <format dxfId="6">
      <pivotArea outline="0" fieldPosition="0">
        <references count="1">
          <reference field="4294967294" count="1" selected="0">
            <x v="14"/>
          </reference>
        </references>
      </pivotArea>
    </format>
    <format dxfId="7">
      <pivotArea outline="0" fieldPosition="0">
        <references count="1">
          <reference field="4294967294" count="1" selected="0">
            <x v="10"/>
          </reference>
        </references>
      </pivotArea>
    </format>
    <format dxfId="8">
      <pivotArea outline="0" fieldPosition="0">
        <references count="1">
          <reference field="4294967294" count="1" selected="0">
            <x v="7"/>
          </reference>
        </references>
      </pivotArea>
    </format>
    <format dxfId="9">
      <pivotArea outline="0" fieldPosition="0">
        <references count="1">
          <reference field="4294967294" count="1">
            <x v="15"/>
          </reference>
        </references>
      </pivotArea>
    </format>
    <format dxfId="10">
      <pivotArea outline="0" fieldPosition="0">
        <references count="1">
          <reference field="4294967294" count="1" selected="0"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eau croisé dynamique7" cacheId="0" applyNumberFormats="0" applyBorderFormats="0" applyFontFormats="0" applyPatternFormats="0" applyAlignmentFormats="0" applyWidthHeightFormats="1" dataCaption="Valeurs" updatedVersion="8" minRefreshableVersion="3" rowGrandTotals="0" colGrandTotals="0" itemPrintTitles="1" createdVersion="8" indent="0" compact="0" compactData="0" gridDropZones="1" multipleFieldFilters="0">
  <location ref="AR3:AY9" firstHeaderRow="2" firstDataRow="2" firstDataCol="2"/>
  <pivotFields count="6">
    <pivotField axis="axisRow" compact="0" outline="0" showAll="0">
      <items count="6">
        <item x="0"/>
        <item h="1" x="1"/>
        <item h="1" x="2"/>
        <item h="1" x="3"/>
        <item h="1" x="4"/>
        <item t="default"/>
      </items>
    </pivotField>
    <pivotField axis="axisRow" compact="0" outline="0" showAll="0">
      <items count="15">
        <item x="3"/>
        <item x="2"/>
        <item x="11"/>
        <item x="8"/>
        <item x="0"/>
        <item x="13"/>
        <item x="1"/>
        <item x="4"/>
        <item x="10"/>
        <item x="6"/>
        <item x="5"/>
        <item x="9"/>
        <item x="7"/>
        <item x="1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1"/>
  </rowFields>
  <rowItems count="5">
    <i>
      <x/>
      <x/>
    </i>
    <i r="1">
      <x v="1"/>
    </i>
    <i r="1">
      <x v="4"/>
    </i>
    <i r="1">
      <x v="6"/>
    </i>
    <i t="default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Intensité_APS" sourceName="Intensité_APS">
  <pivotTables>
    <pivotTable tabId="4" name="Tableau croisé dynamique1"/>
  </pivotTables>
  <data>
    <tabular pivotCacheId="1398703979">
      <items count="3">
        <i x="0" s="1"/>
        <i x="1"/>
        <i x="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Actions" sourceName="Actions">
  <pivotTables>
    <pivotTable tabId="4" name="Tableau croisé dynamique7"/>
  </pivotTables>
  <data>
    <tabular pivotCacheId="1444624925">
      <items count="14">
        <i x="3" s="1"/>
        <i x="2" s="1"/>
        <i x="0" s="1"/>
        <i x="1" s="1"/>
        <i x="11" s="1" nd="1"/>
        <i x="8" s="1" nd="1"/>
        <i x="13" s="1" nd="1"/>
        <i x="4" s="1" nd="1"/>
        <i x="10" s="1" nd="1"/>
        <i x="6" s="1" nd="1"/>
        <i x="5" s="1" nd="1"/>
        <i x="9" s="1" nd="1"/>
        <i x="7" s="1" nd="1"/>
        <i x="1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Niveau1" sourceName="Niveau">
  <pivotTables>
    <pivotTable tabId="4" name="Tableau croisé dynamique7"/>
  </pivotTables>
  <data>
    <tabular pivotCacheId="1444624925" crossFilter="none">
      <items count="5">
        <i x="0" s="1"/>
        <i x="1"/>
        <i x="2"/>
        <i x="3"/>
        <i x="4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Secteur" sourceName="Secteur">
  <pivotTables>
    <pivotTable tabId="4" name="Tableau croisé dynamique1"/>
  </pivotTables>
  <data>
    <tabular pivotCacheId="1398703979">
      <items count="37">
        <i x="17"/>
        <i x="0"/>
        <i x="3"/>
        <i x="2"/>
        <i x="4"/>
        <i x="5"/>
        <i x="6"/>
        <i x="1" s="1"/>
        <i x="7"/>
        <i x="8"/>
        <i x="9"/>
        <i x="10"/>
        <i x="11"/>
        <i x="12"/>
        <i x="13"/>
        <i x="14"/>
        <i x="15"/>
        <i x="16"/>
        <i x="23" nd="1"/>
        <i x="22" nd="1"/>
        <i x="26" nd="1"/>
        <i x="19" nd="1"/>
        <i x="34" nd="1"/>
        <i x="27" nd="1"/>
        <i x="20" nd="1"/>
        <i x="36" nd="1"/>
        <i x="21" nd="1"/>
        <i x="18" nd="1"/>
        <i x="33" nd="1"/>
        <i x="25" nd="1"/>
        <i x="24" nd="1"/>
        <i x="29" nd="1"/>
        <i x="32" nd="1"/>
        <i x="35" nd="1"/>
        <i x="28" nd="1"/>
        <i x="31" nd="1"/>
        <i x="30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ecteur" cache="Segment_Secteur" caption="Secteur de votre entreprise" columnCount="2" showCaption="0" style="Sport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Intensité_APS" cache="Segment_Intensité_APS" caption="Intensité de l'APS" style="Sport" rowHeight="241300"/>
  <slicer name="Actions" cache="Segment_Actions" caption="Actions sélectionnées" style="Sport" rowHeight="241300"/>
  <slicer name="Niveau 1" cache="Segment_Niveau1" caption="Niveau d'investissement" style="Sport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ctions 1" cache="Segment_Actions" caption="Actions sélectionnées" style="Sport" rowHeight="241300"/>
  <slicer name="Niveau 2" cache="Segment_Niveau1" caption="Niveau d'investissement" style="Sport" rowHeight="241300"/>
</slicers>
</file>

<file path=xl/tables/table1.xml><?xml version="1.0" encoding="utf-8"?>
<table xmlns="http://schemas.openxmlformats.org/spreadsheetml/2006/main" id="1" name="Base" displayName="Base" ref="B34:CL682" totalsRowShown="0">
  <autoFilter ref="B34:CL682"/>
  <tableColumns count="89">
    <tableColumn id="82" name="Secteur" dataDxfId="99"/>
    <tableColumn id="1" name="Intensité_chiffrée"/>
    <tableColumn id="28" name="Intensité_APS"/>
    <tableColumn id="2" name="Pathologie"/>
    <tableColumn id="3" name="Risque" dataDxfId="98" dataCellStyle="Milliers"/>
    <tableColumn id="4" name="Prévalence" dataDxfId="97" dataCellStyle="Milliers"/>
    <tableColumn id="74" name="Prévalence_prod" dataDxfId="96" dataCellStyle="Milliers"/>
    <tableColumn id="73" name="Présentéisme" dataDxfId="95" dataCellStyle="Milliers"/>
    <tableColumn id="21" name="Coût" dataDxfId="94" dataCellStyle="Milliers"/>
    <tableColumn id="22" name="Part_ménages_dépenses_santé" dataDxfId="93" dataCellStyle="Milliers"/>
    <tableColumn id="5" name="Coût_salarié" dataDxfId="92" dataCellStyle="Milliers">
      <calculatedColumnFormula>Base[[#This Row],[Coût]]*Base[[#This Row],[Part_ménages_dépenses_santé]]</calculatedColumnFormula>
    </tableColumn>
    <tableColumn id="6" name="Part_coûts_salarié" dataDxfId="91" dataCellStyle="Milliers"/>
    <tableColumn id="8" name="Population_emploi" dataDxfId="90" dataCellStyle="Milliers"/>
    <tableColumn id="7" name="[Maladies]Coûts_évités_par_salarié" dataDxfId="89">
      <calculatedColumnFormula>Base[[#This Row],[Coût_salarié]]*10^9*Base[[#This Row],[Risque]]*Base[[#This Row],[Prévalence]]*Base[[#This Row],[Part_coûts_salarié]]/Base[[#This Row],[Population_emploi]]</calculatedColumnFormula>
    </tableColumn>
    <tableColumn id="9" name="Durée_perte_10%"/>
    <tableColumn id="10" name="Durée_perte_33,33%"/>
    <tableColumn id="11" name="%_perte_rémunération_premiers_jours"/>
    <tableColumn id="12" name="%_perte_rémunération_jours_suivants"/>
    <tableColumn id="13" name="Prévalence_Travail" dataDxfId="88"/>
    <tableColumn id="15" name="Salaire_net_horaire" dataDxfId="87">
      <calculatedColumnFormula>IF(Bases_annexes!$F$5=0,16.6587111018772,0.77*Bases_annexes!$F$5/(IF(OR(ISBLANK('Données_d''entrée'!$E$44),'Données_d''entrée'!$E$44=0),35,'Données_d''entrée'!$E$44)*52))</calculatedColumnFormula>
    </tableColumn>
    <tableColumn id="16" name="Durée_arrêt" dataDxfId="86"/>
    <tableColumn id="14" name="[Travail]Coûts_évités_par_salarié" dataCellStyle="Milliers">
      <calculatedColumnFormula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calculatedColumnFormula>
    </tableColumn>
    <tableColumn id="17" name="Budget_santé_salarié" dataDxfId="85"/>
    <tableColumn id="18" name="Part_sur_budget_salarié" dataDxfId="84">
      <calculatedColumnFormula>(Base[[#This Row],['[Maladies']Coûts_évités_par_salarié]]+Base[[#This Row],['[Travail']Coûts_évités_par_salarié]])/Base[[#This Row],[Budget_santé_salarié]]</calculatedColumnFormula>
    </tableColumn>
    <tableColumn id="24" name="Part_société_dépenses_santé" dataDxfId="83"/>
    <tableColumn id="23" name="Coût_société" dataDxfId="82">
      <calculatedColumnFormula>Base[[#This Row],[Coût]]*Base[[#This Row],[Part_société_dépenses_santé]]</calculatedColumnFormula>
    </tableColumn>
    <tableColumn id="37" name="Population_totale" dataDxfId="81"/>
    <tableColumn id="41" name="Espérance_vie" dataDxfId="80"/>
    <tableColumn id="71" name="[SC]Prévalence_travail" dataDxfId="79"/>
    <tableColumn id="26" name="[SC]Patients_en_emploi" dataDxfId="78">
      <calculatedColumnFormula>Base[[#This Row],['[SC']Prévalence_travail]]*Base[[#This Row],[Population_emploi]]</calculatedColumnFormula>
    </tableColumn>
    <tableColumn id="27" name="[SC]Patients_évités" dataDxfId="77">
      <calculatedColumnFormula>Base[[#This Row],[Risque]]*Base[[#This Row],['[SC']Patients_en_emploi]]</calculatedColumnFormula>
    </tableColumn>
    <tableColumn id="19" name="[SC]Prestations" dataDxfId="76"/>
    <tableColumn id="20" name="[SC]Prestations_par_patient" dataDxfId="75">
      <calculatedColumnFormula>IFERROR(Base[[#This Row],['[SC']Prestations]]/Base[[#This Row],['[SC']Patients_en_emploi]],0)</calculatedColumnFormula>
    </tableColumn>
    <tableColumn id="29" name="[SC]Montant_max_IJ" dataDxfId="74"/>
    <tableColumn id="30" name="[SC][Travail]Coûts_évités" dataDxfId="73">
      <calculatedColumnFormula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calculatedColumnFormula>
    </tableColumn>
    <tableColumn id="31" name="[SC][Travail]Coûts_évités_par_salarié" dataDxfId="72">
      <calculatedColumnFormula>Base[[#This Row],['[SC']'[Travail']Coûts_évités]]/Base[[#This Row],[Population_emploi]]</calculatedColumnFormula>
    </tableColumn>
    <tableColumn id="32" name="[SC][Maladies]Coûts_évités_par_salarié" dataDxfId="71">
      <calculatedColumnFormula>Base[[#This Row],[Coût_société]]*10^9*Base[[#This Row],[Risque]]*Base[[#This Row],[Prévalence]]*Base[[#This Row],[Part_coûts_salarié]]/Base[[#This Row],[Population_emploi]]</calculatedColumnFormula>
    </tableColumn>
    <tableColumn id="33" name="[SC]Coût_personne_dépendante" dataDxfId="70">
      <calculatedColumnFormula>IF(Base[[#This Row],[Pathologie]]&lt;&gt;"Dépendance",0,14909.24243952)</calculatedColumnFormula>
    </tableColumn>
    <tableColumn id="34" name="[SC]Nb_personnes_dépendantes" dataDxfId="69">
      <calculatedColumnFormula>IF(Base[[#This Row],[Pathologie]]&lt;&gt;"Dépendance",0,1316000)</calculatedColumnFormula>
    </tableColumn>
    <tableColumn id="35" name="[SC]Coût_total_dépendance" dataDxfId="68">
      <calculatedColumnFormula>IF(Base[[#This Row],[Pathologie]]&lt;&gt;"Dépendance",0,Base[[#This Row],['[SC']Coût_personne_dépendante]]*Base[[#This Row],['[SC']Nb_personnes_dépendantes]])</calculatedColumnFormula>
    </tableColumn>
    <tableColumn id="36" name="[SC]Coût_dépendance_pop_totale" dataDxfId="67">
      <calculatedColumnFormula>IF(Base[[#This Row],[Pathologie]]&lt;&gt;"Dépendance",0,Base[[#This Row],['[SC']Coût_total_dépendance]]/Base[[#This Row],[Population_totale]])</calculatedColumnFormula>
    </tableColumn>
    <tableColumn id="38" name="[SC]Durée_moyenne_dépendance_avt" dataDxfId="66">
      <calculatedColumnFormula>IF(Base[[#This Row],[Pathologie]]&lt;&gt;"Dépendance",0,4.5)</calculatedColumnFormula>
    </tableColumn>
    <tableColumn id="39" name="[SC]Hausse_esp_de_vie" dataDxfId="65"/>
    <tableColumn id="40" name="[SC]Âge_début_dépendance_après" dataDxfId="64">
      <calculatedColumnFormula>Base[[#This Row],[Espérance_vie]]+Base[[#This Row],['[SC']Hausse_esp_de_vie]]-Base[[#This Row],['[SC']Durée_moyenne_dépendance_avt]]+Base[[#This Row],[Risque]]</calculatedColumnFormula>
    </tableColumn>
    <tableColumn id="42" name="[SC]Durée_moyenne_dépendance_après" dataDxfId="63">
      <calculatedColumnFormula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calculatedColumnFormula>
    </tableColumn>
    <tableColumn id="43" name="[SC][Dépendance]Gains" dataDxfId="62">
      <calculatedColumnFormula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calculatedColumnFormula>
    </tableColumn>
    <tableColumn id="52" name="[SC]Âge_moyen_retraite" dataDxfId="61"/>
    <tableColumn id="44" name="[SC]Budget_total_retraites" dataDxfId="60">
      <calculatedColumnFormula>336905600000</calculatedColumnFormula>
    </tableColumn>
    <tableColumn id="45" name="[SC]Nombre_de_retraités" dataDxfId="59"/>
    <tableColumn id="46" name="[SC]Budget_par_retraité" dataDxfId="58">
      <calculatedColumnFormula>Base[[#This Row],['[SC']Budget_total_retraites]]/Base[[#This Row],['[SC']Nombre_de_retraités]]</calculatedColumnFormula>
    </tableColumn>
    <tableColumn id="47" name="[SC][Dépendance]Coût_retraite_personnes_dépendantes" dataDxfId="57">
      <calculatedColumnFormula>Base[[#This Row],['[SC']Budget_par_retraité]]*Base[[#This Row],['[SC']Nb_personnes_dépendantes]]</calculatedColumnFormula>
    </tableColumn>
    <tableColumn id="48" name="[SC][Dépendance]Coût_retraite_personnes_dépendantes_pop_totale" dataDxfId="56">
      <calculatedColumnFormula>Base[[#This Row],['[SC']'[Dépendance']Coût_retraite_personnes_dépendantes]]/Base[[#This Row],[Population_totale]]</calculatedColumnFormula>
    </tableColumn>
    <tableColumn id="49" name="[SC][Dépendance]Coûts" dataDxfId="55">
      <calculatedColumnFormula>Base[[#This Row],['[SC']Hausse_esp_de_vie]]*Base[[#This Row],['[SC']'[Dépendance']Coût_retraite_personnes_dépendantes_pop_totale]]*Base[[#This Row],[Prévalence]]*Base[[#This Row],[Population_emploi]]/Base[[#This Row],[Population_totale]]</calculatedColumnFormula>
    </tableColumn>
    <tableColumn id="50" name="[SC][Dépendance]Calcul" dataDxfId="54">
      <calculatedColumnFormula>Base[[#This Row],['[SC']'[Dépendance']Gains]]-Base[[#This Row],['[SC']'[Dépendance']Coûts]]</calculatedColumnFormula>
    </tableColumn>
    <tableColumn id="51" name="[SC][Mort_prématurée]Morts_prématurées_évitées" dataDxfId="53">
      <calculatedColumnFormula>IF(Base[[#This Row],[Pathologie]]&lt;&gt;"Mort prématurée",0,Base[[#This Row],[Risque]]*Base[[#This Row],[Prévalence]]*Base[[#This Row],[Population_totale]])</calculatedColumnFormula>
    </tableColumn>
    <tableColumn id="53" name="[SC][Mort_prématurée]Âge_moyen_mort précoce" dataDxfId="52"/>
    <tableColumn id="54" name="[SC][Mort_prématurée]Années_supp_en_activité_s/_mort_précoce" dataDxfId="51">
      <calculatedColumnFormula>Base[[#This Row],['[SC']Âge_moyen_retraite]]-Base[[#This Row],['[SC']'[Mort_prématurée']Âge_moyen_mort précoce]]</calculatedColumnFormula>
    </tableColumn>
    <tableColumn id="55" name="[SC][Mort_prématurée]Années_supp_en_retraite_s/_mort_précoce" dataDxfId="50">
      <calculatedColumnFormula>Base[[#This Row],[Espérance_vie]]+Base[[#This Row],['[SC']Hausse_esp_de_vie]]-Base[[#This Row],['[SC']Âge_moyen_retraite]]</calculatedColumnFormula>
    </tableColumn>
    <tableColumn id="56" name="[SC][Mort_prématurée]Gain_conso_55-64ans" dataDxfId="49"/>
    <tableColumn id="57" name="[SC][Mort_prématurée]Gain_cotisations_sociales" dataDxfId="48"/>
    <tableColumn id="58" name="[SC][Mort_prématurée]Gain_conso_64ans_et_plus" dataDxfId="47"/>
    <tableColumn id="59" name="[SC][Mort_prématurée]Gain_cotisations_patronales" dataDxfId="46"/>
    <tableColumn id="25" name="[SC][Mort_prématurée]Gain_années_vie_supp" dataDxfId="45"/>
    <tableColumn id="61" name="[SC][Mort_prématurée]Gains" dataDxfId="44">
      <calculatedColumnFormula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calculatedColumnFormula>
    </tableColumn>
    <tableColumn id="62" name="[SC][Mort_prématurée]Coûts_retraites" dataDxfId="43"/>
    <tableColumn id="60" name="[SC][Mort_prématurée]Coûts" dataDxfId="42">
      <calculatedColumnFormula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calculatedColumnFormula>
    </tableColumn>
    <tableColumn id="63" name="[SC][Mort_prématurée]Calcul" dataDxfId="41">
      <calculatedColumnFormula>(Base[[#This Row],['[SC']'[Mort_prématurée']Gains]]-Base[[#This Row],['[SC']'[Mort_prématurée']Coûts]])/Base[[#This Row],[Population_totale]]</calculatedColumnFormula>
    </tableColumn>
    <tableColumn id="80" name="[SC][Mort_prématurée]Baisse_risque" dataDxfId="40">
      <calculatedColumnFormula>IF(Base[[#This Row],[Pathologie]]&lt;&gt;"Mort prématurée",0,Base[[#This Row],[Risque]])</calculatedColumnFormula>
    </tableColumn>
    <tableColumn id="79" name="[SC]Budget_santé_société_civile" dataDxfId="39"/>
    <tableColumn id="81" name="[SC]Part_sur_budget_société_civile" dataDxfId="38">
      <calculatedColumnFormula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calculatedColumnFormula>
    </tableColumn>
    <tableColumn id="64" name="[Prod][Absentéisme]Total_jours_absence_avant" dataDxfId="37">
      <calculatedColumnFormula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calculatedColumnFormula>
    </tableColumn>
    <tableColumn id="65" name="[Prod][Absentéisme]Total_jours_absence_après" dataDxfId="36">
      <calculatedColumnFormula>Base[[#This Row],[Prévalence_prod]]*(1-Base[[#This Row],[Risque]])*Base[[#This Row],[Durée_arrêt]]*Base[[#This Row],[Population_emploi]]</calculatedColumnFormula>
    </tableColumn>
    <tableColumn id="66" name="[Prod][Absentéisme]Total_jours_absence_évités" dataDxfId="35">
      <calculatedColumnFormula>Base[[#This Row],['[Prod']'[Absentéisme']Total_jours_absence_avant]]-Base[[#This Row],['[Prod']'[Absentéisme']Total_jours_absence_après]]</calculatedColumnFormula>
    </tableColumn>
    <tableColumn id="67" name="[Prod][Absentéisme]Taux_initial" dataDxfId="34">
      <calculatedColumnFormula>IF(AND(Base[[#This Row],[Pathologie]]&lt;&gt;"Dépendance",Base[[#This Row],[Pathologie]]&lt;&gt;"Mort prématurée",Base[[#This Row],[Pathologie]]&lt;&gt;"Migraine"),0.0619,0)</calculatedColumnFormula>
    </tableColumn>
    <tableColumn id="69" name="[Prod]Jours_ouvrés" dataDxfId="33"/>
    <tableColumn id="70" name="[Prod][Absentéisme]Jours_théoriques" dataDxfId="32">
      <calculatedColumnFormula>Base[[#This Row],['[Prod']'[Absentéisme']Taux_initial]]*Base[[#This Row],['[Prod']Jours_ouvrés]]*Base[[#This Row],[Population_emploi]]*Base[[#This Row],['[Prod']'[Absentéisme']Total_jours_absence_avant]]/211051099.251489</calculatedColumnFormula>
    </tableColumn>
    <tableColumn id="68" name="[Prod][Absentéisme]Taux_final" dataDxfId="31">
      <calculatedColumnFormula>(Base[[#This Row],['[Prod']'[Absentéisme']Jours_théoriques]]-Base[[#This Row],['[Prod']'[Absentéisme']Total_jours_absence_évités]])/(Base[[#This Row],[Population_emploi]]*Base[[#This Row],['[Prod']Jours_ouvrés]])</calculatedColumnFormula>
    </tableColumn>
    <tableColumn id="72" name="[Prod][Présentéisme]Jours_avant" dataDxfId="30">
      <calculatedColumnFormula>Base[[#This Row],[Prévalence_prod]]*Base[[#This Row],[Présentéisme]]*Base[[#This Row],['[Prod']Jours_ouvrés]]</calculatedColumnFormula>
    </tableColumn>
    <tableColumn id="75" name="[Prod][Présentéisme]Jours_après" dataDxfId="29">
      <calculatedColumnFormula>Base[[#This Row],[Prévalence_prod]]*(1-Base[[#This Row],[Risque]])*Base[[#This Row],[Présentéisme]]*Base[[#This Row],['[Prod']Jours_ouvrés]]</calculatedColumnFormula>
    </tableColumn>
    <tableColumn id="76" name="[Prod][Présentéisme]Jours_gagnés" dataDxfId="28">
      <calculatedColumnFormula>Base[[#This Row],['[Prod']'[Présentéisme']Jours_avant]]-Base[[#This Row],['[Prod']'[Présentéisme']Jours_après]]</calculatedColumnFormula>
    </tableColumn>
    <tableColumn id="77" name="[Prod][Présentéisme]Gain" dataDxfId="27">
      <calculatedColumnFormula>Base[[#This Row],['[Prod']'[Présentéisme']Jours_gagnés]]/Base[[#This Row],['[Prod']Jours_ouvrés]]</calculatedColumnFormula>
    </tableColumn>
    <tableColumn id="78" name="[Prod]Sérénité" dataDxfId="26"/>
    <tableColumn id="85" name="[Prod]Impact_motifs_turnover" dataDxfId="25">
      <calculatedColumnFormula>SUM(#REF!)</calculatedColumnFormula>
    </tableColumn>
    <tableColumn id="83" name="[Prod][Turnover]DMC_initiale" dataDxfId="24"/>
    <tableColumn id="84" name="[Prod][Turnover]Ecart_accidents" dataDxfId="23"/>
    <tableColumn id="87" name="[Prod]Turnover_Part_emplois" dataDxfId="22"/>
    <tableColumn id="86" name="[Prod][Turnover]DMC_finale" dataDxfId="21">
      <calculatedColumnFormula>IF(Base[[#This Row],[Secteur]]&lt;&gt;"Moyenne",Base[[#This Row],['[Prod']'[Turnover']DMC_initiale]]*(1+Base[[#This Row],['[Prod']'[Turnover']Ecart_accidents]]*Base[[#This Row],['[Prod']Impact_motifs_turnover]]),CJ18*CI18+CJ19*CI19+CJ20*CI20+CJ21*CI21+CJ22*CI22+CJ23*CI23+CJ24*CI24+CJ25*CI25+CJ26*CI26+CJ27*CI27+CJ28*CI28+CJ29*CI29+CJ30*CI30+CJ31*CI31+CJ32*CI32+CJ33*CI33+CJ34*CI34)</calculatedColumnFormula>
    </tableColumn>
    <tableColumn id="88" name="[Prod][Turnover]1/DMC_initiale" dataDxfId="20">
      <calculatedColumnFormula>1/Base[[#This Row],['[Prod']'[Turnover']DMC_initiale]]</calculatedColumnFormula>
    </tableColumn>
    <tableColumn id="89" name="[Prod][Turnover]1/DMC_finale" dataDxfId="19">
      <calculatedColumnFormula>1/Base[[#This Row],['[Prod']'[Turnover']DMC_finale]]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4" name="Actions" displayName="Actions" ref="C82:F96" totalsRowShown="0">
  <autoFilter ref="C82:F96"/>
  <tableColumns count="4">
    <tableColumn id="1" name="Actions"/>
    <tableColumn id="2" name="Impact_Motivation"/>
    <tableColumn id="3" name="Impact_Capacité"/>
    <tableColumn id="4" name="Impact_Opportunité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5" name="Tableau5" displayName="Tableau5" ref="C99:L149" totalsRowShown="0">
  <autoFilter ref="C99:L149"/>
  <tableColumns count="10">
    <tableColumn id="1" name="Niveau"/>
    <tableColumn id="2" name="Actions"/>
    <tableColumn id="3" name="Indice_incitation" dataDxfId="18">
      <calculatedColumnFormula>$E$67</calculatedColumnFormula>
    </tableColumn>
    <tableColumn id="4" name="Part_Motivation" dataDxfId="17">
      <calculatedColumnFormula array="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calculatedColumnFormula>
    </tableColumn>
    <tableColumn id="5" name="Part_Capacité" dataDxfId="16">
      <calculatedColumnFormula array="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calculatedColumnFormula>
    </tableColumn>
    <tableColumn id="6" name="Part_Opportunité" dataDxfId="15">
      <calculatedColumnFormula array="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calculatedColumnFormula>
    </tableColumn>
    <tableColumn id="10" name="Part_déjà_bénéficiaires" dataDxfId="14">
      <calculatedColumnFormula>INDEX('Données_d''entrée'!$D$57:$F$70,MATCH(Tableau5[[#This Row],[Actions]],'Données_d''entrée'!$D$57:$D$70,0),3)</calculatedColumnFormula>
    </tableColumn>
    <tableColumn id="9" name="Coût_n" dataDxfId="13">
      <calculatedColumnFormula>IF(Tableau5[[#This Row],[Part_déjà_bénéficiaires]]=1,0,INDEX($C$214:$AA$227,MATCH(D100,$C$214:$C$227,0),MATCH(J$99,$C$213:$AA$213,0)))</calculatedColumnFormula>
    </tableColumn>
    <tableColumn id="12" name="Coût_n+" dataDxfId="12">
      <calculatedColumnFormula>IFERROR(IF(Tableau5[[#This Row],[Part_déjà_bénéficiaires]]=1,0,INDEX($C$214:$AA$227,MATCH(D100,$C$214:$C$227,0),MATCH(_xlfn.CONCAT(K$99,$F$234),$C$213:$AA$213,0))),0)</calculatedColumnFormula>
    </tableColumn>
    <tableColumn id="11" name="Hypothèse" dataDxfId="11">
      <calculatedColumnFormula>IF(Tableau5[[#This Row],[Part_déjà_bénéficiaires]]=1,"Déjà en place dans l'entreprise",INDEX($C$214:$AA$227,MATCH(D100,$C$214:$C$227,0),MATCH(L$99,$C$213:$AA$213,0)))</calculatedColumnFormula>
    </tableColumn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2" name="Liste_coches" displayName="Liste_coches" ref="B3:B5" totalsRowShown="0">
  <autoFilter ref="B3:B5"/>
  <tableColumns count="1">
    <tableColumn id="1" name="Liste_coch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umelvalleedulot.com/uploads/file/61113f4ae4cb7.pdf" TargetMode="External"/><Relationship Id="rId1" Type="http://schemas.openxmlformats.org/officeDocument/2006/relationships/hyperlink" Target="https://www.habitatpresto.com/pro/conseils/administratif-fiscalite/charges-sociales-taux-cotisations" TargetMode="Externa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104F8"/>
  </sheetPr>
  <dimension ref="D15:H70"/>
  <sheetViews>
    <sheetView showGridLines="0" tabSelected="1" zoomScale="50" zoomScaleNormal="50" workbookViewId="0">
      <selection activeCell="E42" sqref="E42"/>
    </sheetView>
  </sheetViews>
  <sheetFormatPr baseColWidth="10" defaultRowHeight="15" x14ac:dyDescent="0.25"/>
  <cols>
    <col min="1" max="3" width="11.42578125" style="1"/>
    <col min="4" max="4" width="116.42578125" style="1" bestFit="1" customWidth="1"/>
    <col min="5" max="5" width="18.42578125" style="19" bestFit="1" customWidth="1"/>
    <col min="6" max="6" width="68" style="1" bestFit="1" customWidth="1"/>
    <col min="7" max="16384" width="11.42578125" style="1"/>
  </cols>
  <sheetData>
    <row r="15" ht="18.75" customHeight="1" x14ac:dyDescent="0.25"/>
    <row r="16" ht="18.75" customHeight="1" x14ac:dyDescent="0.25"/>
    <row r="30" ht="18.75" customHeight="1" x14ac:dyDescent="0.25"/>
    <row r="41" spans="4:7" ht="23.25" x14ac:dyDescent="0.35">
      <c r="D41" s="88" t="s">
        <v>333</v>
      </c>
      <c r="E41" s="89" t="s">
        <v>334</v>
      </c>
      <c r="F41" s="88" t="s">
        <v>335</v>
      </c>
    </row>
    <row r="42" spans="4:7" ht="23.25" x14ac:dyDescent="0.35">
      <c r="D42" s="78" t="s">
        <v>115</v>
      </c>
      <c r="E42" s="79"/>
      <c r="F42" s="78" t="s">
        <v>338</v>
      </c>
    </row>
    <row r="43" spans="4:7" ht="23.25" x14ac:dyDescent="0.35">
      <c r="D43" s="78" t="s">
        <v>116</v>
      </c>
      <c r="E43" s="79"/>
      <c r="F43" s="78" t="s">
        <v>338</v>
      </c>
    </row>
    <row r="44" spans="4:7" ht="23.25" x14ac:dyDescent="0.35">
      <c r="D44" s="78" t="s">
        <v>210</v>
      </c>
      <c r="E44" s="79"/>
      <c r="F44" s="78" t="s">
        <v>339</v>
      </c>
      <c r="G44" s="81" t="s">
        <v>345</v>
      </c>
    </row>
    <row r="45" spans="4:7" ht="23.25" x14ac:dyDescent="0.35">
      <c r="D45" s="78" t="s">
        <v>313</v>
      </c>
      <c r="E45" s="79"/>
      <c r="F45" s="78" t="s">
        <v>340</v>
      </c>
      <c r="G45" s="81" t="s">
        <v>346</v>
      </c>
    </row>
    <row r="49" spans="4:8" ht="23.25" x14ac:dyDescent="0.35">
      <c r="D49" s="88" t="s">
        <v>333</v>
      </c>
      <c r="E49" s="89" t="s">
        <v>334</v>
      </c>
      <c r="F49" s="88" t="s">
        <v>335</v>
      </c>
    </row>
    <row r="50" spans="4:8" ht="23.25" x14ac:dyDescent="0.35">
      <c r="D50" s="78" t="s">
        <v>227</v>
      </c>
      <c r="E50" s="86"/>
      <c r="F50" s="78" t="s">
        <v>336</v>
      </c>
      <c r="G50" s="81" t="s">
        <v>347</v>
      </c>
      <c r="H50" s="80"/>
    </row>
    <row r="51" spans="4:8" ht="23.25" x14ac:dyDescent="0.35">
      <c r="D51" s="82" t="s">
        <v>208</v>
      </c>
      <c r="E51" s="87"/>
      <c r="F51" s="78" t="s">
        <v>337</v>
      </c>
      <c r="G51" s="80"/>
      <c r="H51" s="80"/>
    </row>
    <row r="52" spans="4:8" ht="23.25" x14ac:dyDescent="0.35">
      <c r="D52" s="82" t="s">
        <v>209</v>
      </c>
      <c r="E52" s="87"/>
      <c r="F52" s="78" t="s">
        <v>337</v>
      </c>
      <c r="G52" s="80"/>
      <c r="H52" s="80"/>
    </row>
    <row r="53" spans="4:8" ht="23.25" x14ac:dyDescent="0.35">
      <c r="D53" s="82" t="s">
        <v>212</v>
      </c>
      <c r="E53" s="87"/>
      <c r="F53" s="78" t="s">
        <v>337</v>
      </c>
      <c r="G53" s="81" t="s">
        <v>348</v>
      </c>
      <c r="H53" s="80"/>
    </row>
    <row r="54" spans="4:8" ht="23.25" x14ac:dyDescent="0.35">
      <c r="D54" s="80"/>
      <c r="E54" s="83"/>
      <c r="F54" s="80"/>
      <c r="G54" s="80"/>
      <c r="H54" s="80"/>
    </row>
    <row r="55" spans="4:8" ht="23.25" x14ac:dyDescent="0.35">
      <c r="D55" s="80"/>
      <c r="E55" s="83"/>
      <c r="F55" s="80"/>
      <c r="G55" s="80"/>
      <c r="H55" s="80"/>
    </row>
    <row r="56" spans="4:8" ht="23.25" x14ac:dyDescent="0.35">
      <c r="D56" s="88" t="s">
        <v>172</v>
      </c>
      <c r="E56" s="89" t="s">
        <v>289</v>
      </c>
      <c r="F56" s="88" t="s">
        <v>290</v>
      </c>
      <c r="G56" s="81" t="s">
        <v>349</v>
      </c>
      <c r="H56" s="80"/>
    </row>
    <row r="57" spans="4:8" ht="23.25" x14ac:dyDescent="0.35">
      <c r="D57" s="84" t="s">
        <v>173</v>
      </c>
      <c r="E57" s="79"/>
      <c r="F57" s="85">
        <v>0</v>
      </c>
      <c r="G57" s="81" t="s">
        <v>350</v>
      </c>
      <c r="H57" s="80"/>
    </row>
    <row r="58" spans="4:8" ht="23.25" x14ac:dyDescent="0.35">
      <c r="D58" s="84" t="s">
        <v>174</v>
      </c>
      <c r="E58" s="79"/>
      <c r="F58" s="85">
        <v>0</v>
      </c>
      <c r="G58" s="80"/>
      <c r="H58" s="80"/>
    </row>
    <row r="59" spans="4:8" ht="23.25" x14ac:dyDescent="0.35">
      <c r="D59" s="84" t="s">
        <v>175</v>
      </c>
      <c r="E59" s="79"/>
      <c r="F59" s="85">
        <v>0</v>
      </c>
      <c r="G59" s="80"/>
      <c r="H59" s="80"/>
    </row>
    <row r="60" spans="4:8" ht="23.25" x14ac:dyDescent="0.35">
      <c r="D60" s="84" t="s">
        <v>176</v>
      </c>
      <c r="E60" s="79"/>
      <c r="F60" s="85">
        <v>0</v>
      </c>
      <c r="G60" s="80"/>
      <c r="H60" s="80"/>
    </row>
    <row r="61" spans="4:8" ht="23.25" x14ac:dyDescent="0.35">
      <c r="D61" s="84" t="s">
        <v>177</v>
      </c>
      <c r="E61" s="79"/>
      <c r="F61" s="85">
        <v>0</v>
      </c>
      <c r="G61" s="80"/>
      <c r="H61" s="80"/>
    </row>
    <row r="62" spans="4:8" ht="23.25" x14ac:dyDescent="0.35">
      <c r="D62" s="84" t="s">
        <v>178</v>
      </c>
      <c r="E62" s="79"/>
      <c r="F62" s="85">
        <v>0</v>
      </c>
      <c r="G62" s="80"/>
      <c r="H62" s="80"/>
    </row>
    <row r="63" spans="4:8" ht="23.25" x14ac:dyDescent="0.35">
      <c r="D63" s="84" t="s">
        <v>179</v>
      </c>
      <c r="E63" s="79"/>
      <c r="F63" s="85">
        <v>0</v>
      </c>
      <c r="G63" s="80"/>
      <c r="H63" s="80"/>
    </row>
    <row r="64" spans="4:8" ht="23.25" x14ac:dyDescent="0.35">
      <c r="D64" s="84" t="s">
        <v>180</v>
      </c>
      <c r="E64" s="79"/>
      <c r="F64" s="85">
        <v>0</v>
      </c>
      <c r="G64" s="80"/>
      <c r="H64" s="80"/>
    </row>
    <row r="65" spans="4:8" ht="23.25" x14ac:dyDescent="0.35">
      <c r="D65" s="84" t="s">
        <v>181</v>
      </c>
      <c r="E65" s="79"/>
      <c r="F65" s="85">
        <v>0</v>
      </c>
      <c r="G65" s="80"/>
      <c r="H65" s="80"/>
    </row>
    <row r="66" spans="4:8" ht="23.25" x14ac:dyDescent="0.35">
      <c r="D66" s="84" t="s">
        <v>182</v>
      </c>
      <c r="E66" s="79"/>
      <c r="F66" s="85">
        <v>0</v>
      </c>
      <c r="G66" s="80"/>
      <c r="H66" s="80"/>
    </row>
    <row r="67" spans="4:8" ht="23.25" x14ac:dyDescent="0.35">
      <c r="D67" s="84" t="s">
        <v>183</v>
      </c>
      <c r="E67" s="79"/>
      <c r="F67" s="85">
        <v>0</v>
      </c>
      <c r="G67" s="80"/>
      <c r="H67" s="80"/>
    </row>
    <row r="68" spans="4:8" ht="23.25" x14ac:dyDescent="0.35">
      <c r="D68" s="84" t="s">
        <v>184</v>
      </c>
      <c r="E68" s="79"/>
      <c r="F68" s="85">
        <v>0</v>
      </c>
      <c r="G68" s="80"/>
      <c r="H68" s="80"/>
    </row>
    <row r="69" spans="4:8" ht="23.25" x14ac:dyDescent="0.35">
      <c r="D69" s="84" t="s">
        <v>185</v>
      </c>
      <c r="E69" s="79"/>
      <c r="F69" s="85">
        <v>0</v>
      </c>
      <c r="G69" s="80"/>
      <c r="H69" s="80"/>
    </row>
    <row r="70" spans="4:8" ht="23.25" x14ac:dyDescent="0.35">
      <c r="D70" s="84" t="s">
        <v>186</v>
      </c>
      <c r="E70" s="79"/>
      <c r="F70" s="85">
        <v>0</v>
      </c>
      <c r="G70" s="80"/>
      <c r="H70" s="80"/>
    </row>
  </sheetData>
  <sheetProtection formatCells="0" sort="0" autoFilter="0" pivotTables="0"/>
  <dataValidations count="6">
    <dataValidation type="whole" operator="greaterThan" allowBlank="1" showInputMessage="1" showErrorMessage="1" sqref="E42">
      <formula1>0</formula1>
    </dataValidation>
    <dataValidation type="decimal" operator="greaterThan" allowBlank="1" showInputMessage="1" showErrorMessage="1" sqref="E50:E53 E44:E45">
      <formula1>0</formula1>
    </dataValidation>
    <dataValidation type="list" allowBlank="1" showInputMessage="1" showErrorMessage="1" sqref="E57:E70">
      <formula1>INDIRECT("Liste_coches")</formula1>
    </dataValidation>
    <dataValidation type="decimal" allowBlank="1" showInputMessage="1" showErrorMessage="1" sqref="F57:F70">
      <formula1>0</formula1>
      <formula2>1</formula2>
    </dataValidation>
    <dataValidation type="custom" operator="greaterThan" allowBlank="1" showInputMessage="1" showErrorMessage="1" sqref="E45">
      <formula1>AND(E45&gt;=0,E45&lt;=#REF!)</formula1>
    </dataValidation>
    <dataValidation type="custom" operator="greaterThan" allowBlank="1" showInputMessage="1" showErrorMessage="1" sqref="E43:E44">
      <formula1>AND(E43&gt;=0,E43&lt;=E42)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13007C"/>
  </sheetPr>
  <dimension ref="A1"/>
  <sheetViews>
    <sheetView showGridLines="0" topLeftCell="A42" zoomScale="29" zoomScaleNormal="75" workbookViewId="0">
      <selection activeCell="BB47" sqref="BB47"/>
    </sheetView>
  </sheetViews>
  <sheetFormatPr baseColWidth="10" defaultRowHeight="15" x14ac:dyDescent="0.25"/>
  <cols>
    <col min="1" max="16384" width="11.42578125" style="1"/>
  </cols>
  <sheetData/>
  <sheetProtection algorithmName="SHA-512" hashValue="gR8+S1gVp2SGzHDxPrM/8sqCfPhOPNej/1t1wlNZMCsd3DK0QaTKUZmprTE6F+w6f13FtM93TNJSL68GiEcDCw==" saltValue="VLzkUbsQSgvQ3CHI2GfYdQ==" spinCount="100000" sheet="1" selectLockedCells="1" autoFilter="0" pivotTables="0" selectUnlockedCells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92ED2"/>
  </sheetPr>
  <dimension ref="A1"/>
  <sheetViews>
    <sheetView topLeftCell="A25" zoomScale="40" zoomScaleNormal="40" workbookViewId="0"/>
  </sheetViews>
  <sheetFormatPr baseColWidth="10" defaultRowHeight="15" x14ac:dyDescent="0.25"/>
  <cols>
    <col min="1" max="16384" width="11.42578125" style="1"/>
  </cols>
  <sheetData/>
  <pageMargins left="0.7" right="0.7" top="0.75" bottom="0.75" header="0.3" footer="0.3"/>
  <drawing r:id="rId1"/>
  <legacy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4:CL682"/>
  <sheetViews>
    <sheetView topLeftCell="H14" zoomScale="72" zoomScaleNormal="70" workbookViewId="0">
      <selection activeCell="Q24" sqref="Q24"/>
    </sheetView>
  </sheetViews>
  <sheetFormatPr baseColWidth="10" defaultRowHeight="15" x14ac:dyDescent="0.25"/>
  <cols>
    <col min="2" max="2" width="69.28515625" bestFit="1" customWidth="1"/>
    <col min="3" max="3" width="15.5703125" customWidth="1"/>
    <col min="4" max="4" width="38.85546875" bestFit="1" customWidth="1"/>
    <col min="6" max="6" width="21.7109375" bestFit="1" customWidth="1"/>
    <col min="7" max="8" width="21.5703125" customWidth="1"/>
    <col min="9" max="10" width="15.5703125" customWidth="1"/>
    <col min="11" max="11" width="11.5703125" bestFit="1" customWidth="1"/>
    <col min="12" max="12" width="12.42578125" customWidth="1"/>
    <col min="13" max="13" width="26" bestFit="1" customWidth="1"/>
    <col min="14" max="14" width="12.7109375" customWidth="1"/>
    <col min="15" max="15" width="12.5703125" customWidth="1"/>
    <col min="16" max="21" width="11.5703125" bestFit="1" customWidth="1"/>
    <col min="22" max="22" width="13.42578125" customWidth="1"/>
    <col min="23" max="26" width="11.5703125" bestFit="1" customWidth="1"/>
    <col min="27" max="29" width="20.28515625" customWidth="1"/>
    <col min="30" max="30" width="32.42578125" bestFit="1" customWidth="1"/>
    <col min="31" max="31" width="16.42578125" customWidth="1"/>
    <col min="32" max="32" width="17.85546875" bestFit="1" customWidth="1"/>
    <col min="33" max="33" width="15.85546875" bestFit="1" customWidth="1"/>
    <col min="34" max="34" width="11.5703125" bestFit="1" customWidth="1"/>
    <col min="35" max="35" width="19.42578125" customWidth="1"/>
    <col min="36" max="36" width="15.5703125" bestFit="1" customWidth="1"/>
    <col min="37" max="38" width="11.5703125" bestFit="1" customWidth="1"/>
    <col min="39" max="39" width="20.85546875" customWidth="1"/>
    <col min="40" max="40" width="17" bestFit="1" customWidth="1"/>
    <col min="41" max="41" width="16.42578125" bestFit="1" customWidth="1"/>
    <col min="42" max="47" width="11.5703125" bestFit="1" customWidth="1"/>
    <col min="48" max="48" width="19" bestFit="1" customWidth="1"/>
    <col min="49" max="49" width="18.28515625" bestFit="1" customWidth="1"/>
    <col min="50" max="50" width="12.7109375" bestFit="1" customWidth="1"/>
    <col min="51" max="51" width="17" bestFit="1" customWidth="1"/>
    <col min="52" max="52" width="16.42578125" bestFit="1" customWidth="1"/>
    <col min="53" max="62" width="11.5703125" bestFit="1" customWidth="1"/>
    <col min="63" max="63" width="15.5703125" customWidth="1"/>
    <col min="64" max="65" width="24" customWidth="1"/>
    <col min="66" max="66" width="27.85546875" customWidth="1"/>
    <col min="67" max="70" width="20.140625" customWidth="1"/>
    <col min="71" max="71" width="17.42578125" customWidth="1"/>
    <col min="72" max="72" width="14.7109375" customWidth="1"/>
    <col min="73" max="73" width="14.28515625" customWidth="1"/>
    <col min="74" max="74" width="13" bestFit="1" customWidth="1"/>
    <col min="75" max="75" width="11.5703125" bestFit="1" customWidth="1"/>
    <col min="76" max="76" width="20.7109375" customWidth="1"/>
    <col min="77" max="77" width="15" bestFit="1" customWidth="1"/>
    <col min="78" max="84" width="11.5703125" bestFit="1" customWidth="1"/>
    <col min="85" max="89" width="11.5703125" customWidth="1"/>
  </cols>
  <sheetData>
    <row r="34" spans="2:90" x14ac:dyDescent="0.25">
      <c r="B34" t="s">
        <v>196</v>
      </c>
      <c r="C34" t="s">
        <v>86</v>
      </c>
      <c r="D34" t="s">
        <v>0</v>
      </c>
      <c r="E34" t="s">
        <v>1</v>
      </c>
      <c r="F34" t="s">
        <v>2</v>
      </c>
      <c r="G34" t="s">
        <v>49</v>
      </c>
      <c r="H34" t="s">
        <v>98</v>
      </c>
      <c r="I34" t="s">
        <v>96</v>
      </c>
      <c r="J34" t="s">
        <v>11</v>
      </c>
      <c r="K34" t="s">
        <v>35</v>
      </c>
      <c r="L34" t="s">
        <v>32</v>
      </c>
      <c r="M34" t="s">
        <v>34</v>
      </c>
      <c r="N34" t="s">
        <v>14</v>
      </c>
      <c r="O34" t="s">
        <v>20</v>
      </c>
      <c r="P34" t="s">
        <v>15</v>
      </c>
      <c r="Q34" t="s">
        <v>16</v>
      </c>
      <c r="R34" t="s">
        <v>17</v>
      </c>
      <c r="S34" t="s">
        <v>18</v>
      </c>
      <c r="T34" t="s">
        <v>19</v>
      </c>
      <c r="U34" t="s">
        <v>211</v>
      </c>
      <c r="V34" t="s">
        <v>22</v>
      </c>
      <c r="W34" t="s">
        <v>21</v>
      </c>
      <c r="X34" t="s">
        <v>29</v>
      </c>
      <c r="Y34" t="s">
        <v>30</v>
      </c>
      <c r="Z34" t="s">
        <v>36</v>
      </c>
      <c r="AA34" t="s">
        <v>33</v>
      </c>
      <c r="AB34" t="s">
        <v>63</v>
      </c>
      <c r="AC34" t="s">
        <v>52</v>
      </c>
      <c r="AD34" t="s">
        <v>149</v>
      </c>
      <c r="AE34" t="s">
        <v>44</v>
      </c>
      <c r="AF34" t="s">
        <v>43</v>
      </c>
      <c r="AG34" t="s">
        <v>150</v>
      </c>
      <c r="AH34" t="s">
        <v>151</v>
      </c>
      <c r="AI34" t="s">
        <v>152</v>
      </c>
      <c r="AJ34" t="s">
        <v>38</v>
      </c>
      <c r="AK34" t="s">
        <v>37</v>
      </c>
      <c r="AL34" t="s">
        <v>40</v>
      </c>
      <c r="AM34" t="s">
        <v>45</v>
      </c>
      <c r="AN34" t="s">
        <v>46</v>
      </c>
      <c r="AO34" t="s">
        <v>47</v>
      </c>
      <c r="AP34" t="s">
        <v>48</v>
      </c>
      <c r="AQ34" t="s">
        <v>50</v>
      </c>
      <c r="AR34" t="s">
        <v>54</v>
      </c>
      <c r="AS34" t="s">
        <v>53</v>
      </c>
      <c r="AT34" t="s">
        <v>51</v>
      </c>
      <c r="AU34" t="s">
        <v>80</v>
      </c>
      <c r="AV34" t="s">
        <v>60</v>
      </c>
      <c r="AW34" t="s">
        <v>55</v>
      </c>
      <c r="AX34" t="s">
        <v>56</v>
      </c>
      <c r="AY34" t="s">
        <v>57</v>
      </c>
      <c r="AZ34" t="s">
        <v>76</v>
      </c>
      <c r="BA34" t="s">
        <v>77</v>
      </c>
      <c r="BB34" t="s">
        <v>78</v>
      </c>
      <c r="BC34" t="s">
        <v>79</v>
      </c>
      <c r="BD34" t="s">
        <v>74</v>
      </c>
      <c r="BE34" t="s">
        <v>73</v>
      </c>
      <c r="BF34" t="s">
        <v>72</v>
      </c>
      <c r="BG34" t="s">
        <v>71</v>
      </c>
      <c r="BH34" t="s">
        <v>70</v>
      </c>
      <c r="BI34" t="s">
        <v>69</v>
      </c>
      <c r="BJ34" t="s">
        <v>68</v>
      </c>
      <c r="BK34" t="s">
        <v>67</v>
      </c>
      <c r="BL34" t="s">
        <v>66</v>
      </c>
      <c r="BM34" t="s">
        <v>61</v>
      </c>
      <c r="BN34" t="s">
        <v>65</v>
      </c>
      <c r="BO34" t="s">
        <v>64</v>
      </c>
      <c r="BP34" t="s">
        <v>75</v>
      </c>
      <c r="BQ34" t="s">
        <v>124</v>
      </c>
      <c r="BR34" t="s">
        <v>153</v>
      </c>
      <c r="BS34" t="s">
        <v>154</v>
      </c>
      <c r="BT34" t="s">
        <v>87</v>
      </c>
      <c r="BU34" t="s">
        <v>88</v>
      </c>
      <c r="BV34" t="s">
        <v>89</v>
      </c>
      <c r="BW34" t="s">
        <v>90</v>
      </c>
      <c r="BX34" t="s">
        <v>93</v>
      </c>
      <c r="BY34" t="s">
        <v>94</v>
      </c>
      <c r="BZ34" t="s">
        <v>92</v>
      </c>
      <c r="CA34" t="s">
        <v>99</v>
      </c>
      <c r="CB34" t="s">
        <v>100</v>
      </c>
      <c r="CC34" t="s">
        <v>101</v>
      </c>
      <c r="CD34" t="s">
        <v>102</v>
      </c>
      <c r="CE34" t="s">
        <v>128</v>
      </c>
      <c r="CF34" t="s">
        <v>129</v>
      </c>
      <c r="CG34" t="s">
        <v>197</v>
      </c>
      <c r="CH34" t="s">
        <v>198</v>
      </c>
      <c r="CI34" t="s">
        <v>200</v>
      </c>
      <c r="CJ34" t="s">
        <v>199</v>
      </c>
      <c r="CK34" t="s">
        <v>201</v>
      </c>
      <c r="CL34" t="s">
        <v>202</v>
      </c>
    </row>
    <row r="35" spans="2:90" x14ac:dyDescent="0.25">
      <c r="B35" s="4" t="s">
        <v>315</v>
      </c>
      <c r="C35">
        <v>7.5</v>
      </c>
      <c r="D35" t="s">
        <v>84</v>
      </c>
      <c r="E35" t="s">
        <v>3</v>
      </c>
      <c r="F35" s="3">
        <v>8.9809779297667564E-2</v>
      </c>
      <c r="G35" s="3">
        <v>2.5999999999999999E-2</v>
      </c>
      <c r="H35" s="3">
        <v>2.5999999999999999E-2</v>
      </c>
      <c r="I35" s="3">
        <v>8.5000000000000006E-2</v>
      </c>
      <c r="J35" s="3">
        <v>24.289173334126499</v>
      </c>
      <c r="K35" s="3">
        <v>7.0000000000000007E-2</v>
      </c>
      <c r="L35" s="2">
        <f>Base[[#This Row],[Coût]]*Base[[#This Row],[Part_ménages_dépenses_santé]]</f>
        <v>1.7002421333888551</v>
      </c>
      <c r="M35" s="2">
        <v>0.99784170771638514</v>
      </c>
      <c r="N35" s="6">
        <v>27700000</v>
      </c>
      <c r="O35" s="7">
        <f>Base[[#This Row],[Coût_salarié]]*10^9*Base[[#This Row],[Risque]]*Base[[#This Row],[Prévalence]]*Base[[#This Row],[Part_coûts_salarié]]/Base[[#This Row],[Population_emploi]]</f>
        <v>0.14301764905993752</v>
      </c>
      <c r="P35">
        <v>50</v>
      </c>
      <c r="Q35">
        <v>50</v>
      </c>
      <c r="R35" s="2">
        <v>9.9999999999999978E-2</v>
      </c>
      <c r="S35" s="2">
        <v>0.33340000000000003</v>
      </c>
      <c r="T35" s="4">
        <v>2.5999999999999999E-2</v>
      </c>
      <c r="U35" s="4">
        <f>IF(Bases_annexes!$F$5=0,16.6587111018772,0.77*Bases_annexes!$F$5/(IF(OR(ISBLANK('Données_d''entrée'!$E$44),'Données_d''entrée'!$E$44=0),35,'Données_d''entrée'!$E$44)*52))</f>
        <v>16.658711101877199</v>
      </c>
      <c r="V35" s="4">
        <v>22.173118639135399</v>
      </c>
      <c r="W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35" s="4">
        <v>234.5</v>
      </c>
      <c r="Y35" s="4">
        <f>(Base[[#This Row],['[Maladies']Coûts_évités_par_salarié]]+Base[[#This Row],['[Travail']Coûts_évités_par_salarié]])/Base[[#This Row],[Budget_santé_salarié]]</f>
        <v>6.3196889299024783E-3</v>
      </c>
      <c r="Z35" s="4">
        <v>0.8</v>
      </c>
      <c r="AA35" s="4">
        <f>Base[[#This Row],[Coût]]*Base[[#This Row],[Part_société_dépenses_santé]]</f>
        <v>19.431338667301201</v>
      </c>
      <c r="AB35" s="4">
        <v>67635124</v>
      </c>
      <c r="AC35" s="4">
        <v>82.297079063317852</v>
      </c>
      <c r="AD35" s="4">
        <v>2.5999999999999999E-2</v>
      </c>
      <c r="AE35" s="4">
        <f>Base[[#This Row],['[SC']Prévalence_travail]]*Base[[#This Row],[Population_emploi]]</f>
        <v>720200</v>
      </c>
      <c r="AF35" s="4">
        <f>Base[[#This Row],[Risque]]*Base[[#This Row],['[SC']Patients_en_emploi]]</f>
        <v>64681.003050180181</v>
      </c>
      <c r="AG35" s="4">
        <v>1257615774.8399999</v>
      </c>
      <c r="AH35" s="4">
        <f>IFERROR(Base[[#This Row],['[SC']Prestations]]/Base[[#This Row],['[SC']Patients_en_emploi]],0)</f>
        <v>1746.203519633435</v>
      </c>
      <c r="AI35" s="4">
        <v>51.7</v>
      </c>
      <c r="AJ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35" s="4">
        <f>Base[[#This Row],['[SC']'[Travail']Coûts_évités]]/Base[[#This Row],[Population_emploi]]</f>
        <v>4.0774799703843172</v>
      </c>
      <c r="AL35" s="4">
        <f>Base[[#This Row],[Coût_société]]*10^9*Base[[#This Row],[Risque]]*Base[[#This Row],[Prévalence]]*Base[[#This Row],[Part_coûts_salarié]]/Base[[#This Row],[Population_emploi]]</f>
        <v>1.6344874178278568</v>
      </c>
      <c r="AM35" s="4">
        <f>IF(Base[[#This Row],[Pathologie]]&lt;&gt;"Dépendance",0,14909.24243952)</f>
        <v>0</v>
      </c>
      <c r="AN35" s="4">
        <f>IF(Base[[#This Row],[Pathologie]]&lt;&gt;"Dépendance",0,1316000)</f>
        <v>0</v>
      </c>
      <c r="AO35" s="4">
        <f>IF(Base[[#This Row],[Pathologie]]&lt;&gt;"Dépendance",0,Base[[#This Row],['[SC']Coût_personne_dépendante]]*Base[[#This Row],['[SC']Nb_personnes_dépendantes]])</f>
        <v>0</v>
      </c>
      <c r="AP35" s="4">
        <f>IF(Base[[#This Row],[Pathologie]]&lt;&gt;"Dépendance",0,Base[[#This Row],['[SC']Coût_total_dépendance]]/Base[[#This Row],[Population_totale]])</f>
        <v>0</v>
      </c>
      <c r="AQ35" s="4">
        <f>IF(Base[[#This Row],[Pathologie]]&lt;&gt;"Dépendance",0,4.5)</f>
        <v>0</v>
      </c>
      <c r="AR35" s="4">
        <v>0.50393265050357905</v>
      </c>
      <c r="AS35" s="4">
        <f>Base[[#This Row],[Espérance_vie]]+Base[[#This Row],['[SC']Hausse_esp_de_vie]]-Base[[#This Row],['[SC']Durée_moyenne_dépendance_avt]]+Base[[#This Row],[Risque]]</f>
        <v>82.890821493119105</v>
      </c>
      <c r="AT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" s="4">
        <v>62.9</v>
      </c>
      <c r="AW35" s="4">
        <f t="shared" ref="AW35:AW629" si="0">336905600000</f>
        <v>336905600000</v>
      </c>
      <c r="AX35" s="4">
        <v>15049171</v>
      </c>
      <c r="AY35" s="4">
        <f>Base[[#This Row],['[SC']Budget_total_retraites]]/Base[[#This Row],['[SC']Nombre_de_retraités]]</f>
        <v>22386.987296509556</v>
      </c>
      <c r="AZ35" s="4">
        <f>Base[[#This Row],['[SC']Budget_par_retraité]]*Base[[#This Row],['[SC']Nb_personnes_dépendantes]]</f>
        <v>0</v>
      </c>
      <c r="BA35" s="4">
        <f>Base[[#This Row],['[SC']'[Dépendance']Coût_retraite_personnes_dépendantes]]/Base[[#This Row],[Population_totale]]</f>
        <v>0</v>
      </c>
      <c r="BB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" s="4">
        <f>Base[[#This Row],['[SC']'[Dépendance']Gains]]-Base[[#This Row],['[SC']'[Dépendance']Coûts]]</f>
        <v>0</v>
      </c>
      <c r="BD35" s="4">
        <f>IF(Base[[#This Row],[Pathologie]]&lt;&gt;"Mort prématurée",0,Base[[#This Row],[Risque]]*Base[[#This Row],[Prévalence]]*Base[[#This Row],[Population_totale]])</f>
        <v>0</v>
      </c>
      <c r="BE35" s="4">
        <v>52.74</v>
      </c>
      <c r="BF35" s="4">
        <f>Base[[#This Row],['[SC']Âge_moyen_retraite]]-Base[[#This Row],['[SC']'[Mort_prématurée']Âge_moyen_mort précoce]]</f>
        <v>10.159999999999997</v>
      </c>
      <c r="BG35" s="4">
        <f>Base[[#This Row],[Espérance_vie]]+Base[[#This Row],['[SC']Hausse_esp_de_vie]]-Base[[#This Row],['[SC']Âge_moyen_retraite]]</f>
        <v>19.90101171382144</v>
      </c>
      <c r="BH35" s="4">
        <v>106583.42676924677</v>
      </c>
      <c r="BI35" s="4">
        <v>97601.789429271477</v>
      </c>
      <c r="BJ35" s="4">
        <v>302038.31496633729</v>
      </c>
      <c r="BK35" s="4">
        <v>117293.58934859755</v>
      </c>
      <c r="BL35" s="4">
        <v>1523999.9999999995</v>
      </c>
      <c r="BM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" s="4">
        <v>294804.96027377353</v>
      </c>
      <c r="BO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" s="4">
        <f>(Base[[#This Row],['[SC']'[Mort_prématurée']Gains]]-Base[[#This Row],['[SC']'[Mort_prématurée']Coûts]])/Base[[#This Row],[Population_totale]]</f>
        <v>0</v>
      </c>
      <c r="BQ35" s="4">
        <f>IF(Base[[#This Row],[Pathologie]]&lt;&gt;"Mort prématurée",0,Base[[#This Row],[Risque]])</f>
        <v>0</v>
      </c>
      <c r="BR35" s="4">
        <v>2680</v>
      </c>
      <c r="BS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35" s="4">
        <f>Base[[#This Row],[Prévalence_prod]]*(1-Base[[#This Row],[Risque]])*Base[[#This Row],[Durée_arrêt]]*Base[[#This Row],[Population_emploi]]</f>
        <v>14534900.489575392</v>
      </c>
      <c r="BV35" s="4">
        <f>Base[[#This Row],['[Prod']'[Absentéisme']Total_jours_absence_avant]]-Base[[#This Row],['[Prod']'[Absentéisme']Total_jours_absence_après]]</f>
        <v>1434179.5543299224</v>
      </c>
      <c r="BW35" s="4">
        <f>IF(AND(Base[[#This Row],[Pathologie]]&lt;&gt;"Dépendance",Base[[#This Row],[Pathologie]]&lt;&gt;"Mort prématurée",Base[[#This Row],[Pathologie]]&lt;&gt;"Migraine"),0.0619,0)</f>
        <v>6.1899999999999997E-2</v>
      </c>
      <c r="BX35" s="4">
        <v>254</v>
      </c>
      <c r="BY35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35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35" s="4">
        <f>Base[[#This Row],[Prévalence_prod]]*Base[[#This Row],[Présentéisme]]*Base[[#This Row],['[Prod']Jours_ouvrés]]</f>
        <v>0.56134000000000006</v>
      </c>
      <c r="CB35" s="4">
        <f>Base[[#This Row],[Prévalence_prod]]*(1-Base[[#This Row],[Risque]])*Base[[#This Row],[Présentéisme]]*Base[[#This Row],['[Prod']Jours_ouvrés]]</f>
        <v>0.51092617848904731</v>
      </c>
      <c r="CC35" s="4">
        <f>Base[[#This Row],['[Prod']'[Présentéisme']Jours_avant]]-Base[[#This Row],['[Prod']'[Présentéisme']Jours_après]]</f>
        <v>5.041382151095275E-2</v>
      </c>
      <c r="CD35" s="4">
        <f>Base[[#This Row],['[Prod']'[Présentéisme']Jours_gagnés]]/Base[[#This Row],['[Prod']Jours_ouvrés]]</f>
        <v>1.9847961224784546E-4</v>
      </c>
      <c r="CE35">
        <v>5.8333039429220801E-2</v>
      </c>
      <c r="CF35">
        <v>1.4658164114728258E-2</v>
      </c>
      <c r="CG35" s="4">
        <v>11</v>
      </c>
      <c r="CH35" s="4">
        <v>1.3966184516047948</v>
      </c>
      <c r="CI35" s="4">
        <v>1.4392894727292521E-2</v>
      </c>
      <c r="CJ35" s="4">
        <f>IF(Base[[#This Row],[Secteur]]&lt;&gt;"Moyenne",Base[[#This Row],['[Prod']'[Turnover']DMC_initiale]]*(1+Base[[#This Row],['[Prod']'[Turnover']Ecart_accidents]]*Base[[#This Row],['[Prod']Impact_motifs_turnover]]),CJ18*CI18+CJ19*CI19+CJ20*CI20+CJ21*CI21+CJ22*CI22+CJ23*CI23+CJ24*CI24+CJ25*CI25+CJ26*CI26+CJ27*CI27+CJ28*CI28+CJ29*CI29+CJ30*CI30+CJ31*CI31+CJ32*CI32+CJ33*CI33+CJ34*CI34)</f>
        <v>11.225190487162088</v>
      </c>
      <c r="CK35" s="4">
        <f>1/Base[[#This Row],['[Prod']'[Turnover']DMC_initiale]]</f>
        <v>9.0909090909090912E-2</v>
      </c>
      <c r="CL35" s="4">
        <f>1/Base[[#This Row],['[Prod']'[Turnover']DMC_finale]]</f>
        <v>8.9085347918475846E-2</v>
      </c>
    </row>
    <row r="36" spans="2:90" x14ac:dyDescent="0.25">
      <c r="B36" s="4" t="s">
        <v>316</v>
      </c>
      <c r="C36">
        <v>7.5</v>
      </c>
      <c r="D36" t="s">
        <v>84</v>
      </c>
      <c r="E36" t="s">
        <v>3</v>
      </c>
      <c r="F36" s="3">
        <v>8.9809779297667564E-2</v>
      </c>
      <c r="G36" s="3">
        <v>2.5999999999999999E-2</v>
      </c>
      <c r="H36" s="3">
        <v>2.5999999999999999E-2</v>
      </c>
      <c r="I36" s="3">
        <v>8.5000000000000006E-2</v>
      </c>
      <c r="J36" s="3">
        <v>24.289173334126499</v>
      </c>
      <c r="K36" s="3">
        <v>7.0000000000000007E-2</v>
      </c>
      <c r="L36" s="2">
        <f>Base[[#This Row],[Coût]]*Base[[#This Row],[Part_ménages_dépenses_santé]]</f>
        <v>1.7002421333888551</v>
      </c>
      <c r="M36" s="2">
        <v>0.99784170771638514</v>
      </c>
      <c r="N36" s="6">
        <v>27700000</v>
      </c>
      <c r="O36" s="7">
        <f>Base[[#This Row],[Coût_salarié]]*10^9*Base[[#This Row],[Risque]]*Base[[#This Row],[Prévalence]]*Base[[#This Row],[Part_coûts_salarié]]/Base[[#This Row],[Population_emploi]]</f>
        <v>0.14301764905993752</v>
      </c>
      <c r="P36">
        <v>50</v>
      </c>
      <c r="Q36">
        <v>50</v>
      </c>
      <c r="R36" s="2">
        <v>9.9999999999999978E-2</v>
      </c>
      <c r="S36" s="2">
        <v>0.33340000000000003</v>
      </c>
      <c r="T36" s="4">
        <v>2.5999999999999999E-2</v>
      </c>
      <c r="U36" s="4">
        <f>IF(Bases_annexes!$F$5=0,16.6587111018772,0.77*Bases_annexes!$F$5/(IF(OR(ISBLANK('Données_d''entrée'!$E$44),'Données_d''entrée'!$E$44=0),35,'Données_d''entrée'!$E$44)*52))</f>
        <v>16.658711101877199</v>
      </c>
      <c r="V36" s="4">
        <v>22.173118639135399</v>
      </c>
      <c r="W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36" s="4">
        <v>234.5</v>
      </c>
      <c r="Y36" s="4">
        <f>(Base[[#This Row],['[Maladies']Coûts_évités_par_salarié]]+Base[[#This Row],['[Travail']Coûts_évités_par_salarié]])/Base[[#This Row],[Budget_santé_salarié]]</f>
        <v>6.3196889299024783E-3</v>
      </c>
      <c r="Z36" s="4">
        <v>0.8</v>
      </c>
      <c r="AA36" s="4">
        <f>Base[[#This Row],[Coût]]*Base[[#This Row],[Part_société_dépenses_santé]]</f>
        <v>19.431338667301201</v>
      </c>
      <c r="AB36" s="4">
        <v>67635124</v>
      </c>
      <c r="AC36" s="4">
        <v>82.297079063317852</v>
      </c>
      <c r="AD36" s="4">
        <v>2.5999999999999999E-2</v>
      </c>
      <c r="AE36" s="4">
        <f>Base[[#This Row],['[SC']Prévalence_travail]]*Base[[#This Row],[Population_emploi]]</f>
        <v>720200</v>
      </c>
      <c r="AF36" s="4">
        <f>Base[[#This Row],[Risque]]*Base[[#This Row],['[SC']Patients_en_emploi]]</f>
        <v>64681.003050180181</v>
      </c>
      <c r="AG36" s="4">
        <v>1257615774.8399999</v>
      </c>
      <c r="AH36" s="4">
        <f>IFERROR(Base[[#This Row],['[SC']Prestations]]/Base[[#This Row],['[SC']Patients_en_emploi]],0)</f>
        <v>1746.203519633435</v>
      </c>
      <c r="AI36" s="4">
        <v>51.7</v>
      </c>
      <c r="AJ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36" s="4">
        <f>Base[[#This Row],['[SC']'[Travail']Coûts_évités]]/Base[[#This Row],[Population_emploi]]</f>
        <v>4.0774799703843172</v>
      </c>
      <c r="AL36" s="4">
        <f>Base[[#This Row],[Coût_société]]*10^9*Base[[#This Row],[Risque]]*Base[[#This Row],[Prévalence]]*Base[[#This Row],[Part_coûts_salarié]]/Base[[#This Row],[Population_emploi]]</f>
        <v>1.6344874178278568</v>
      </c>
      <c r="AM36" s="4">
        <f>IF(Base[[#This Row],[Pathologie]]&lt;&gt;"Dépendance",0,14909.24243952)</f>
        <v>0</v>
      </c>
      <c r="AN36" s="4">
        <f>IF(Base[[#This Row],[Pathologie]]&lt;&gt;"Dépendance",0,1316000)</f>
        <v>0</v>
      </c>
      <c r="AO36" s="4">
        <f>IF(Base[[#This Row],[Pathologie]]&lt;&gt;"Dépendance",0,Base[[#This Row],['[SC']Coût_personne_dépendante]]*Base[[#This Row],['[SC']Nb_personnes_dépendantes]])</f>
        <v>0</v>
      </c>
      <c r="AP36" s="4">
        <f>IF(Base[[#This Row],[Pathologie]]&lt;&gt;"Dépendance",0,Base[[#This Row],['[SC']Coût_total_dépendance]]/Base[[#This Row],[Population_totale]])</f>
        <v>0</v>
      </c>
      <c r="AQ36" s="4">
        <f>IF(Base[[#This Row],[Pathologie]]&lt;&gt;"Dépendance",0,4.5)</f>
        <v>0</v>
      </c>
      <c r="AR36" s="4">
        <v>0.50393265050357905</v>
      </c>
      <c r="AS36" s="4">
        <f>Base[[#This Row],[Espérance_vie]]+Base[[#This Row],['[SC']Hausse_esp_de_vie]]-Base[[#This Row],['[SC']Durée_moyenne_dépendance_avt]]+Base[[#This Row],[Risque]]</f>
        <v>82.890821493119105</v>
      </c>
      <c r="AT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" s="4">
        <v>62.9</v>
      </c>
      <c r="AW36" s="4">
        <f t="shared" si="0"/>
        <v>336905600000</v>
      </c>
      <c r="AX36" s="4">
        <v>15049171</v>
      </c>
      <c r="AY36" s="4">
        <f>Base[[#This Row],['[SC']Budget_total_retraites]]/Base[[#This Row],['[SC']Nombre_de_retraités]]</f>
        <v>22386.987296509556</v>
      </c>
      <c r="AZ36" s="4">
        <f>Base[[#This Row],['[SC']Budget_par_retraité]]*Base[[#This Row],['[SC']Nb_personnes_dépendantes]]</f>
        <v>0</v>
      </c>
      <c r="BA36" s="4">
        <f>Base[[#This Row],['[SC']'[Dépendance']Coût_retraite_personnes_dépendantes]]/Base[[#This Row],[Population_totale]]</f>
        <v>0</v>
      </c>
      <c r="BB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" s="4">
        <f>Base[[#This Row],['[SC']'[Dépendance']Gains]]-Base[[#This Row],['[SC']'[Dépendance']Coûts]]</f>
        <v>0</v>
      </c>
      <c r="BD36" s="4">
        <f>IF(Base[[#This Row],[Pathologie]]&lt;&gt;"Mort prématurée",0,Base[[#This Row],[Risque]]*Base[[#This Row],[Prévalence]]*Base[[#This Row],[Population_totale]])</f>
        <v>0</v>
      </c>
      <c r="BE36" s="4">
        <v>52.74</v>
      </c>
      <c r="BF36" s="4">
        <f>Base[[#This Row],['[SC']Âge_moyen_retraite]]-Base[[#This Row],['[SC']'[Mort_prématurée']Âge_moyen_mort précoce]]</f>
        <v>10.159999999999997</v>
      </c>
      <c r="BG36" s="4">
        <f>Base[[#This Row],[Espérance_vie]]+Base[[#This Row],['[SC']Hausse_esp_de_vie]]-Base[[#This Row],['[SC']Âge_moyen_retraite]]</f>
        <v>19.90101171382144</v>
      </c>
      <c r="BH36" s="4">
        <v>106583.42676924677</v>
      </c>
      <c r="BI36" s="4">
        <v>97601.789429271477</v>
      </c>
      <c r="BJ36" s="4">
        <v>302038.31496633729</v>
      </c>
      <c r="BK36" s="4">
        <v>117293.58934859755</v>
      </c>
      <c r="BL36" s="4">
        <v>1523999.9999999995</v>
      </c>
      <c r="BM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" s="4">
        <v>294804.96027377353</v>
      </c>
      <c r="BO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" s="4">
        <f>(Base[[#This Row],['[SC']'[Mort_prématurée']Gains]]-Base[[#This Row],['[SC']'[Mort_prématurée']Coûts]])/Base[[#This Row],[Population_totale]]</f>
        <v>0</v>
      </c>
      <c r="BQ36" s="4">
        <f>IF(Base[[#This Row],[Pathologie]]&lt;&gt;"Mort prématurée",0,Base[[#This Row],[Risque]])</f>
        <v>0</v>
      </c>
      <c r="BR36" s="4">
        <v>2680</v>
      </c>
      <c r="BS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36" s="4">
        <f>Base[[#This Row],[Prévalence_prod]]*(1-Base[[#This Row],[Risque]])*Base[[#This Row],[Durée_arrêt]]*Base[[#This Row],[Population_emploi]]</f>
        <v>14534900.489575392</v>
      </c>
      <c r="BV36" s="4">
        <f>Base[[#This Row],['[Prod']'[Absentéisme']Total_jours_absence_avant]]-Base[[#This Row],['[Prod']'[Absentéisme']Total_jours_absence_après]]</f>
        <v>1434179.5543299224</v>
      </c>
      <c r="BW36" s="4">
        <f>IF(AND(Base[[#This Row],[Pathologie]]&lt;&gt;"Dépendance",Base[[#This Row],[Pathologie]]&lt;&gt;"Mort prématurée",Base[[#This Row],[Pathologie]]&lt;&gt;"Migraine"),0.0619,0)</f>
        <v>6.1899999999999997E-2</v>
      </c>
      <c r="BX36" s="4">
        <v>254</v>
      </c>
      <c r="BY36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36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36" s="4">
        <f>Base[[#This Row],[Prévalence_prod]]*Base[[#This Row],[Présentéisme]]*Base[[#This Row],['[Prod']Jours_ouvrés]]</f>
        <v>0.56134000000000006</v>
      </c>
      <c r="CB36" s="4">
        <f>Base[[#This Row],[Prévalence_prod]]*(1-Base[[#This Row],[Risque]])*Base[[#This Row],[Présentéisme]]*Base[[#This Row],['[Prod']Jours_ouvrés]]</f>
        <v>0.51092617848904731</v>
      </c>
      <c r="CC36" s="4">
        <f>Base[[#This Row],['[Prod']'[Présentéisme']Jours_avant]]-Base[[#This Row],['[Prod']'[Présentéisme']Jours_après]]</f>
        <v>5.041382151095275E-2</v>
      </c>
      <c r="CD36" s="4">
        <f>Base[[#This Row],['[Prod']'[Présentéisme']Jours_gagnés]]/Base[[#This Row],['[Prod']Jours_ouvrés]]</f>
        <v>1.9847961224784546E-4</v>
      </c>
      <c r="CE36">
        <v>5.8333039429220801E-2</v>
      </c>
      <c r="CF36">
        <v>1.4658164114728258E-2</v>
      </c>
      <c r="CG36" s="4">
        <v>11</v>
      </c>
      <c r="CH36" s="4">
        <v>0.68054183762612652</v>
      </c>
      <c r="CI36" s="4">
        <v>1.2135452577082654E-2</v>
      </c>
      <c r="CJ36" s="4">
        <f>IF(Base[[#This Row],[Secteur]]&lt;&gt;"Moyenne",Base[[#This Row],['[Prod']'[Turnover']DMC_initiale]]*(1+Base[[#This Row],['[Prod']'[Turnover']Ecart_accidents]]*Base[[#This Row],['[Prod']Impact_motifs_turnover]]),CJ19*CI19+CJ20*CI20+CJ21*CI21+CJ22*CI22+CJ23*CI23+CJ24*CI24+CJ25*CI25+CJ26*CI26+CJ27*CI27+CJ28*CI28+CJ29*CI29+CJ30*CI30+CJ31*CI31+CJ32*CI32+CJ33*CI33+CJ34*CI34+CJ35*CI35)</f>
        <v>11.109730433371487</v>
      </c>
      <c r="CK36" s="4">
        <f>1/Base[[#This Row],['[Prod']'[Turnover']DMC_initiale]]</f>
        <v>9.0909090909090912E-2</v>
      </c>
      <c r="CL36" s="4">
        <f>1/Base[[#This Row],['[Prod']'[Turnover']DMC_finale]]</f>
        <v>9.001118487953523E-2</v>
      </c>
    </row>
    <row r="37" spans="2:90" x14ac:dyDescent="0.25">
      <c r="B37" s="4" t="s">
        <v>317</v>
      </c>
      <c r="C37">
        <v>7.5</v>
      </c>
      <c r="D37" t="s">
        <v>84</v>
      </c>
      <c r="E37" t="s">
        <v>3</v>
      </c>
      <c r="F37" s="3">
        <v>8.9809779297667564E-2</v>
      </c>
      <c r="G37" s="3">
        <v>2.5999999999999999E-2</v>
      </c>
      <c r="H37" s="3">
        <v>2.5999999999999999E-2</v>
      </c>
      <c r="I37" s="3">
        <v>8.5000000000000006E-2</v>
      </c>
      <c r="J37" s="3">
        <v>24.289173334126499</v>
      </c>
      <c r="K37" s="3">
        <v>7.0000000000000007E-2</v>
      </c>
      <c r="L37" s="2">
        <f>Base[[#This Row],[Coût]]*Base[[#This Row],[Part_ménages_dépenses_santé]]</f>
        <v>1.7002421333888551</v>
      </c>
      <c r="M37" s="2">
        <v>0.99784170771638514</v>
      </c>
      <c r="N37" s="6">
        <v>27700000</v>
      </c>
      <c r="O37" s="7">
        <f>Base[[#This Row],[Coût_salarié]]*10^9*Base[[#This Row],[Risque]]*Base[[#This Row],[Prévalence]]*Base[[#This Row],[Part_coûts_salarié]]/Base[[#This Row],[Population_emploi]]</f>
        <v>0.14301764905993752</v>
      </c>
      <c r="P37">
        <v>50</v>
      </c>
      <c r="Q37">
        <v>50</v>
      </c>
      <c r="R37" s="2">
        <v>9.9999999999999978E-2</v>
      </c>
      <c r="S37" s="2">
        <v>0.33340000000000003</v>
      </c>
      <c r="T37" s="4">
        <v>2.5999999999999999E-2</v>
      </c>
      <c r="U37" s="4">
        <f>IF(Bases_annexes!$F$5=0,16.6587111018772,0.77*Bases_annexes!$F$5/(IF(OR(ISBLANK('Données_d''entrée'!$E$44),'Données_d''entrée'!$E$44=0),35,'Données_d''entrée'!$E$44)*52))</f>
        <v>16.658711101877199</v>
      </c>
      <c r="V37" s="4">
        <v>22.173118639135399</v>
      </c>
      <c r="W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37" s="4">
        <v>234.5</v>
      </c>
      <c r="Y37" s="4">
        <f>(Base[[#This Row],['[Maladies']Coûts_évités_par_salarié]]+Base[[#This Row],['[Travail']Coûts_évités_par_salarié]])/Base[[#This Row],[Budget_santé_salarié]]</f>
        <v>6.3196889299024783E-3</v>
      </c>
      <c r="Z37" s="4">
        <v>0.8</v>
      </c>
      <c r="AA37" s="4">
        <f>Base[[#This Row],[Coût]]*Base[[#This Row],[Part_société_dépenses_santé]]</f>
        <v>19.431338667301201</v>
      </c>
      <c r="AB37" s="4">
        <v>67635124</v>
      </c>
      <c r="AC37" s="4">
        <v>82.297079063317852</v>
      </c>
      <c r="AD37" s="4">
        <v>2.5999999999999999E-2</v>
      </c>
      <c r="AE37" s="4">
        <f>Base[[#This Row],['[SC']Prévalence_travail]]*Base[[#This Row],[Population_emploi]]</f>
        <v>720200</v>
      </c>
      <c r="AF37" s="4">
        <f>Base[[#This Row],[Risque]]*Base[[#This Row],['[SC']Patients_en_emploi]]</f>
        <v>64681.003050180181</v>
      </c>
      <c r="AG37" s="4">
        <v>1257615774.8399999</v>
      </c>
      <c r="AH37" s="4">
        <f>IFERROR(Base[[#This Row],['[SC']Prestations]]/Base[[#This Row],['[SC']Patients_en_emploi]],0)</f>
        <v>1746.203519633435</v>
      </c>
      <c r="AI37" s="4">
        <v>51.7</v>
      </c>
      <c r="AJ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37" s="4">
        <f>Base[[#This Row],['[SC']'[Travail']Coûts_évités]]/Base[[#This Row],[Population_emploi]]</f>
        <v>4.0774799703843172</v>
      </c>
      <c r="AL37" s="4">
        <f>Base[[#This Row],[Coût_société]]*10^9*Base[[#This Row],[Risque]]*Base[[#This Row],[Prévalence]]*Base[[#This Row],[Part_coûts_salarié]]/Base[[#This Row],[Population_emploi]]</f>
        <v>1.6344874178278568</v>
      </c>
      <c r="AM37" s="4">
        <f>IF(Base[[#This Row],[Pathologie]]&lt;&gt;"Dépendance",0,14909.24243952)</f>
        <v>0</v>
      </c>
      <c r="AN37" s="4">
        <f>IF(Base[[#This Row],[Pathologie]]&lt;&gt;"Dépendance",0,1316000)</f>
        <v>0</v>
      </c>
      <c r="AO37" s="4">
        <f>IF(Base[[#This Row],[Pathologie]]&lt;&gt;"Dépendance",0,Base[[#This Row],['[SC']Coût_personne_dépendante]]*Base[[#This Row],['[SC']Nb_personnes_dépendantes]])</f>
        <v>0</v>
      </c>
      <c r="AP37" s="4">
        <f>IF(Base[[#This Row],[Pathologie]]&lt;&gt;"Dépendance",0,Base[[#This Row],['[SC']Coût_total_dépendance]]/Base[[#This Row],[Population_totale]])</f>
        <v>0</v>
      </c>
      <c r="AQ37" s="4">
        <f>IF(Base[[#This Row],[Pathologie]]&lt;&gt;"Dépendance",0,4.5)</f>
        <v>0</v>
      </c>
      <c r="AR37" s="4">
        <v>0.50393265050357905</v>
      </c>
      <c r="AS37" s="4">
        <f>Base[[#This Row],[Espérance_vie]]+Base[[#This Row],['[SC']Hausse_esp_de_vie]]-Base[[#This Row],['[SC']Durée_moyenne_dépendance_avt]]+Base[[#This Row],[Risque]]</f>
        <v>82.890821493119105</v>
      </c>
      <c r="AT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" s="4">
        <v>62.9</v>
      </c>
      <c r="AW37" s="4">
        <f t="shared" si="0"/>
        <v>336905600000</v>
      </c>
      <c r="AX37" s="4">
        <v>15049171</v>
      </c>
      <c r="AY37" s="4">
        <f>Base[[#This Row],['[SC']Budget_total_retraites]]/Base[[#This Row],['[SC']Nombre_de_retraités]]</f>
        <v>22386.987296509556</v>
      </c>
      <c r="AZ37" s="4">
        <f>Base[[#This Row],['[SC']Budget_par_retraité]]*Base[[#This Row],['[SC']Nb_personnes_dépendantes]]</f>
        <v>0</v>
      </c>
      <c r="BA37" s="4">
        <f>Base[[#This Row],['[SC']'[Dépendance']Coût_retraite_personnes_dépendantes]]/Base[[#This Row],[Population_totale]]</f>
        <v>0</v>
      </c>
      <c r="BB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" s="4">
        <f>Base[[#This Row],['[SC']'[Dépendance']Gains]]-Base[[#This Row],['[SC']'[Dépendance']Coûts]]</f>
        <v>0</v>
      </c>
      <c r="BD37" s="4">
        <f>IF(Base[[#This Row],[Pathologie]]&lt;&gt;"Mort prématurée",0,Base[[#This Row],[Risque]]*Base[[#This Row],[Prévalence]]*Base[[#This Row],[Population_totale]])</f>
        <v>0</v>
      </c>
      <c r="BE37" s="4">
        <v>52.74</v>
      </c>
      <c r="BF37" s="4">
        <f>Base[[#This Row],['[SC']Âge_moyen_retraite]]-Base[[#This Row],['[SC']'[Mort_prématurée']Âge_moyen_mort précoce]]</f>
        <v>10.159999999999997</v>
      </c>
      <c r="BG37" s="4">
        <f>Base[[#This Row],[Espérance_vie]]+Base[[#This Row],['[SC']Hausse_esp_de_vie]]-Base[[#This Row],['[SC']Âge_moyen_retraite]]</f>
        <v>19.90101171382144</v>
      </c>
      <c r="BH37" s="4">
        <v>106583.42676924677</v>
      </c>
      <c r="BI37" s="4">
        <v>97601.789429271477</v>
      </c>
      <c r="BJ37" s="4">
        <v>302038.31496633729</v>
      </c>
      <c r="BK37" s="4">
        <v>117293.58934859755</v>
      </c>
      <c r="BL37" s="4">
        <v>1523999.9999999995</v>
      </c>
      <c r="BM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" s="4">
        <v>294804.96027377353</v>
      </c>
      <c r="BO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" s="4">
        <f>(Base[[#This Row],['[SC']'[Mort_prématurée']Gains]]-Base[[#This Row],['[SC']'[Mort_prématurée']Coûts]])/Base[[#This Row],[Population_totale]]</f>
        <v>0</v>
      </c>
      <c r="BQ37" s="4">
        <f>IF(Base[[#This Row],[Pathologie]]&lt;&gt;"Mort prématurée",0,Base[[#This Row],[Risque]])</f>
        <v>0</v>
      </c>
      <c r="BR37" s="4">
        <v>2680</v>
      </c>
      <c r="BS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37" s="4">
        <f>Base[[#This Row],[Prévalence_prod]]*(1-Base[[#This Row],[Risque]])*Base[[#This Row],[Durée_arrêt]]*Base[[#This Row],[Population_emploi]]</f>
        <v>14534900.489575392</v>
      </c>
      <c r="BV37" s="4">
        <f>Base[[#This Row],['[Prod']'[Absentéisme']Total_jours_absence_avant]]-Base[[#This Row],['[Prod']'[Absentéisme']Total_jours_absence_après]]</f>
        <v>1434179.5543299224</v>
      </c>
      <c r="BW37" s="4">
        <f>IF(AND(Base[[#This Row],[Pathologie]]&lt;&gt;"Dépendance",Base[[#This Row],[Pathologie]]&lt;&gt;"Mort prématurée",Base[[#This Row],[Pathologie]]&lt;&gt;"Migraine"),0.0619,0)</f>
        <v>6.1899999999999997E-2</v>
      </c>
      <c r="BX37" s="4">
        <v>254</v>
      </c>
      <c r="BY3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37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37" s="4">
        <f>Base[[#This Row],[Prévalence_prod]]*Base[[#This Row],[Présentéisme]]*Base[[#This Row],['[Prod']Jours_ouvrés]]</f>
        <v>0.56134000000000006</v>
      </c>
      <c r="CB37" s="4">
        <f>Base[[#This Row],[Prévalence_prod]]*(1-Base[[#This Row],[Risque]])*Base[[#This Row],[Présentéisme]]*Base[[#This Row],['[Prod']Jours_ouvrés]]</f>
        <v>0.51092617848904731</v>
      </c>
      <c r="CC37" s="4">
        <f>Base[[#This Row],['[Prod']'[Présentéisme']Jours_avant]]-Base[[#This Row],['[Prod']'[Présentéisme']Jours_après]]</f>
        <v>5.041382151095275E-2</v>
      </c>
      <c r="CD37" s="4">
        <f>Base[[#This Row],['[Prod']'[Présentéisme']Jours_gagnés]]/Base[[#This Row],['[Prod']Jours_ouvrés]]</f>
        <v>1.9847961224784546E-4</v>
      </c>
      <c r="CE37">
        <v>5.8333039429220801E-2</v>
      </c>
      <c r="CF37">
        <v>1.4658164114728258E-2</v>
      </c>
      <c r="CG37" s="4">
        <v>11</v>
      </c>
      <c r="CH37" s="4">
        <v>0.31563677172153043</v>
      </c>
      <c r="CI37" s="4">
        <v>1.3003350630813707E-4</v>
      </c>
      <c r="CJ37" s="4">
        <f>IF(Base[[#This Row],[Secteur]]&lt;&gt;"Moyenne",Base[[#This Row],['[Prod']'[Turnover']DMC_initiale]]*(1+Base[[#This Row],['[Prod']'[Turnover']Ecart_accidents]]*Base[[#This Row],['[Prod']Impact_motifs_turnover]]),CJ20*CI20+CJ21*CI21+CJ22*CI22+CJ23*CI23+CJ24*CI24+CJ25*CI25+CJ26*CI26+CJ27*CI27+CJ28*CI28+CJ29*CI29+CJ30*CI30+CJ31*CI31+CJ32*CI32+CJ33*CI33+CJ34*CI34+CJ35*CI35+CJ36*CI36)</f>
        <v>11.05089321160591</v>
      </c>
      <c r="CK37" s="4">
        <f>1/Base[[#This Row],['[Prod']'[Turnover']DMC_initiale]]</f>
        <v>9.0909090909090912E-2</v>
      </c>
      <c r="CL37" s="4">
        <f>1/Base[[#This Row],['[Prod']'[Turnover']DMC_finale]]</f>
        <v>9.0490422887244654E-2</v>
      </c>
    </row>
    <row r="38" spans="2:90" x14ac:dyDescent="0.25">
      <c r="B38" s="4" t="s">
        <v>318</v>
      </c>
      <c r="C38">
        <v>7.5</v>
      </c>
      <c r="D38" t="s">
        <v>84</v>
      </c>
      <c r="E38" t="s">
        <v>3</v>
      </c>
      <c r="F38" s="3">
        <v>8.9809779297667564E-2</v>
      </c>
      <c r="G38" s="3">
        <v>2.5999999999999999E-2</v>
      </c>
      <c r="H38" s="3">
        <v>2.5999999999999999E-2</v>
      </c>
      <c r="I38" s="3">
        <v>8.5000000000000006E-2</v>
      </c>
      <c r="J38" s="3">
        <v>24.289173334126499</v>
      </c>
      <c r="K38" s="3">
        <v>7.0000000000000007E-2</v>
      </c>
      <c r="L38" s="2">
        <f>Base[[#This Row],[Coût]]*Base[[#This Row],[Part_ménages_dépenses_santé]]</f>
        <v>1.7002421333888551</v>
      </c>
      <c r="M38" s="2">
        <v>0.99784170771638514</v>
      </c>
      <c r="N38" s="6">
        <v>27700000</v>
      </c>
      <c r="O38" s="7">
        <f>Base[[#This Row],[Coût_salarié]]*10^9*Base[[#This Row],[Risque]]*Base[[#This Row],[Prévalence]]*Base[[#This Row],[Part_coûts_salarié]]/Base[[#This Row],[Population_emploi]]</f>
        <v>0.14301764905993752</v>
      </c>
      <c r="P38">
        <v>50</v>
      </c>
      <c r="Q38">
        <v>50</v>
      </c>
      <c r="R38" s="2">
        <v>9.9999999999999978E-2</v>
      </c>
      <c r="S38" s="2">
        <v>0.33340000000000003</v>
      </c>
      <c r="T38" s="4">
        <v>2.5999999999999999E-2</v>
      </c>
      <c r="U38" s="4">
        <f>IF(Bases_annexes!$F$5=0,16.6587111018772,0.77*Bases_annexes!$F$5/(IF(OR(ISBLANK('Données_d''entrée'!$E$44),'Données_d''entrée'!$E$44=0),35,'Données_d''entrée'!$E$44)*52))</f>
        <v>16.658711101877199</v>
      </c>
      <c r="V38" s="4">
        <v>22.173118639135399</v>
      </c>
      <c r="W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38" s="4">
        <v>234.5</v>
      </c>
      <c r="Y38" s="4">
        <f>(Base[[#This Row],['[Maladies']Coûts_évités_par_salarié]]+Base[[#This Row],['[Travail']Coûts_évités_par_salarié]])/Base[[#This Row],[Budget_santé_salarié]]</f>
        <v>6.3196889299024783E-3</v>
      </c>
      <c r="Z38" s="4">
        <v>0.8</v>
      </c>
      <c r="AA38" s="4">
        <f>Base[[#This Row],[Coût]]*Base[[#This Row],[Part_société_dépenses_santé]]</f>
        <v>19.431338667301201</v>
      </c>
      <c r="AB38" s="4">
        <v>67635124</v>
      </c>
      <c r="AC38" s="4">
        <v>82.297079063317852</v>
      </c>
      <c r="AD38" s="4">
        <v>2.5999999999999999E-2</v>
      </c>
      <c r="AE38" s="4">
        <f>Base[[#This Row],['[SC']Prévalence_travail]]*Base[[#This Row],[Population_emploi]]</f>
        <v>720200</v>
      </c>
      <c r="AF38" s="4">
        <f>Base[[#This Row],[Risque]]*Base[[#This Row],['[SC']Patients_en_emploi]]</f>
        <v>64681.003050180181</v>
      </c>
      <c r="AG38" s="4">
        <v>1257615774.8399999</v>
      </c>
      <c r="AH38" s="4">
        <f>IFERROR(Base[[#This Row],['[SC']Prestations]]/Base[[#This Row],['[SC']Patients_en_emploi]],0)</f>
        <v>1746.203519633435</v>
      </c>
      <c r="AI38" s="4">
        <v>51.7</v>
      </c>
      <c r="AJ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38" s="4">
        <f>Base[[#This Row],['[SC']'[Travail']Coûts_évités]]/Base[[#This Row],[Population_emploi]]</f>
        <v>4.0774799703843172</v>
      </c>
      <c r="AL38" s="4">
        <f>Base[[#This Row],[Coût_société]]*10^9*Base[[#This Row],[Risque]]*Base[[#This Row],[Prévalence]]*Base[[#This Row],[Part_coûts_salarié]]/Base[[#This Row],[Population_emploi]]</f>
        <v>1.6344874178278568</v>
      </c>
      <c r="AM38" s="4">
        <f>IF(Base[[#This Row],[Pathologie]]&lt;&gt;"Dépendance",0,14909.24243952)</f>
        <v>0</v>
      </c>
      <c r="AN38" s="4">
        <f>IF(Base[[#This Row],[Pathologie]]&lt;&gt;"Dépendance",0,1316000)</f>
        <v>0</v>
      </c>
      <c r="AO38" s="4">
        <f>IF(Base[[#This Row],[Pathologie]]&lt;&gt;"Dépendance",0,Base[[#This Row],['[SC']Coût_personne_dépendante]]*Base[[#This Row],['[SC']Nb_personnes_dépendantes]])</f>
        <v>0</v>
      </c>
      <c r="AP38" s="4">
        <f>IF(Base[[#This Row],[Pathologie]]&lt;&gt;"Dépendance",0,Base[[#This Row],['[SC']Coût_total_dépendance]]/Base[[#This Row],[Population_totale]])</f>
        <v>0</v>
      </c>
      <c r="AQ38" s="4">
        <f>IF(Base[[#This Row],[Pathologie]]&lt;&gt;"Dépendance",0,4.5)</f>
        <v>0</v>
      </c>
      <c r="AR38" s="4">
        <v>0.50393265050357905</v>
      </c>
      <c r="AS38" s="4">
        <f>Base[[#This Row],[Espérance_vie]]+Base[[#This Row],['[SC']Hausse_esp_de_vie]]-Base[[#This Row],['[SC']Durée_moyenne_dépendance_avt]]+Base[[#This Row],[Risque]]</f>
        <v>82.890821493119105</v>
      </c>
      <c r="AT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" s="4">
        <v>62.9</v>
      </c>
      <c r="AW38" s="4">
        <f t="shared" si="0"/>
        <v>336905600000</v>
      </c>
      <c r="AX38" s="4">
        <v>15049171</v>
      </c>
      <c r="AY38" s="4">
        <f>Base[[#This Row],['[SC']Budget_total_retraites]]/Base[[#This Row],['[SC']Nombre_de_retraités]]</f>
        <v>22386.987296509556</v>
      </c>
      <c r="AZ38" s="4">
        <f>Base[[#This Row],['[SC']Budget_par_retraité]]*Base[[#This Row],['[SC']Nb_personnes_dépendantes]]</f>
        <v>0</v>
      </c>
      <c r="BA38" s="4">
        <f>Base[[#This Row],['[SC']'[Dépendance']Coût_retraite_personnes_dépendantes]]/Base[[#This Row],[Population_totale]]</f>
        <v>0</v>
      </c>
      <c r="BB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" s="4">
        <f>Base[[#This Row],['[SC']'[Dépendance']Gains]]-Base[[#This Row],['[SC']'[Dépendance']Coûts]]</f>
        <v>0</v>
      </c>
      <c r="BD38" s="4">
        <f>IF(Base[[#This Row],[Pathologie]]&lt;&gt;"Mort prématurée",0,Base[[#This Row],[Risque]]*Base[[#This Row],[Prévalence]]*Base[[#This Row],[Population_totale]])</f>
        <v>0</v>
      </c>
      <c r="BE38" s="4">
        <v>52.74</v>
      </c>
      <c r="BF38" s="4">
        <f>Base[[#This Row],['[SC']Âge_moyen_retraite]]-Base[[#This Row],['[SC']'[Mort_prématurée']Âge_moyen_mort précoce]]</f>
        <v>10.159999999999997</v>
      </c>
      <c r="BG38" s="4">
        <f>Base[[#This Row],[Espérance_vie]]+Base[[#This Row],['[SC']Hausse_esp_de_vie]]-Base[[#This Row],['[SC']Âge_moyen_retraite]]</f>
        <v>19.90101171382144</v>
      </c>
      <c r="BH38" s="4">
        <v>106583.42676924677</v>
      </c>
      <c r="BI38" s="4">
        <v>97601.789429271477</v>
      </c>
      <c r="BJ38" s="4">
        <v>302038.31496633729</v>
      </c>
      <c r="BK38" s="4">
        <v>117293.58934859755</v>
      </c>
      <c r="BL38" s="4">
        <v>1523999.9999999995</v>
      </c>
      <c r="BM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" s="4">
        <v>294804.96027377353</v>
      </c>
      <c r="BO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" s="4">
        <f>(Base[[#This Row],['[SC']'[Mort_prématurée']Gains]]-Base[[#This Row],['[SC']'[Mort_prématurée']Coûts]])/Base[[#This Row],[Population_totale]]</f>
        <v>0</v>
      </c>
      <c r="BQ38" s="4">
        <f>IF(Base[[#This Row],[Pathologie]]&lt;&gt;"Mort prématurée",0,Base[[#This Row],[Risque]])</f>
        <v>0</v>
      </c>
      <c r="BR38" s="4">
        <v>2680</v>
      </c>
      <c r="BS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38" s="4">
        <f>Base[[#This Row],[Prévalence_prod]]*(1-Base[[#This Row],[Risque]])*Base[[#This Row],[Durée_arrêt]]*Base[[#This Row],[Population_emploi]]</f>
        <v>14534900.489575392</v>
      </c>
      <c r="BV38" s="4">
        <f>Base[[#This Row],['[Prod']'[Absentéisme']Total_jours_absence_avant]]-Base[[#This Row],['[Prod']'[Absentéisme']Total_jours_absence_après]]</f>
        <v>1434179.5543299224</v>
      </c>
      <c r="BW38" s="4">
        <f>IF(AND(Base[[#This Row],[Pathologie]]&lt;&gt;"Dépendance",Base[[#This Row],[Pathologie]]&lt;&gt;"Mort prématurée",Base[[#This Row],[Pathologie]]&lt;&gt;"Migraine"),0.0619,0)</f>
        <v>6.1899999999999997E-2</v>
      </c>
      <c r="BX38" s="4">
        <v>254</v>
      </c>
      <c r="BY3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38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38" s="4">
        <f>Base[[#This Row],[Prévalence_prod]]*Base[[#This Row],[Présentéisme]]*Base[[#This Row],['[Prod']Jours_ouvrés]]</f>
        <v>0.56134000000000006</v>
      </c>
      <c r="CB38" s="4">
        <f>Base[[#This Row],[Prévalence_prod]]*(1-Base[[#This Row],[Risque]])*Base[[#This Row],[Présentéisme]]*Base[[#This Row],['[Prod']Jours_ouvrés]]</f>
        <v>0.51092617848904731</v>
      </c>
      <c r="CC38" s="4">
        <f>Base[[#This Row],['[Prod']'[Présentéisme']Jours_avant]]-Base[[#This Row],['[Prod']'[Présentéisme']Jours_après]]</f>
        <v>5.041382151095275E-2</v>
      </c>
      <c r="CD38" s="4">
        <f>Base[[#This Row],['[Prod']'[Présentéisme']Jours_gagnés]]/Base[[#This Row],['[Prod']Jours_ouvrés]]</f>
        <v>1.9847961224784546E-4</v>
      </c>
      <c r="CE38">
        <v>5.8333039429220801E-2</v>
      </c>
      <c r="CF38">
        <v>1.4658164114728258E-2</v>
      </c>
      <c r="CG38" s="4">
        <v>11</v>
      </c>
      <c r="CH38" s="4">
        <v>1.1688035738877327</v>
      </c>
      <c r="CI38" s="4">
        <v>9.6557438521367826E-3</v>
      </c>
      <c r="CJ38" s="4">
        <f>IF(Base[[#This Row],[Secteur]]&lt;&gt;"Moyenne",Base[[#This Row],['[Prod']'[Turnover']DMC_initiale]]*(1+Base[[#This Row],['[Prod']'[Turnover']Ecart_accidents]]*Base[[#This Row],['[Prod']Impact_motifs_turnover]]),CJ21*CI21+CJ22*CI22+CJ23*CI23+CJ24*CI24+CJ25*CI25+CJ26*CI26+CJ27*CI27+CJ28*CI28+CJ29*CI29+CJ30*CI30+CJ31*CI31+CJ32*CI32+CJ33*CI33+CJ34*CI34+CJ35*CI35+CJ36*CI36+CJ37*CI37)</f>
        <v>11.188457660643202</v>
      </c>
      <c r="CK38" s="4">
        <f>1/Base[[#This Row],['[Prod']'[Turnover']DMC_initiale]]</f>
        <v>9.0909090909090912E-2</v>
      </c>
      <c r="CL38" s="4">
        <f>1/Base[[#This Row],['[Prod']'[Turnover']DMC_finale]]</f>
        <v>8.9377824033568531E-2</v>
      </c>
    </row>
    <row r="39" spans="2:90" x14ac:dyDescent="0.25">
      <c r="B39" s="4" t="s">
        <v>319</v>
      </c>
      <c r="C39">
        <v>7.5</v>
      </c>
      <c r="D39" t="s">
        <v>84</v>
      </c>
      <c r="E39" t="s">
        <v>3</v>
      </c>
      <c r="F39" s="3">
        <v>8.9809779297667564E-2</v>
      </c>
      <c r="G39" s="3">
        <v>2.5999999999999999E-2</v>
      </c>
      <c r="H39" s="3">
        <v>2.5999999999999999E-2</v>
      </c>
      <c r="I39" s="3">
        <v>8.5000000000000006E-2</v>
      </c>
      <c r="J39" s="3">
        <v>24.289173334126499</v>
      </c>
      <c r="K39" s="3">
        <v>7.0000000000000007E-2</v>
      </c>
      <c r="L39" s="2">
        <f>Base[[#This Row],[Coût]]*Base[[#This Row],[Part_ménages_dépenses_santé]]</f>
        <v>1.7002421333888551</v>
      </c>
      <c r="M39" s="2">
        <v>0.99784170771638514</v>
      </c>
      <c r="N39" s="6">
        <v>27700000</v>
      </c>
      <c r="O39" s="7">
        <f>Base[[#This Row],[Coût_salarié]]*10^9*Base[[#This Row],[Risque]]*Base[[#This Row],[Prévalence]]*Base[[#This Row],[Part_coûts_salarié]]/Base[[#This Row],[Population_emploi]]</f>
        <v>0.14301764905993752</v>
      </c>
      <c r="P39">
        <v>50</v>
      </c>
      <c r="Q39">
        <v>50</v>
      </c>
      <c r="R39" s="2">
        <v>9.9999999999999978E-2</v>
      </c>
      <c r="S39" s="2">
        <v>0.33340000000000003</v>
      </c>
      <c r="T39" s="4">
        <v>2.5999999999999999E-2</v>
      </c>
      <c r="U39" s="4">
        <f>IF(Bases_annexes!$F$5=0,16.6587111018772,0.77*Bases_annexes!$F$5/(IF(OR(ISBLANK('Données_d''entrée'!$E$44),'Données_d''entrée'!$E$44=0),35,'Données_d''entrée'!$E$44)*52))</f>
        <v>16.658711101877199</v>
      </c>
      <c r="V39" s="4">
        <v>22.173118639135399</v>
      </c>
      <c r="W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39" s="4">
        <v>234.5</v>
      </c>
      <c r="Y39" s="4">
        <f>(Base[[#This Row],['[Maladies']Coûts_évités_par_salarié]]+Base[[#This Row],['[Travail']Coûts_évités_par_salarié]])/Base[[#This Row],[Budget_santé_salarié]]</f>
        <v>6.3196889299024783E-3</v>
      </c>
      <c r="Z39" s="4">
        <v>0.8</v>
      </c>
      <c r="AA39" s="4">
        <f>Base[[#This Row],[Coût]]*Base[[#This Row],[Part_société_dépenses_santé]]</f>
        <v>19.431338667301201</v>
      </c>
      <c r="AB39" s="4">
        <v>67635124</v>
      </c>
      <c r="AC39" s="4">
        <v>82.297079063317852</v>
      </c>
      <c r="AD39" s="4">
        <v>2.5999999999999999E-2</v>
      </c>
      <c r="AE39" s="4">
        <f>Base[[#This Row],['[SC']Prévalence_travail]]*Base[[#This Row],[Population_emploi]]</f>
        <v>720200</v>
      </c>
      <c r="AF39" s="4">
        <f>Base[[#This Row],[Risque]]*Base[[#This Row],['[SC']Patients_en_emploi]]</f>
        <v>64681.003050180181</v>
      </c>
      <c r="AG39" s="4">
        <v>1257615774.8399999</v>
      </c>
      <c r="AH39" s="4">
        <f>IFERROR(Base[[#This Row],['[SC']Prestations]]/Base[[#This Row],['[SC']Patients_en_emploi]],0)</f>
        <v>1746.203519633435</v>
      </c>
      <c r="AI39" s="4">
        <v>51.7</v>
      </c>
      <c r="AJ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39" s="4">
        <f>Base[[#This Row],['[SC']'[Travail']Coûts_évités]]/Base[[#This Row],[Population_emploi]]</f>
        <v>4.0774799703843172</v>
      </c>
      <c r="AL39" s="4">
        <f>Base[[#This Row],[Coût_société]]*10^9*Base[[#This Row],[Risque]]*Base[[#This Row],[Prévalence]]*Base[[#This Row],[Part_coûts_salarié]]/Base[[#This Row],[Population_emploi]]</f>
        <v>1.6344874178278568</v>
      </c>
      <c r="AM39" s="4">
        <f>IF(Base[[#This Row],[Pathologie]]&lt;&gt;"Dépendance",0,14909.24243952)</f>
        <v>0</v>
      </c>
      <c r="AN39" s="4">
        <f>IF(Base[[#This Row],[Pathologie]]&lt;&gt;"Dépendance",0,1316000)</f>
        <v>0</v>
      </c>
      <c r="AO39" s="4">
        <f>IF(Base[[#This Row],[Pathologie]]&lt;&gt;"Dépendance",0,Base[[#This Row],['[SC']Coût_personne_dépendante]]*Base[[#This Row],['[SC']Nb_personnes_dépendantes]])</f>
        <v>0</v>
      </c>
      <c r="AP39" s="4">
        <f>IF(Base[[#This Row],[Pathologie]]&lt;&gt;"Dépendance",0,Base[[#This Row],['[SC']Coût_total_dépendance]]/Base[[#This Row],[Population_totale]])</f>
        <v>0</v>
      </c>
      <c r="AQ39" s="4">
        <f>IF(Base[[#This Row],[Pathologie]]&lt;&gt;"Dépendance",0,4.5)</f>
        <v>0</v>
      </c>
      <c r="AR39" s="4">
        <v>0.50393265050357905</v>
      </c>
      <c r="AS39" s="4">
        <f>Base[[#This Row],[Espérance_vie]]+Base[[#This Row],['[SC']Hausse_esp_de_vie]]-Base[[#This Row],['[SC']Durée_moyenne_dépendance_avt]]+Base[[#This Row],[Risque]]</f>
        <v>82.890821493119105</v>
      </c>
      <c r="AT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" s="4">
        <v>62.9</v>
      </c>
      <c r="AW39" s="4">
        <f t="shared" si="0"/>
        <v>336905600000</v>
      </c>
      <c r="AX39" s="4">
        <v>15049171</v>
      </c>
      <c r="AY39" s="4">
        <f>Base[[#This Row],['[SC']Budget_total_retraites]]/Base[[#This Row],['[SC']Nombre_de_retraités]]</f>
        <v>22386.987296509556</v>
      </c>
      <c r="AZ39" s="4">
        <f>Base[[#This Row],['[SC']Budget_par_retraité]]*Base[[#This Row],['[SC']Nb_personnes_dépendantes]]</f>
        <v>0</v>
      </c>
      <c r="BA39" s="4">
        <f>Base[[#This Row],['[SC']'[Dépendance']Coût_retraite_personnes_dépendantes]]/Base[[#This Row],[Population_totale]]</f>
        <v>0</v>
      </c>
      <c r="BB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" s="4">
        <f>Base[[#This Row],['[SC']'[Dépendance']Gains]]-Base[[#This Row],['[SC']'[Dépendance']Coûts]]</f>
        <v>0</v>
      </c>
      <c r="BD39" s="4">
        <f>IF(Base[[#This Row],[Pathologie]]&lt;&gt;"Mort prématurée",0,Base[[#This Row],[Risque]]*Base[[#This Row],[Prévalence]]*Base[[#This Row],[Population_totale]])</f>
        <v>0</v>
      </c>
      <c r="BE39" s="4">
        <v>52.74</v>
      </c>
      <c r="BF39" s="4">
        <f>Base[[#This Row],['[SC']Âge_moyen_retraite]]-Base[[#This Row],['[SC']'[Mort_prématurée']Âge_moyen_mort précoce]]</f>
        <v>10.159999999999997</v>
      </c>
      <c r="BG39" s="4">
        <f>Base[[#This Row],[Espérance_vie]]+Base[[#This Row],['[SC']Hausse_esp_de_vie]]-Base[[#This Row],['[SC']Âge_moyen_retraite]]</f>
        <v>19.90101171382144</v>
      </c>
      <c r="BH39" s="4">
        <v>106583.42676924677</v>
      </c>
      <c r="BI39" s="4">
        <v>97601.789429271477</v>
      </c>
      <c r="BJ39" s="4">
        <v>302038.31496633729</v>
      </c>
      <c r="BK39" s="4">
        <v>117293.58934859755</v>
      </c>
      <c r="BL39" s="4">
        <v>1523999.9999999995</v>
      </c>
      <c r="BM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" s="4">
        <v>294804.96027377353</v>
      </c>
      <c r="BO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" s="4">
        <f>(Base[[#This Row],['[SC']'[Mort_prématurée']Gains]]-Base[[#This Row],['[SC']'[Mort_prématurée']Coûts]])/Base[[#This Row],[Population_totale]]</f>
        <v>0</v>
      </c>
      <c r="BQ39" s="4">
        <f>IF(Base[[#This Row],[Pathologie]]&lt;&gt;"Mort prématurée",0,Base[[#This Row],[Risque]])</f>
        <v>0</v>
      </c>
      <c r="BR39" s="4">
        <v>2680</v>
      </c>
      <c r="BS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39" s="4">
        <f>Base[[#This Row],[Prévalence_prod]]*(1-Base[[#This Row],[Risque]])*Base[[#This Row],[Durée_arrêt]]*Base[[#This Row],[Population_emploi]]</f>
        <v>14534900.489575392</v>
      </c>
      <c r="BV39" s="4">
        <f>Base[[#This Row],['[Prod']'[Absentéisme']Total_jours_absence_avant]]-Base[[#This Row],['[Prod']'[Absentéisme']Total_jours_absence_après]]</f>
        <v>1434179.5543299224</v>
      </c>
      <c r="BW39" s="4">
        <f>IF(AND(Base[[#This Row],[Pathologie]]&lt;&gt;"Dépendance",Base[[#This Row],[Pathologie]]&lt;&gt;"Mort prématurée",Base[[#This Row],[Pathologie]]&lt;&gt;"Migraine"),0.0619,0)</f>
        <v>6.1899999999999997E-2</v>
      </c>
      <c r="BX39" s="4">
        <v>254</v>
      </c>
      <c r="BY39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39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39" s="4">
        <f>Base[[#This Row],[Prévalence_prod]]*Base[[#This Row],[Présentéisme]]*Base[[#This Row],['[Prod']Jours_ouvrés]]</f>
        <v>0.56134000000000006</v>
      </c>
      <c r="CB39" s="4">
        <f>Base[[#This Row],[Prévalence_prod]]*(1-Base[[#This Row],[Risque]])*Base[[#This Row],[Présentéisme]]*Base[[#This Row],['[Prod']Jours_ouvrés]]</f>
        <v>0.51092617848904731</v>
      </c>
      <c r="CC39" s="4">
        <f>Base[[#This Row],['[Prod']'[Présentéisme']Jours_avant]]-Base[[#This Row],['[Prod']'[Présentéisme']Jours_après]]</f>
        <v>5.041382151095275E-2</v>
      </c>
      <c r="CD39" s="4">
        <f>Base[[#This Row],['[Prod']'[Présentéisme']Jours_gagnés]]/Base[[#This Row],['[Prod']Jours_ouvrés]]</f>
        <v>1.9847961224784546E-4</v>
      </c>
      <c r="CE39">
        <v>5.8333039429220801E-2</v>
      </c>
      <c r="CF39">
        <v>1.4658164114728258E-2</v>
      </c>
      <c r="CG39" s="4">
        <v>11</v>
      </c>
      <c r="CH39" s="4">
        <v>0.52204401140486179</v>
      </c>
      <c r="CI39" s="4">
        <v>1.2443904150185675E-2</v>
      </c>
      <c r="CJ39" s="4">
        <f>IF(Base[[#This Row],[Secteur]]&lt;&gt;"Moyenne",Base[[#This Row],['[Prod']'[Turnover']DMC_initiale]]*(1+Base[[#This Row],['[Prod']'[Turnover']Ecart_accidents]]*Base[[#This Row],['[Prod']Impact_motifs_turnover]]),CJ22*CI22+CJ23*CI23+CJ24*CI24+CJ25*CI25+CJ26*CI26+CJ27*CI27+CJ28*CI28+CJ29*CI29+CJ30*CI30+CJ31*CI31+CJ32*CI32+CJ33*CI33+CJ34*CI34+CJ35*CI35+CJ36*CI36+CJ37*CI37+CJ38*CI38)</f>
        <v>11.084174274737117</v>
      </c>
      <c r="CK39" s="4">
        <f>1/Base[[#This Row],['[Prod']'[Turnover']DMC_initiale]]</f>
        <v>9.0909090909090912E-2</v>
      </c>
      <c r="CL39" s="4">
        <f>1/Base[[#This Row],['[Prod']'[Turnover']DMC_finale]]</f>
        <v>9.0218718617514418E-2</v>
      </c>
    </row>
    <row r="40" spans="2:90" x14ac:dyDescent="0.25">
      <c r="B40" s="4" t="s">
        <v>320</v>
      </c>
      <c r="C40">
        <v>7.5</v>
      </c>
      <c r="D40" t="s">
        <v>84</v>
      </c>
      <c r="E40" t="s">
        <v>3</v>
      </c>
      <c r="F40" s="3">
        <v>8.9809779297667564E-2</v>
      </c>
      <c r="G40" s="3">
        <v>2.5999999999999999E-2</v>
      </c>
      <c r="H40" s="3">
        <v>2.5999999999999999E-2</v>
      </c>
      <c r="I40" s="3">
        <v>8.5000000000000006E-2</v>
      </c>
      <c r="J40" s="3">
        <v>24.289173334126499</v>
      </c>
      <c r="K40" s="3">
        <v>7.0000000000000007E-2</v>
      </c>
      <c r="L40" s="2">
        <f>Base[[#This Row],[Coût]]*Base[[#This Row],[Part_ménages_dépenses_santé]]</f>
        <v>1.7002421333888551</v>
      </c>
      <c r="M40" s="2">
        <v>0.99784170771638514</v>
      </c>
      <c r="N40" s="6">
        <v>27700000</v>
      </c>
      <c r="O40" s="7">
        <f>Base[[#This Row],[Coût_salarié]]*10^9*Base[[#This Row],[Risque]]*Base[[#This Row],[Prévalence]]*Base[[#This Row],[Part_coûts_salarié]]/Base[[#This Row],[Population_emploi]]</f>
        <v>0.14301764905993752</v>
      </c>
      <c r="P40">
        <v>50</v>
      </c>
      <c r="Q40">
        <v>50</v>
      </c>
      <c r="R40" s="2">
        <v>9.9999999999999978E-2</v>
      </c>
      <c r="S40" s="2">
        <v>0.33340000000000003</v>
      </c>
      <c r="T40" s="4">
        <v>2.5999999999999999E-2</v>
      </c>
      <c r="U40" s="4">
        <f>IF(Bases_annexes!$F$5=0,16.6587111018772,0.77*Bases_annexes!$F$5/(IF(OR(ISBLANK('Données_d''entrée'!$E$44),'Données_d''entrée'!$E$44=0),35,'Données_d''entrée'!$E$44)*52))</f>
        <v>16.658711101877199</v>
      </c>
      <c r="V40" s="4">
        <v>22.173118639135399</v>
      </c>
      <c r="W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0" s="4">
        <v>234.5</v>
      </c>
      <c r="Y40" s="4">
        <f>(Base[[#This Row],['[Maladies']Coûts_évités_par_salarié]]+Base[[#This Row],['[Travail']Coûts_évités_par_salarié]])/Base[[#This Row],[Budget_santé_salarié]]</f>
        <v>6.3196889299024783E-3</v>
      </c>
      <c r="Z40" s="4">
        <v>0.8</v>
      </c>
      <c r="AA40" s="4">
        <f>Base[[#This Row],[Coût]]*Base[[#This Row],[Part_société_dépenses_santé]]</f>
        <v>19.431338667301201</v>
      </c>
      <c r="AB40" s="4">
        <v>67635124</v>
      </c>
      <c r="AC40" s="4">
        <v>82.297079063317852</v>
      </c>
      <c r="AD40" s="4">
        <v>2.5999999999999999E-2</v>
      </c>
      <c r="AE40" s="4">
        <f>Base[[#This Row],['[SC']Prévalence_travail]]*Base[[#This Row],[Population_emploi]]</f>
        <v>720200</v>
      </c>
      <c r="AF40" s="4">
        <f>Base[[#This Row],[Risque]]*Base[[#This Row],['[SC']Patients_en_emploi]]</f>
        <v>64681.003050180181</v>
      </c>
      <c r="AG40" s="4">
        <v>1257615774.8399999</v>
      </c>
      <c r="AH40" s="4">
        <f>IFERROR(Base[[#This Row],['[SC']Prestations]]/Base[[#This Row],['[SC']Patients_en_emploi]],0)</f>
        <v>1746.203519633435</v>
      </c>
      <c r="AI40" s="4">
        <v>51.7</v>
      </c>
      <c r="AJ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0" s="4">
        <f>Base[[#This Row],['[SC']'[Travail']Coûts_évités]]/Base[[#This Row],[Population_emploi]]</f>
        <v>4.0774799703843172</v>
      </c>
      <c r="AL40" s="4">
        <f>Base[[#This Row],[Coût_société]]*10^9*Base[[#This Row],[Risque]]*Base[[#This Row],[Prévalence]]*Base[[#This Row],[Part_coûts_salarié]]/Base[[#This Row],[Population_emploi]]</f>
        <v>1.6344874178278568</v>
      </c>
      <c r="AM40" s="4">
        <f>IF(Base[[#This Row],[Pathologie]]&lt;&gt;"Dépendance",0,14909.24243952)</f>
        <v>0</v>
      </c>
      <c r="AN40" s="4">
        <f>IF(Base[[#This Row],[Pathologie]]&lt;&gt;"Dépendance",0,1316000)</f>
        <v>0</v>
      </c>
      <c r="AO40" s="4">
        <f>IF(Base[[#This Row],[Pathologie]]&lt;&gt;"Dépendance",0,Base[[#This Row],['[SC']Coût_personne_dépendante]]*Base[[#This Row],['[SC']Nb_personnes_dépendantes]])</f>
        <v>0</v>
      </c>
      <c r="AP40" s="4">
        <f>IF(Base[[#This Row],[Pathologie]]&lt;&gt;"Dépendance",0,Base[[#This Row],['[SC']Coût_total_dépendance]]/Base[[#This Row],[Population_totale]])</f>
        <v>0</v>
      </c>
      <c r="AQ40" s="4">
        <f>IF(Base[[#This Row],[Pathologie]]&lt;&gt;"Dépendance",0,4.5)</f>
        <v>0</v>
      </c>
      <c r="AR40" s="4">
        <v>0.50393265050357905</v>
      </c>
      <c r="AS40" s="4">
        <f>Base[[#This Row],[Espérance_vie]]+Base[[#This Row],['[SC']Hausse_esp_de_vie]]-Base[[#This Row],['[SC']Durée_moyenne_dépendance_avt]]+Base[[#This Row],[Risque]]</f>
        <v>82.890821493119105</v>
      </c>
      <c r="AT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" s="4">
        <v>62.9</v>
      </c>
      <c r="AW40" s="4">
        <f t="shared" si="0"/>
        <v>336905600000</v>
      </c>
      <c r="AX40" s="4">
        <v>15049171</v>
      </c>
      <c r="AY40" s="4">
        <f>Base[[#This Row],['[SC']Budget_total_retraites]]/Base[[#This Row],['[SC']Nombre_de_retraités]]</f>
        <v>22386.987296509556</v>
      </c>
      <c r="AZ40" s="4">
        <f>Base[[#This Row],['[SC']Budget_par_retraité]]*Base[[#This Row],['[SC']Nb_personnes_dépendantes]]</f>
        <v>0</v>
      </c>
      <c r="BA40" s="4">
        <f>Base[[#This Row],['[SC']'[Dépendance']Coût_retraite_personnes_dépendantes]]/Base[[#This Row],[Population_totale]]</f>
        <v>0</v>
      </c>
      <c r="BB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" s="4">
        <f>Base[[#This Row],['[SC']'[Dépendance']Gains]]-Base[[#This Row],['[SC']'[Dépendance']Coûts]]</f>
        <v>0</v>
      </c>
      <c r="BD40" s="4">
        <f>IF(Base[[#This Row],[Pathologie]]&lt;&gt;"Mort prématurée",0,Base[[#This Row],[Risque]]*Base[[#This Row],[Prévalence]]*Base[[#This Row],[Population_totale]])</f>
        <v>0</v>
      </c>
      <c r="BE40" s="4">
        <v>52.74</v>
      </c>
      <c r="BF40" s="4">
        <f>Base[[#This Row],['[SC']Âge_moyen_retraite]]-Base[[#This Row],['[SC']'[Mort_prématurée']Âge_moyen_mort précoce]]</f>
        <v>10.159999999999997</v>
      </c>
      <c r="BG40" s="4">
        <f>Base[[#This Row],[Espérance_vie]]+Base[[#This Row],['[SC']Hausse_esp_de_vie]]-Base[[#This Row],['[SC']Âge_moyen_retraite]]</f>
        <v>19.90101171382144</v>
      </c>
      <c r="BH40" s="4">
        <v>106583.42676924677</v>
      </c>
      <c r="BI40" s="4">
        <v>97601.789429271477</v>
      </c>
      <c r="BJ40" s="4">
        <v>302038.31496633729</v>
      </c>
      <c r="BK40" s="4">
        <v>117293.58934859755</v>
      </c>
      <c r="BL40" s="4">
        <v>1523999.9999999995</v>
      </c>
      <c r="BM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" s="4">
        <v>294804.96027377353</v>
      </c>
      <c r="BO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" s="4">
        <f>(Base[[#This Row],['[SC']'[Mort_prématurée']Gains]]-Base[[#This Row],['[SC']'[Mort_prématurée']Coûts]])/Base[[#This Row],[Population_totale]]</f>
        <v>0</v>
      </c>
      <c r="BQ40" s="4">
        <f>IF(Base[[#This Row],[Pathologie]]&lt;&gt;"Mort prématurée",0,Base[[#This Row],[Risque]])</f>
        <v>0</v>
      </c>
      <c r="BR40" s="4">
        <v>2680</v>
      </c>
      <c r="BS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0" s="4">
        <f>Base[[#This Row],[Prévalence_prod]]*(1-Base[[#This Row],[Risque]])*Base[[#This Row],[Durée_arrêt]]*Base[[#This Row],[Population_emploi]]</f>
        <v>14534900.489575392</v>
      </c>
      <c r="BV40" s="4">
        <f>Base[[#This Row],['[Prod']'[Absentéisme']Total_jours_absence_avant]]-Base[[#This Row],['[Prod']'[Absentéisme']Total_jours_absence_après]]</f>
        <v>1434179.5543299224</v>
      </c>
      <c r="BW40" s="4">
        <f>IF(AND(Base[[#This Row],[Pathologie]]&lt;&gt;"Dépendance",Base[[#This Row],[Pathologie]]&lt;&gt;"Mort prématurée",Base[[#This Row],[Pathologie]]&lt;&gt;"Migraine"),0.0619,0)</f>
        <v>6.1899999999999997E-2</v>
      </c>
      <c r="BX40" s="4">
        <v>254</v>
      </c>
      <c r="BY40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0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0" s="4">
        <f>Base[[#This Row],[Prévalence_prod]]*Base[[#This Row],[Présentéisme]]*Base[[#This Row],['[Prod']Jours_ouvrés]]</f>
        <v>0.56134000000000006</v>
      </c>
      <c r="CB40" s="4">
        <f>Base[[#This Row],[Prévalence_prod]]*(1-Base[[#This Row],[Risque]])*Base[[#This Row],[Présentéisme]]*Base[[#This Row],['[Prod']Jours_ouvrés]]</f>
        <v>0.51092617848904731</v>
      </c>
      <c r="CC40" s="4">
        <f>Base[[#This Row],['[Prod']'[Présentéisme']Jours_avant]]-Base[[#This Row],['[Prod']'[Présentéisme']Jours_après]]</f>
        <v>5.041382151095275E-2</v>
      </c>
      <c r="CD40" s="4">
        <f>Base[[#This Row],['[Prod']'[Présentéisme']Jours_gagnés]]/Base[[#This Row],['[Prod']Jours_ouvrés]]</f>
        <v>1.9847961224784546E-4</v>
      </c>
      <c r="CE40">
        <v>5.8333039429220801E-2</v>
      </c>
      <c r="CF40">
        <v>1.4658164114728258E-2</v>
      </c>
      <c r="CG40" s="4">
        <v>11</v>
      </c>
      <c r="CH40" s="4">
        <v>0.49446424657188709</v>
      </c>
      <c r="CI40" s="4">
        <v>1.0795805058605798E-2</v>
      </c>
      <c r="CJ40" s="4">
        <f>IF(Base[[#This Row],[Secteur]]&lt;&gt;"Moyenne",Base[[#This Row],['[Prod']'[Turnover']DMC_initiale]]*(1+Base[[#This Row],['[Prod']'[Turnover']Ecart_accidents]]*Base[[#This Row],['[Prod']Impact_motifs_turnover]]),CJ23*CI23+CJ24*CI24+CJ25*CI25+CJ26*CI26+CJ27*CI27+CJ28*CI28+CJ29*CI29+CJ30*CI30+CJ31*CI31+CJ32*CI32+CJ33*CI33+CJ34*CI34+CJ35*CI35+CJ36*CI36+CJ37*CI37+CJ38*CI38+CJ39*CI39)</f>
        <v>11.079727318826279</v>
      </c>
      <c r="CK40" s="4">
        <f>1/Base[[#This Row],['[Prod']'[Turnover']DMC_initiale]]</f>
        <v>9.0909090909090912E-2</v>
      </c>
      <c r="CL40" s="4">
        <f>1/Base[[#This Row],['[Prod']'[Turnover']DMC_finale]]</f>
        <v>9.025492877436031E-2</v>
      </c>
    </row>
    <row r="41" spans="2:90" x14ac:dyDescent="0.25">
      <c r="B41" s="4" t="s">
        <v>321</v>
      </c>
      <c r="C41">
        <v>7.5</v>
      </c>
      <c r="D41" t="s">
        <v>84</v>
      </c>
      <c r="E41" t="s">
        <v>3</v>
      </c>
      <c r="F41" s="3">
        <v>8.9809779297667564E-2</v>
      </c>
      <c r="G41" s="3">
        <v>2.5999999999999999E-2</v>
      </c>
      <c r="H41" s="3">
        <v>2.5999999999999999E-2</v>
      </c>
      <c r="I41" s="3">
        <v>8.5000000000000006E-2</v>
      </c>
      <c r="J41" s="3">
        <v>24.289173334126499</v>
      </c>
      <c r="K41" s="3">
        <v>7.0000000000000007E-2</v>
      </c>
      <c r="L41" s="2">
        <f>Base[[#This Row],[Coût]]*Base[[#This Row],[Part_ménages_dépenses_santé]]</f>
        <v>1.7002421333888551</v>
      </c>
      <c r="M41" s="2">
        <v>0.99784170771638514</v>
      </c>
      <c r="N41" s="6">
        <v>27700000</v>
      </c>
      <c r="O41" s="7">
        <f>Base[[#This Row],[Coût_salarié]]*10^9*Base[[#This Row],[Risque]]*Base[[#This Row],[Prévalence]]*Base[[#This Row],[Part_coûts_salarié]]/Base[[#This Row],[Population_emploi]]</f>
        <v>0.14301764905993752</v>
      </c>
      <c r="P41">
        <v>50</v>
      </c>
      <c r="Q41">
        <v>50</v>
      </c>
      <c r="R41" s="2">
        <v>9.9999999999999978E-2</v>
      </c>
      <c r="S41" s="2">
        <v>0.33340000000000003</v>
      </c>
      <c r="T41" s="4">
        <v>2.5999999999999999E-2</v>
      </c>
      <c r="U41" s="4">
        <f>IF(Bases_annexes!$F$5=0,16.6587111018772,0.77*Bases_annexes!$F$5/(IF(OR(ISBLANK('Données_d''entrée'!$E$44),'Données_d''entrée'!$E$44=0),35,'Données_d''entrée'!$E$44)*52))</f>
        <v>16.658711101877199</v>
      </c>
      <c r="V41" s="4">
        <v>22.173118639135399</v>
      </c>
      <c r="W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1" s="4">
        <v>234.5</v>
      </c>
      <c r="Y41" s="4">
        <f>(Base[[#This Row],['[Maladies']Coûts_évités_par_salarié]]+Base[[#This Row],['[Travail']Coûts_évités_par_salarié]])/Base[[#This Row],[Budget_santé_salarié]]</f>
        <v>6.3196889299024783E-3</v>
      </c>
      <c r="Z41" s="4">
        <v>0.8</v>
      </c>
      <c r="AA41" s="4">
        <f>Base[[#This Row],[Coût]]*Base[[#This Row],[Part_société_dépenses_santé]]</f>
        <v>19.431338667301201</v>
      </c>
      <c r="AB41" s="4">
        <v>67635124</v>
      </c>
      <c r="AC41" s="4">
        <v>82.297079063317852</v>
      </c>
      <c r="AD41" s="4">
        <v>2.5999999999999999E-2</v>
      </c>
      <c r="AE41" s="4">
        <f>Base[[#This Row],['[SC']Prévalence_travail]]*Base[[#This Row],[Population_emploi]]</f>
        <v>720200</v>
      </c>
      <c r="AF41" s="4">
        <f>Base[[#This Row],[Risque]]*Base[[#This Row],['[SC']Patients_en_emploi]]</f>
        <v>64681.003050180181</v>
      </c>
      <c r="AG41" s="4">
        <v>1257615774.8399999</v>
      </c>
      <c r="AH41" s="4">
        <f>IFERROR(Base[[#This Row],['[SC']Prestations]]/Base[[#This Row],['[SC']Patients_en_emploi]],0)</f>
        <v>1746.203519633435</v>
      </c>
      <c r="AI41" s="4">
        <v>51.7</v>
      </c>
      <c r="AJ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1" s="4">
        <f>Base[[#This Row],['[SC']'[Travail']Coûts_évités]]/Base[[#This Row],[Population_emploi]]</f>
        <v>4.0774799703843172</v>
      </c>
      <c r="AL41" s="4">
        <f>Base[[#This Row],[Coût_société]]*10^9*Base[[#This Row],[Risque]]*Base[[#This Row],[Prévalence]]*Base[[#This Row],[Part_coûts_salarié]]/Base[[#This Row],[Population_emploi]]</f>
        <v>1.6344874178278568</v>
      </c>
      <c r="AM41" s="4">
        <f>IF(Base[[#This Row],[Pathologie]]&lt;&gt;"Dépendance",0,14909.24243952)</f>
        <v>0</v>
      </c>
      <c r="AN41" s="4">
        <f>IF(Base[[#This Row],[Pathologie]]&lt;&gt;"Dépendance",0,1316000)</f>
        <v>0</v>
      </c>
      <c r="AO41" s="4">
        <f>IF(Base[[#This Row],[Pathologie]]&lt;&gt;"Dépendance",0,Base[[#This Row],['[SC']Coût_personne_dépendante]]*Base[[#This Row],['[SC']Nb_personnes_dépendantes]])</f>
        <v>0</v>
      </c>
      <c r="AP41" s="4">
        <f>IF(Base[[#This Row],[Pathologie]]&lt;&gt;"Dépendance",0,Base[[#This Row],['[SC']Coût_total_dépendance]]/Base[[#This Row],[Population_totale]])</f>
        <v>0</v>
      </c>
      <c r="AQ41" s="4">
        <f>IF(Base[[#This Row],[Pathologie]]&lt;&gt;"Dépendance",0,4.5)</f>
        <v>0</v>
      </c>
      <c r="AR41" s="4">
        <v>0.50393265050357905</v>
      </c>
      <c r="AS41" s="4">
        <f>Base[[#This Row],[Espérance_vie]]+Base[[#This Row],['[SC']Hausse_esp_de_vie]]-Base[[#This Row],['[SC']Durée_moyenne_dépendance_avt]]+Base[[#This Row],[Risque]]</f>
        <v>82.890821493119105</v>
      </c>
      <c r="AT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1" s="4">
        <v>62.9</v>
      </c>
      <c r="AW41" s="4">
        <f t="shared" si="0"/>
        <v>336905600000</v>
      </c>
      <c r="AX41" s="4">
        <v>15049171</v>
      </c>
      <c r="AY41" s="4">
        <f>Base[[#This Row],['[SC']Budget_total_retraites]]/Base[[#This Row],['[SC']Nombre_de_retraités]]</f>
        <v>22386.987296509556</v>
      </c>
      <c r="AZ41" s="4">
        <f>Base[[#This Row],['[SC']Budget_par_retraité]]*Base[[#This Row],['[SC']Nb_personnes_dépendantes]]</f>
        <v>0</v>
      </c>
      <c r="BA41" s="4">
        <f>Base[[#This Row],['[SC']'[Dépendance']Coût_retraite_personnes_dépendantes]]/Base[[#This Row],[Population_totale]]</f>
        <v>0</v>
      </c>
      <c r="BB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1" s="4">
        <f>Base[[#This Row],['[SC']'[Dépendance']Gains]]-Base[[#This Row],['[SC']'[Dépendance']Coûts]]</f>
        <v>0</v>
      </c>
      <c r="BD41" s="4">
        <f>IF(Base[[#This Row],[Pathologie]]&lt;&gt;"Mort prématurée",0,Base[[#This Row],[Risque]]*Base[[#This Row],[Prévalence]]*Base[[#This Row],[Population_totale]])</f>
        <v>0</v>
      </c>
      <c r="BE41" s="4">
        <v>52.74</v>
      </c>
      <c r="BF41" s="4">
        <f>Base[[#This Row],['[SC']Âge_moyen_retraite]]-Base[[#This Row],['[SC']'[Mort_prématurée']Âge_moyen_mort précoce]]</f>
        <v>10.159999999999997</v>
      </c>
      <c r="BG41" s="4">
        <f>Base[[#This Row],[Espérance_vie]]+Base[[#This Row],['[SC']Hausse_esp_de_vie]]-Base[[#This Row],['[SC']Âge_moyen_retraite]]</f>
        <v>19.90101171382144</v>
      </c>
      <c r="BH41" s="4">
        <v>106583.42676924677</v>
      </c>
      <c r="BI41" s="4">
        <v>97601.789429271477</v>
      </c>
      <c r="BJ41" s="4">
        <v>302038.31496633729</v>
      </c>
      <c r="BK41" s="4">
        <v>117293.58934859755</v>
      </c>
      <c r="BL41" s="4">
        <v>1523999.9999999995</v>
      </c>
      <c r="BM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" s="4">
        <v>294804.96027377353</v>
      </c>
      <c r="BO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" s="4">
        <f>(Base[[#This Row],['[SC']'[Mort_prématurée']Gains]]-Base[[#This Row],['[SC']'[Mort_prématurée']Coûts]])/Base[[#This Row],[Population_totale]]</f>
        <v>0</v>
      </c>
      <c r="BQ41" s="4">
        <f>IF(Base[[#This Row],[Pathologie]]&lt;&gt;"Mort prématurée",0,Base[[#This Row],[Risque]])</f>
        <v>0</v>
      </c>
      <c r="BR41" s="4">
        <v>2680</v>
      </c>
      <c r="BS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1" s="4">
        <f>Base[[#This Row],[Prévalence_prod]]*(1-Base[[#This Row],[Risque]])*Base[[#This Row],[Durée_arrêt]]*Base[[#This Row],[Population_emploi]]</f>
        <v>14534900.489575392</v>
      </c>
      <c r="BV41" s="4">
        <f>Base[[#This Row],['[Prod']'[Absentéisme']Total_jours_absence_avant]]-Base[[#This Row],['[Prod']'[Absentéisme']Total_jours_absence_après]]</f>
        <v>1434179.5543299224</v>
      </c>
      <c r="BW41" s="4">
        <f>IF(AND(Base[[#This Row],[Pathologie]]&lt;&gt;"Dépendance",Base[[#This Row],[Pathologie]]&lt;&gt;"Mort prématurée",Base[[#This Row],[Pathologie]]&lt;&gt;"Migraine"),0.0619,0)</f>
        <v>6.1899999999999997E-2</v>
      </c>
      <c r="BX41" s="4">
        <v>254</v>
      </c>
      <c r="BY4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1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1" s="4">
        <f>Base[[#This Row],[Prévalence_prod]]*Base[[#This Row],[Présentéisme]]*Base[[#This Row],['[Prod']Jours_ouvrés]]</f>
        <v>0.56134000000000006</v>
      </c>
      <c r="CB41" s="4">
        <f>Base[[#This Row],[Prévalence_prod]]*(1-Base[[#This Row],[Risque]])*Base[[#This Row],[Présentéisme]]*Base[[#This Row],['[Prod']Jours_ouvrés]]</f>
        <v>0.51092617848904731</v>
      </c>
      <c r="CC41" s="4">
        <f>Base[[#This Row],['[Prod']'[Présentéisme']Jours_avant]]-Base[[#This Row],['[Prod']'[Présentéisme']Jours_après]]</f>
        <v>5.041382151095275E-2</v>
      </c>
      <c r="CD41" s="4">
        <f>Base[[#This Row],['[Prod']'[Présentéisme']Jours_gagnés]]/Base[[#This Row],['[Prod']Jours_ouvrés]]</f>
        <v>1.9847961224784546E-4</v>
      </c>
      <c r="CE41">
        <v>5.8333039429220801E-2</v>
      </c>
      <c r="CF41">
        <v>1.4658164114728258E-2</v>
      </c>
      <c r="CG41" s="4">
        <v>11</v>
      </c>
      <c r="CH41" s="4">
        <v>0.85274500894619554</v>
      </c>
      <c r="CI41" s="4">
        <v>4.2903496994109176E-2</v>
      </c>
      <c r="CJ41" s="4">
        <f>IF(Base[[#This Row],[Secteur]]&lt;&gt;"Moyenne",Base[[#This Row],['[Prod']'[Turnover']DMC_initiale]]*(1+Base[[#This Row],['[Prod']'[Turnover']Ecart_accidents]]*Base[[#This Row],['[Prod']Impact_motifs_turnover]]),CJ24*CI24+CJ25*CI25+CJ26*CI26+CJ27*CI27+CJ28*CI28+CJ29*CI29+CJ30*CI30+CJ31*CI31+CJ32*CI32+CJ33*CI33+CJ34*CI34+CJ35*CI35+CJ36*CI36+CJ37*CI37+CJ38*CI38+CJ39*CI39+CJ40*CI40)</f>
        <v>11.137496439180635</v>
      </c>
      <c r="CK41" s="4">
        <f>1/Base[[#This Row],['[Prod']'[Turnover']DMC_initiale]]</f>
        <v>9.0909090909090912E-2</v>
      </c>
      <c r="CL41" s="4">
        <f>1/Base[[#This Row],['[Prod']'[Turnover']DMC_finale]]</f>
        <v>8.9786785159553156E-2</v>
      </c>
    </row>
    <row r="42" spans="2:90" x14ac:dyDescent="0.25">
      <c r="B42" s="4" t="s">
        <v>322</v>
      </c>
      <c r="C42">
        <v>7.5</v>
      </c>
      <c r="D42" t="s">
        <v>84</v>
      </c>
      <c r="E42" t="s">
        <v>3</v>
      </c>
      <c r="F42" s="3">
        <v>8.9809779297667564E-2</v>
      </c>
      <c r="G42" s="3">
        <v>2.5999999999999999E-2</v>
      </c>
      <c r="H42" s="3">
        <v>2.5999999999999999E-2</v>
      </c>
      <c r="I42" s="3">
        <v>8.5000000000000006E-2</v>
      </c>
      <c r="J42" s="3">
        <v>24.289173334126499</v>
      </c>
      <c r="K42" s="3">
        <v>7.0000000000000007E-2</v>
      </c>
      <c r="L42" s="2">
        <f>Base[[#This Row],[Coût]]*Base[[#This Row],[Part_ménages_dépenses_santé]]</f>
        <v>1.7002421333888551</v>
      </c>
      <c r="M42" s="2">
        <v>0.99784170771638514</v>
      </c>
      <c r="N42" s="6">
        <v>27700000</v>
      </c>
      <c r="O42" s="7">
        <f>Base[[#This Row],[Coût_salarié]]*10^9*Base[[#This Row],[Risque]]*Base[[#This Row],[Prévalence]]*Base[[#This Row],[Part_coûts_salarié]]/Base[[#This Row],[Population_emploi]]</f>
        <v>0.14301764905993752</v>
      </c>
      <c r="P42">
        <v>50</v>
      </c>
      <c r="Q42">
        <v>50</v>
      </c>
      <c r="R42" s="2">
        <v>9.9999999999999978E-2</v>
      </c>
      <c r="S42" s="2">
        <v>0.33340000000000003</v>
      </c>
      <c r="T42" s="4">
        <v>2.5999999999999999E-2</v>
      </c>
      <c r="U42" s="4">
        <f>IF(Bases_annexes!$F$5=0,16.6587111018772,0.77*Bases_annexes!$F$5/(IF(OR(ISBLANK('Données_d''entrée'!$E$44),'Données_d''entrée'!$E$44=0),35,'Données_d''entrée'!$E$44)*52))</f>
        <v>16.658711101877199</v>
      </c>
      <c r="V42" s="4">
        <v>22.173118639135399</v>
      </c>
      <c r="W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2" s="4">
        <v>234.5</v>
      </c>
      <c r="Y42" s="4">
        <f>(Base[[#This Row],['[Maladies']Coûts_évités_par_salarié]]+Base[[#This Row],['[Travail']Coûts_évités_par_salarié]])/Base[[#This Row],[Budget_santé_salarié]]</f>
        <v>6.3196889299024783E-3</v>
      </c>
      <c r="Z42" s="4">
        <v>0.8</v>
      </c>
      <c r="AA42" s="4">
        <f>Base[[#This Row],[Coût]]*Base[[#This Row],[Part_société_dépenses_santé]]</f>
        <v>19.431338667301201</v>
      </c>
      <c r="AB42" s="4">
        <v>67635124</v>
      </c>
      <c r="AC42" s="4">
        <v>82.297079063317852</v>
      </c>
      <c r="AD42" s="4">
        <v>2.5999999999999999E-2</v>
      </c>
      <c r="AE42" s="4">
        <f>Base[[#This Row],['[SC']Prévalence_travail]]*Base[[#This Row],[Population_emploi]]</f>
        <v>720200</v>
      </c>
      <c r="AF42" s="4">
        <f>Base[[#This Row],[Risque]]*Base[[#This Row],['[SC']Patients_en_emploi]]</f>
        <v>64681.003050180181</v>
      </c>
      <c r="AG42" s="4">
        <v>1257615774.8399999</v>
      </c>
      <c r="AH42" s="4">
        <f>IFERROR(Base[[#This Row],['[SC']Prestations]]/Base[[#This Row],['[SC']Patients_en_emploi]],0)</f>
        <v>1746.203519633435</v>
      </c>
      <c r="AI42" s="4">
        <v>51.7</v>
      </c>
      <c r="AJ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2" s="4">
        <f>Base[[#This Row],['[SC']'[Travail']Coûts_évités]]/Base[[#This Row],[Population_emploi]]</f>
        <v>4.0774799703843172</v>
      </c>
      <c r="AL42" s="4">
        <f>Base[[#This Row],[Coût_société]]*10^9*Base[[#This Row],[Risque]]*Base[[#This Row],[Prévalence]]*Base[[#This Row],[Part_coûts_salarié]]/Base[[#This Row],[Population_emploi]]</f>
        <v>1.6344874178278568</v>
      </c>
      <c r="AM42" s="4">
        <f>IF(Base[[#This Row],[Pathologie]]&lt;&gt;"Dépendance",0,14909.24243952)</f>
        <v>0</v>
      </c>
      <c r="AN42" s="4">
        <f>IF(Base[[#This Row],[Pathologie]]&lt;&gt;"Dépendance",0,1316000)</f>
        <v>0</v>
      </c>
      <c r="AO42" s="4">
        <f>IF(Base[[#This Row],[Pathologie]]&lt;&gt;"Dépendance",0,Base[[#This Row],['[SC']Coût_personne_dépendante]]*Base[[#This Row],['[SC']Nb_personnes_dépendantes]])</f>
        <v>0</v>
      </c>
      <c r="AP42" s="4">
        <f>IF(Base[[#This Row],[Pathologie]]&lt;&gt;"Dépendance",0,Base[[#This Row],['[SC']Coût_total_dépendance]]/Base[[#This Row],[Population_totale]])</f>
        <v>0</v>
      </c>
      <c r="AQ42" s="4">
        <f>IF(Base[[#This Row],[Pathologie]]&lt;&gt;"Dépendance",0,4.5)</f>
        <v>0</v>
      </c>
      <c r="AR42" s="4">
        <v>0.50393265050357905</v>
      </c>
      <c r="AS42" s="4">
        <f>Base[[#This Row],[Espérance_vie]]+Base[[#This Row],['[SC']Hausse_esp_de_vie]]-Base[[#This Row],['[SC']Durée_moyenne_dépendance_avt]]+Base[[#This Row],[Risque]]</f>
        <v>82.890821493119105</v>
      </c>
      <c r="AT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2" s="4">
        <v>62.9</v>
      </c>
      <c r="AW42" s="4">
        <f t="shared" si="0"/>
        <v>336905600000</v>
      </c>
      <c r="AX42" s="4">
        <v>15049171</v>
      </c>
      <c r="AY42" s="4">
        <f>Base[[#This Row],['[SC']Budget_total_retraites]]/Base[[#This Row],['[SC']Nombre_de_retraités]]</f>
        <v>22386.987296509556</v>
      </c>
      <c r="AZ42" s="4">
        <f>Base[[#This Row],['[SC']Budget_par_retraité]]*Base[[#This Row],['[SC']Nb_personnes_dépendantes]]</f>
        <v>0</v>
      </c>
      <c r="BA42" s="4">
        <f>Base[[#This Row],['[SC']'[Dépendance']Coût_retraite_personnes_dépendantes]]/Base[[#This Row],[Population_totale]]</f>
        <v>0</v>
      </c>
      <c r="BB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2" s="4">
        <f>Base[[#This Row],['[SC']'[Dépendance']Gains]]-Base[[#This Row],['[SC']'[Dépendance']Coûts]]</f>
        <v>0</v>
      </c>
      <c r="BD42" s="4">
        <f>IF(Base[[#This Row],[Pathologie]]&lt;&gt;"Mort prématurée",0,Base[[#This Row],[Risque]]*Base[[#This Row],[Prévalence]]*Base[[#This Row],[Population_totale]])</f>
        <v>0</v>
      </c>
      <c r="BE42" s="4">
        <v>52.74</v>
      </c>
      <c r="BF42" s="4">
        <f>Base[[#This Row],['[SC']Âge_moyen_retraite]]-Base[[#This Row],['[SC']'[Mort_prématurée']Âge_moyen_mort précoce]]</f>
        <v>10.159999999999997</v>
      </c>
      <c r="BG42" s="4">
        <f>Base[[#This Row],[Espérance_vie]]+Base[[#This Row],['[SC']Hausse_esp_de_vie]]-Base[[#This Row],['[SC']Âge_moyen_retraite]]</f>
        <v>19.90101171382144</v>
      </c>
      <c r="BH42" s="4">
        <v>106583.42676924677</v>
      </c>
      <c r="BI42" s="4">
        <v>97601.789429271477</v>
      </c>
      <c r="BJ42" s="4">
        <v>302038.31496633729</v>
      </c>
      <c r="BK42" s="4">
        <v>117293.58934859755</v>
      </c>
      <c r="BL42" s="4">
        <v>1523999.9999999995</v>
      </c>
      <c r="BM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" s="4">
        <v>294804.96027377353</v>
      </c>
      <c r="BO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" s="4">
        <f>(Base[[#This Row],['[SC']'[Mort_prématurée']Gains]]-Base[[#This Row],['[SC']'[Mort_prématurée']Coûts]])/Base[[#This Row],[Population_totale]]</f>
        <v>0</v>
      </c>
      <c r="BQ42" s="4">
        <f>IF(Base[[#This Row],[Pathologie]]&lt;&gt;"Mort prématurée",0,Base[[#This Row],[Risque]])</f>
        <v>0</v>
      </c>
      <c r="BR42" s="4">
        <v>2680</v>
      </c>
      <c r="BS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2" s="4">
        <f>Base[[#This Row],[Prévalence_prod]]*(1-Base[[#This Row],[Risque]])*Base[[#This Row],[Durée_arrêt]]*Base[[#This Row],[Population_emploi]]</f>
        <v>14534900.489575392</v>
      </c>
      <c r="BV42" s="4">
        <f>Base[[#This Row],['[Prod']'[Absentéisme']Total_jours_absence_avant]]-Base[[#This Row],['[Prod']'[Absentéisme']Total_jours_absence_après]]</f>
        <v>1434179.5543299224</v>
      </c>
      <c r="BW42" s="4">
        <f>IF(AND(Base[[#This Row],[Pathologie]]&lt;&gt;"Dépendance",Base[[#This Row],[Pathologie]]&lt;&gt;"Mort prématurée",Base[[#This Row],[Pathologie]]&lt;&gt;"Migraine"),0.0619,0)</f>
        <v>6.1899999999999997E-2</v>
      </c>
      <c r="BX42" s="4">
        <v>254</v>
      </c>
      <c r="BY4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2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2" s="4">
        <f>Base[[#This Row],[Prévalence_prod]]*Base[[#This Row],[Présentéisme]]*Base[[#This Row],['[Prod']Jours_ouvrés]]</f>
        <v>0.56134000000000006</v>
      </c>
      <c r="CB42" s="4">
        <f>Base[[#This Row],[Prévalence_prod]]*(1-Base[[#This Row],[Risque]])*Base[[#This Row],[Présentéisme]]*Base[[#This Row],['[Prod']Jours_ouvrés]]</f>
        <v>0.51092617848904731</v>
      </c>
      <c r="CC42" s="4">
        <f>Base[[#This Row],['[Prod']'[Présentéisme']Jours_avant]]-Base[[#This Row],['[Prod']'[Présentéisme']Jours_après]]</f>
        <v>5.041382151095275E-2</v>
      </c>
      <c r="CD42" s="4">
        <f>Base[[#This Row],['[Prod']'[Présentéisme']Jours_gagnés]]/Base[[#This Row],['[Prod']Jours_ouvrés]]</f>
        <v>1.9847961224784546E-4</v>
      </c>
      <c r="CE42">
        <v>5.8333039429220801E-2</v>
      </c>
      <c r="CF42">
        <v>1.4658164114728258E-2</v>
      </c>
      <c r="CG42" s="4">
        <v>11</v>
      </c>
      <c r="CH42" s="4">
        <v>1.6219398392978641</v>
      </c>
      <c r="CI42" s="4">
        <v>9.628527536862988E-2</v>
      </c>
      <c r="CJ42" s="4">
        <f>IF(Base[[#This Row],[Secteur]]&lt;&gt;"Moyenne",Base[[#This Row],['[Prod']'[Turnover']DMC_initiale]]*(1+Base[[#This Row],['[Prod']'[Turnover']Ecart_accidents]]*Base[[#This Row],['[Prod']Impact_motifs_turnover]]),CJ25*CI25+CJ26*CI26+CJ27*CI27+CJ28*CI28+CJ29*CI29+CJ30*CI30+CJ31*CI31+CJ32*CI32+CJ33*CI33+CJ34*CI34+CJ35*CI35+CJ36*CI36+CJ37*CI37+CJ38*CI38+CJ39*CI39+CJ40*CI40+CJ41*CI41)</f>
        <v>11.261521263835085</v>
      </c>
      <c r="CK42" s="4">
        <f>1/Base[[#This Row],['[Prod']'[Turnover']DMC_initiale]]</f>
        <v>9.0909090909090912E-2</v>
      </c>
      <c r="CL42" s="4">
        <f>1/Base[[#This Row],['[Prod']'[Turnover']DMC_finale]]</f>
        <v>8.8797949812639457E-2</v>
      </c>
    </row>
    <row r="43" spans="2:90" x14ac:dyDescent="0.25">
      <c r="B43" s="4" t="s">
        <v>323</v>
      </c>
      <c r="C43">
        <v>7.5</v>
      </c>
      <c r="D43" t="s">
        <v>84</v>
      </c>
      <c r="E43" t="s">
        <v>3</v>
      </c>
      <c r="F43" s="3">
        <v>8.9809779297667564E-2</v>
      </c>
      <c r="G43" s="3">
        <v>2.5999999999999999E-2</v>
      </c>
      <c r="H43" s="3">
        <v>2.5999999999999999E-2</v>
      </c>
      <c r="I43" s="3">
        <v>8.5000000000000006E-2</v>
      </c>
      <c r="J43" s="3">
        <v>24.289173334126499</v>
      </c>
      <c r="K43" s="3">
        <v>7.0000000000000007E-2</v>
      </c>
      <c r="L43" s="2">
        <f>Base[[#This Row],[Coût]]*Base[[#This Row],[Part_ménages_dépenses_santé]]</f>
        <v>1.7002421333888551</v>
      </c>
      <c r="M43" s="2">
        <v>0.99784170771638514</v>
      </c>
      <c r="N43" s="6">
        <v>27700000</v>
      </c>
      <c r="O43" s="7">
        <f>Base[[#This Row],[Coût_salarié]]*10^9*Base[[#This Row],[Risque]]*Base[[#This Row],[Prévalence]]*Base[[#This Row],[Part_coûts_salarié]]/Base[[#This Row],[Population_emploi]]</f>
        <v>0.14301764905993752</v>
      </c>
      <c r="P43">
        <v>50</v>
      </c>
      <c r="Q43">
        <v>50</v>
      </c>
      <c r="R43" s="2">
        <v>9.9999999999999978E-2</v>
      </c>
      <c r="S43" s="2">
        <v>0.33340000000000003</v>
      </c>
      <c r="T43" s="4">
        <v>2.5999999999999999E-2</v>
      </c>
      <c r="U43" s="4">
        <f>IF(Bases_annexes!$F$5=0,16.6587111018772,0.77*Bases_annexes!$F$5/(IF(OR(ISBLANK('Données_d''entrée'!$E$44),'Données_d''entrée'!$E$44=0),35,'Données_d''entrée'!$E$44)*52))</f>
        <v>16.658711101877199</v>
      </c>
      <c r="V43" s="4">
        <v>22.173118639135399</v>
      </c>
      <c r="W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3" s="4">
        <v>234.5</v>
      </c>
      <c r="Y43" s="4">
        <f>(Base[[#This Row],['[Maladies']Coûts_évités_par_salarié]]+Base[[#This Row],['[Travail']Coûts_évités_par_salarié]])/Base[[#This Row],[Budget_santé_salarié]]</f>
        <v>6.3196889299024783E-3</v>
      </c>
      <c r="Z43" s="4">
        <v>0.8</v>
      </c>
      <c r="AA43" s="4">
        <f>Base[[#This Row],[Coût]]*Base[[#This Row],[Part_société_dépenses_santé]]</f>
        <v>19.431338667301201</v>
      </c>
      <c r="AB43" s="4">
        <v>67635124</v>
      </c>
      <c r="AC43" s="4">
        <v>82.297079063317852</v>
      </c>
      <c r="AD43" s="4">
        <v>2.5999999999999999E-2</v>
      </c>
      <c r="AE43" s="4">
        <f>Base[[#This Row],['[SC']Prévalence_travail]]*Base[[#This Row],[Population_emploi]]</f>
        <v>720200</v>
      </c>
      <c r="AF43" s="4">
        <f>Base[[#This Row],[Risque]]*Base[[#This Row],['[SC']Patients_en_emploi]]</f>
        <v>64681.003050180181</v>
      </c>
      <c r="AG43" s="4">
        <v>1257615774.8399999</v>
      </c>
      <c r="AH43" s="4">
        <f>IFERROR(Base[[#This Row],['[SC']Prestations]]/Base[[#This Row],['[SC']Patients_en_emploi]],0)</f>
        <v>1746.203519633435</v>
      </c>
      <c r="AI43" s="4">
        <v>51.7</v>
      </c>
      <c r="AJ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3" s="4">
        <f>Base[[#This Row],['[SC']'[Travail']Coûts_évités]]/Base[[#This Row],[Population_emploi]]</f>
        <v>4.0774799703843172</v>
      </c>
      <c r="AL43" s="4">
        <f>Base[[#This Row],[Coût_société]]*10^9*Base[[#This Row],[Risque]]*Base[[#This Row],[Prévalence]]*Base[[#This Row],[Part_coûts_salarié]]/Base[[#This Row],[Population_emploi]]</f>
        <v>1.6344874178278568</v>
      </c>
      <c r="AM43" s="4">
        <f>IF(Base[[#This Row],[Pathologie]]&lt;&gt;"Dépendance",0,14909.24243952)</f>
        <v>0</v>
      </c>
      <c r="AN43" s="4">
        <f>IF(Base[[#This Row],[Pathologie]]&lt;&gt;"Dépendance",0,1316000)</f>
        <v>0</v>
      </c>
      <c r="AO43" s="4">
        <f>IF(Base[[#This Row],[Pathologie]]&lt;&gt;"Dépendance",0,Base[[#This Row],['[SC']Coût_personne_dépendante]]*Base[[#This Row],['[SC']Nb_personnes_dépendantes]])</f>
        <v>0</v>
      </c>
      <c r="AP43" s="4">
        <f>IF(Base[[#This Row],[Pathologie]]&lt;&gt;"Dépendance",0,Base[[#This Row],['[SC']Coût_total_dépendance]]/Base[[#This Row],[Population_totale]])</f>
        <v>0</v>
      </c>
      <c r="AQ43" s="4">
        <f>IF(Base[[#This Row],[Pathologie]]&lt;&gt;"Dépendance",0,4.5)</f>
        <v>0</v>
      </c>
      <c r="AR43" s="4">
        <v>0.50393265050357905</v>
      </c>
      <c r="AS43" s="4">
        <f>Base[[#This Row],[Espérance_vie]]+Base[[#This Row],['[SC']Hausse_esp_de_vie]]-Base[[#This Row],['[SC']Durée_moyenne_dépendance_avt]]+Base[[#This Row],[Risque]]</f>
        <v>82.890821493119105</v>
      </c>
      <c r="AT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" s="4">
        <v>62.9</v>
      </c>
      <c r="AW43" s="4">
        <f t="shared" si="0"/>
        <v>336905600000</v>
      </c>
      <c r="AX43" s="4">
        <v>15049171</v>
      </c>
      <c r="AY43" s="4">
        <f>Base[[#This Row],['[SC']Budget_total_retraites]]/Base[[#This Row],['[SC']Nombre_de_retraités]]</f>
        <v>22386.987296509556</v>
      </c>
      <c r="AZ43" s="4">
        <f>Base[[#This Row],['[SC']Budget_par_retraité]]*Base[[#This Row],['[SC']Nb_personnes_dépendantes]]</f>
        <v>0</v>
      </c>
      <c r="BA43" s="4">
        <f>Base[[#This Row],['[SC']'[Dépendance']Coût_retraite_personnes_dépendantes]]/Base[[#This Row],[Population_totale]]</f>
        <v>0</v>
      </c>
      <c r="BB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" s="4">
        <f>Base[[#This Row],['[SC']'[Dépendance']Gains]]-Base[[#This Row],['[SC']'[Dépendance']Coûts]]</f>
        <v>0</v>
      </c>
      <c r="BD43" s="4">
        <f>IF(Base[[#This Row],[Pathologie]]&lt;&gt;"Mort prématurée",0,Base[[#This Row],[Risque]]*Base[[#This Row],[Prévalence]]*Base[[#This Row],[Population_totale]])</f>
        <v>0</v>
      </c>
      <c r="BE43" s="4">
        <v>52.74</v>
      </c>
      <c r="BF43" s="4">
        <f>Base[[#This Row],['[SC']Âge_moyen_retraite]]-Base[[#This Row],['[SC']'[Mort_prématurée']Âge_moyen_mort précoce]]</f>
        <v>10.159999999999997</v>
      </c>
      <c r="BG43" s="4">
        <f>Base[[#This Row],[Espérance_vie]]+Base[[#This Row],['[SC']Hausse_esp_de_vie]]-Base[[#This Row],['[SC']Âge_moyen_retraite]]</f>
        <v>19.90101171382144</v>
      </c>
      <c r="BH43" s="4">
        <v>106583.42676924677</v>
      </c>
      <c r="BI43" s="4">
        <v>97601.789429271477</v>
      </c>
      <c r="BJ43" s="4">
        <v>302038.31496633729</v>
      </c>
      <c r="BK43" s="4">
        <v>117293.58934859755</v>
      </c>
      <c r="BL43" s="4">
        <v>1523999.9999999995</v>
      </c>
      <c r="BM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3" s="4">
        <v>294804.96027377353</v>
      </c>
      <c r="BO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3" s="4">
        <f>(Base[[#This Row],['[SC']'[Mort_prématurée']Gains]]-Base[[#This Row],['[SC']'[Mort_prématurée']Coûts]])/Base[[#This Row],[Population_totale]]</f>
        <v>0</v>
      </c>
      <c r="BQ43" s="4">
        <f>IF(Base[[#This Row],[Pathologie]]&lt;&gt;"Mort prématurée",0,Base[[#This Row],[Risque]])</f>
        <v>0</v>
      </c>
      <c r="BR43" s="4">
        <v>2680</v>
      </c>
      <c r="BS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3" s="4">
        <f>Base[[#This Row],[Prévalence_prod]]*(1-Base[[#This Row],[Risque]])*Base[[#This Row],[Durée_arrêt]]*Base[[#This Row],[Population_emploi]]</f>
        <v>14534900.489575392</v>
      </c>
      <c r="BV43" s="4">
        <f>Base[[#This Row],['[Prod']'[Absentéisme']Total_jours_absence_avant]]-Base[[#This Row],['[Prod']'[Absentéisme']Total_jours_absence_après]]</f>
        <v>1434179.5543299224</v>
      </c>
      <c r="BW43" s="4">
        <f>IF(AND(Base[[#This Row],[Pathologie]]&lt;&gt;"Dépendance",Base[[#This Row],[Pathologie]]&lt;&gt;"Mort prématurée",Base[[#This Row],[Pathologie]]&lt;&gt;"Migraine"),0.0619,0)</f>
        <v>6.1899999999999997E-2</v>
      </c>
      <c r="BX43" s="4">
        <v>254</v>
      </c>
      <c r="BY43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3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3" s="4">
        <f>Base[[#This Row],[Prévalence_prod]]*Base[[#This Row],[Présentéisme]]*Base[[#This Row],['[Prod']Jours_ouvrés]]</f>
        <v>0.56134000000000006</v>
      </c>
      <c r="CB43" s="4">
        <f>Base[[#This Row],[Prévalence_prod]]*(1-Base[[#This Row],[Risque]])*Base[[#This Row],[Présentéisme]]*Base[[#This Row],['[Prod']Jours_ouvrés]]</f>
        <v>0.51092617848904731</v>
      </c>
      <c r="CC43" s="4">
        <f>Base[[#This Row],['[Prod']'[Présentéisme']Jours_avant]]-Base[[#This Row],['[Prod']'[Présentéisme']Jours_après]]</f>
        <v>5.041382151095275E-2</v>
      </c>
      <c r="CD43" s="4">
        <f>Base[[#This Row],['[Prod']'[Présentéisme']Jours_gagnés]]/Base[[#This Row],['[Prod']Jours_ouvrés]]</f>
        <v>1.9847961224784546E-4</v>
      </c>
      <c r="CE43">
        <v>5.8333039429220801E-2</v>
      </c>
      <c r="CF43">
        <v>1.4658164114728258E-2</v>
      </c>
      <c r="CG43" s="4">
        <v>11</v>
      </c>
      <c r="CH43" s="4">
        <v>0.96913802401210614</v>
      </c>
      <c r="CI43" s="4">
        <v>0.10293966445307301</v>
      </c>
      <c r="CJ43" s="4">
        <f>IF(Base[[#This Row],[Secteur]]&lt;&gt;"Moyenne",Base[[#This Row],['[Prod']'[Turnover']DMC_initiale]]*(1+Base[[#This Row],['[Prod']'[Turnover']Ecart_accidents]]*Base[[#This Row],['[Prod']Impact_motifs_turnover]]),CJ26*CI26+CJ27*CI27+CJ28*CI28+CJ29*CI29+CJ30*CI30+CJ31*CI31+CJ32*CI32+CJ33*CI33+CJ34*CI34+CJ35*CI35+CJ36*CI36+CJ37*CI37+CJ38*CI38+CJ39*CI39+CJ40*CI40+CJ41*CI41+CJ42*CI42)</f>
        <v>11.156263626263723</v>
      </c>
      <c r="CK43" s="4">
        <f>1/Base[[#This Row],['[Prod']'[Turnover']DMC_initiale]]</f>
        <v>9.0909090909090912E-2</v>
      </c>
      <c r="CL43" s="4">
        <f>1/Base[[#This Row],['[Prod']'[Turnover']DMC_finale]]</f>
        <v>8.9635744860477456E-2</v>
      </c>
    </row>
    <row r="44" spans="2:90" x14ac:dyDescent="0.25">
      <c r="B44" s="4" t="s">
        <v>324</v>
      </c>
      <c r="C44">
        <v>7.5</v>
      </c>
      <c r="D44" t="s">
        <v>84</v>
      </c>
      <c r="E44" t="s">
        <v>3</v>
      </c>
      <c r="F44" s="3">
        <v>8.9809779297667564E-2</v>
      </c>
      <c r="G44" s="3">
        <v>2.5999999999999999E-2</v>
      </c>
      <c r="H44" s="3">
        <v>2.5999999999999999E-2</v>
      </c>
      <c r="I44" s="3">
        <v>8.5000000000000006E-2</v>
      </c>
      <c r="J44" s="3">
        <v>24.289173334126499</v>
      </c>
      <c r="K44" s="3">
        <v>7.0000000000000007E-2</v>
      </c>
      <c r="L44" s="2">
        <f>Base[[#This Row],[Coût]]*Base[[#This Row],[Part_ménages_dépenses_santé]]</f>
        <v>1.7002421333888551</v>
      </c>
      <c r="M44" s="2">
        <v>0.99784170771638514</v>
      </c>
      <c r="N44" s="6">
        <v>27700000</v>
      </c>
      <c r="O44" s="7">
        <f>Base[[#This Row],[Coût_salarié]]*10^9*Base[[#This Row],[Risque]]*Base[[#This Row],[Prévalence]]*Base[[#This Row],[Part_coûts_salarié]]/Base[[#This Row],[Population_emploi]]</f>
        <v>0.14301764905993752</v>
      </c>
      <c r="P44">
        <v>50</v>
      </c>
      <c r="Q44">
        <v>50</v>
      </c>
      <c r="R44" s="2">
        <v>9.9999999999999978E-2</v>
      </c>
      <c r="S44" s="2">
        <v>0.33340000000000003</v>
      </c>
      <c r="T44" s="4">
        <v>2.5999999999999999E-2</v>
      </c>
      <c r="U44" s="4">
        <f>IF(Bases_annexes!$F$5=0,16.6587111018772,0.77*Bases_annexes!$F$5/(IF(OR(ISBLANK('Données_d''entrée'!$E$44),'Données_d''entrée'!$E$44=0),35,'Données_d''entrée'!$E$44)*52))</f>
        <v>16.658711101877199</v>
      </c>
      <c r="V44" s="4">
        <v>22.173118639135399</v>
      </c>
      <c r="W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4" s="4">
        <v>234.5</v>
      </c>
      <c r="Y44" s="4">
        <f>(Base[[#This Row],['[Maladies']Coûts_évités_par_salarié]]+Base[[#This Row],['[Travail']Coûts_évités_par_salarié]])/Base[[#This Row],[Budget_santé_salarié]]</f>
        <v>6.3196889299024783E-3</v>
      </c>
      <c r="Z44" s="4">
        <v>0.8</v>
      </c>
      <c r="AA44" s="4">
        <f>Base[[#This Row],[Coût]]*Base[[#This Row],[Part_société_dépenses_santé]]</f>
        <v>19.431338667301201</v>
      </c>
      <c r="AB44" s="4">
        <v>67635124</v>
      </c>
      <c r="AC44" s="4">
        <v>82.297079063317852</v>
      </c>
      <c r="AD44" s="4">
        <v>2.5999999999999999E-2</v>
      </c>
      <c r="AE44" s="4">
        <f>Base[[#This Row],['[SC']Prévalence_travail]]*Base[[#This Row],[Population_emploi]]</f>
        <v>720200</v>
      </c>
      <c r="AF44" s="4">
        <f>Base[[#This Row],[Risque]]*Base[[#This Row],['[SC']Patients_en_emploi]]</f>
        <v>64681.003050180181</v>
      </c>
      <c r="AG44" s="4">
        <v>1257615774.8399999</v>
      </c>
      <c r="AH44" s="4">
        <f>IFERROR(Base[[#This Row],['[SC']Prestations]]/Base[[#This Row],['[SC']Patients_en_emploi]],0)</f>
        <v>1746.203519633435</v>
      </c>
      <c r="AI44" s="4">
        <v>51.7</v>
      </c>
      <c r="AJ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4" s="4">
        <f>Base[[#This Row],['[SC']'[Travail']Coûts_évités]]/Base[[#This Row],[Population_emploi]]</f>
        <v>4.0774799703843172</v>
      </c>
      <c r="AL44" s="4">
        <f>Base[[#This Row],[Coût_société]]*10^9*Base[[#This Row],[Risque]]*Base[[#This Row],[Prévalence]]*Base[[#This Row],[Part_coûts_salarié]]/Base[[#This Row],[Population_emploi]]</f>
        <v>1.6344874178278568</v>
      </c>
      <c r="AM44" s="4">
        <f>IF(Base[[#This Row],[Pathologie]]&lt;&gt;"Dépendance",0,14909.24243952)</f>
        <v>0</v>
      </c>
      <c r="AN44" s="4">
        <f>IF(Base[[#This Row],[Pathologie]]&lt;&gt;"Dépendance",0,1316000)</f>
        <v>0</v>
      </c>
      <c r="AO44" s="4">
        <f>IF(Base[[#This Row],[Pathologie]]&lt;&gt;"Dépendance",0,Base[[#This Row],['[SC']Coût_personne_dépendante]]*Base[[#This Row],['[SC']Nb_personnes_dépendantes]])</f>
        <v>0</v>
      </c>
      <c r="AP44" s="4">
        <f>IF(Base[[#This Row],[Pathologie]]&lt;&gt;"Dépendance",0,Base[[#This Row],['[SC']Coût_total_dépendance]]/Base[[#This Row],[Population_totale]])</f>
        <v>0</v>
      </c>
      <c r="AQ44" s="4">
        <f>IF(Base[[#This Row],[Pathologie]]&lt;&gt;"Dépendance",0,4.5)</f>
        <v>0</v>
      </c>
      <c r="AR44" s="4">
        <v>0.50393265050357905</v>
      </c>
      <c r="AS44" s="4">
        <f>Base[[#This Row],[Espérance_vie]]+Base[[#This Row],['[SC']Hausse_esp_de_vie]]-Base[[#This Row],['[SC']Durée_moyenne_dépendance_avt]]+Base[[#This Row],[Risque]]</f>
        <v>82.890821493119105</v>
      </c>
      <c r="AT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" s="4">
        <v>62.9</v>
      </c>
      <c r="AW44" s="4">
        <f t="shared" si="0"/>
        <v>336905600000</v>
      </c>
      <c r="AX44" s="4">
        <v>15049171</v>
      </c>
      <c r="AY44" s="4">
        <f>Base[[#This Row],['[SC']Budget_total_retraites]]/Base[[#This Row],['[SC']Nombre_de_retraités]]</f>
        <v>22386.987296509556</v>
      </c>
      <c r="AZ44" s="4">
        <f>Base[[#This Row],['[SC']Budget_par_retraité]]*Base[[#This Row],['[SC']Nb_personnes_dépendantes]]</f>
        <v>0</v>
      </c>
      <c r="BA44" s="4">
        <f>Base[[#This Row],['[SC']'[Dépendance']Coût_retraite_personnes_dépendantes]]/Base[[#This Row],[Population_totale]]</f>
        <v>0</v>
      </c>
      <c r="BB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" s="4">
        <f>Base[[#This Row],['[SC']'[Dépendance']Gains]]-Base[[#This Row],['[SC']'[Dépendance']Coûts]]</f>
        <v>0</v>
      </c>
      <c r="BD44" s="4">
        <f>IF(Base[[#This Row],[Pathologie]]&lt;&gt;"Mort prématurée",0,Base[[#This Row],[Risque]]*Base[[#This Row],[Prévalence]]*Base[[#This Row],[Population_totale]])</f>
        <v>0</v>
      </c>
      <c r="BE44" s="4">
        <v>52.74</v>
      </c>
      <c r="BF44" s="4">
        <f>Base[[#This Row],['[SC']Âge_moyen_retraite]]-Base[[#This Row],['[SC']'[Mort_prématurée']Âge_moyen_mort précoce]]</f>
        <v>10.159999999999997</v>
      </c>
      <c r="BG44" s="4">
        <f>Base[[#This Row],[Espérance_vie]]+Base[[#This Row],['[SC']Hausse_esp_de_vie]]-Base[[#This Row],['[SC']Âge_moyen_retraite]]</f>
        <v>19.90101171382144</v>
      </c>
      <c r="BH44" s="4">
        <v>106583.42676924677</v>
      </c>
      <c r="BI44" s="4">
        <v>97601.789429271477</v>
      </c>
      <c r="BJ44" s="4">
        <v>302038.31496633729</v>
      </c>
      <c r="BK44" s="4">
        <v>117293.58934859755</v>
      </c>
      <c r="BL44" s="4">
        <v>1523999.9999999995</v>
      </c>
      <c r="BM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4" s="4">
        <v>294804.96027377353</v>
      </c>
      <c r="BO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4" s="4">
        <f>(Base[[#This Row],['[SC']'[Mort_prématurée']Gains]]-Base[[#This Row],['[SC']'[Mort_prématurée']Coûts]])/Base[[#This Row],[Population_totale]]</f>
        <v>0</v>
      </c>
      <c r="BQ44" s="4">
        <f>IF(Base[[#This Row],[Pathologie]]&lt;&gt;"Mort prématurée",0,Base[[#This Row],[Risque]])</f>
        <v>0</v>
      </c>
      <c r="BR44" s="4">
        <v>2680</v>
      </c>
      <c r="BS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4" s="4">
        <f>Base[[#This Row],[Prévalence_prod]]*(1-Base[[#This Row],[Risque]])*Base[[#This Row],[Durée_arrêt]]*Base[[#This Row],[Population_emploi]]</f>
        <v>14534900.489575392</v>
      </c>
      <c r="BV44" s="4">
        <f>Base[[#This Row],['[Prod']'[Absentéisme']Total_jours_absence_avant]]-Base[[#This Row],['[Prod']'[Absentéisme']Total_jours_absence_après]]</f>
        <v>1434179.5543299224</v>
      </c>
      <c r="BW44" s="4">
        <f>IF(AND(Base[[#This Row],[Pathologie]]&lt;&gt;"Dépendance",Base[[#This Row],[Pathologie]]&lt;&gt;"Mort prématurée",Base[[#This Row],[Pathologie]]&lt;&gt;"Migraine"),0.0619,0)</f>
        <v>6.1899999999999997E-2</v>
      </c>
      <c r="BX44" s="4">
        <v>254</v>
      </c>
      <c r="BY44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4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4" s="4">
        <f>Base[[#This Row],[Prévalence_prod]]*Base[[#This Row],[Présentéisme]]*Base[[#This Row],['[Prod']Jours_ouvrés]]</f>
        <v>0.56134000000000006</v>
      </c>
      <c r="CB44" s="4">
        <f>Base[[#This Row],[Prévalence_prod]]*(1-Base[[#This Row],[Risque]])*Base[[#This Row],[Présentéisme]]*Base[[#This Row],['[Prod']Jours_ouvrés]]</f>
        <v>0.51092617848904731</v>
      </c>
      <c r="CC44" s="4">
        <f>Base[[#This Row],['[Prod']'[Présentéisme']Jours_avant]]-Base[[#This Row],['[Prod']'[Présentéisme']Jours_après]]</f>
        <v>5.041382151095275E-2</v>
      </c>
      <c r="CD44" s="4">
        <f>Base[[#This Row],['[Prod']'[Présentéisme']Jours_gagnés]]/Base[[#This Row],['[Prod']Jours_ouvrés]]</f>
        <v>1.9847961224784546E-4</v>
      </c>
      <c r="CE44">
        <v>5.8333039429220801E-2</v>
      </c>
      <c r="CF44">
        <v>1.4658164114728258E-2</v>
      </c>
      <c r="CG44" s="4">
        <v>11</v>
      </c>
      <c r="CH44" s="4">
        <v>1.3987208237662601</v>
      </c>
      <c r="CI44" s="4">
        <v>2.1768516166491274E-2</v>
      </c>
      <c r="CJ44" s="4">
        <f>IF(Base[[#This Row],[Secteur]]&lt;&gt;"Moyenne",Base[[#This Row],['[Prod']'[Turnover']DMC_initiale]]*(1+Base[[#This Row],['[Prod']'[Turnover']Ecart_accidents]]*Base[[#This Row],['[Prod']Impact_motifs_turnover]]),CJ27*CI27+CJ28*CI28+CJ29*CI29+CJ30*CI30+CJ31*CI31+CJ32*CI32+CJ33*CI33+CJ34*CI34+CJ35*CI35+CJ36*CI36+CJ37*CI37+CJ38*CI38+CJ39*CI39+CJ40*CI40+CJ41*CI41+CJ42*CI42+CJ43*CI43)</f>
        <v>11.225529473239991</v>
      </c>
      <c r="CK44" s="4">
        <f>1/Base[[#This Row],['[Prod']'[Turnover']DMC_initiale]]</f>
        <v>9.0909090909090912E-2</v>
      </c>
      <c r="CL44" s="4">
        <f>1/Base[[#This Row],['[Prod']'[Turnover']DMC_finale]]</f>
        <v>8.9082657738670828E-2</v>
      </c>
    </row>
    <row r="45" spans="2:90" x14ac:dyDescent="0.25">
      <c r="B45" s="4" t="s">
        <v>325</v>
      </c>
      <c r="C45">
        <v>7.5</v>
      </c>
      <c r="D45" t="s">
        <v>84</v>
      </c>
      <c r="E45" t="s">
        <v>3</v>
      </c>
      <c r="F45" s="3">
        <v>8.9809779297667564E-2</v>
      </c>
      <c r="G45" s="3">
        <v>2.5999999999999999E-2</v>
      </c>
      <c r="H45" s="3">
        <v>2.5999999999999999E-2</v>
      </c>
      <c r="I45" s="3">
        <v>8.5000000000000006E-2</v>
      </c>
      <c r="J45" s="3">
        <v>24.289173334126499</v>
      </c>
      <c r="K45" s="3">
        <v>7.0000000000000007E-2</v>
      </c>
      <c r="L45" s="2">
        <f>Base[[#This Row],[Coût]]*Base[[#This Row],[Part_ménages_dépenses_santé]]</f>
        <v>1.7002421333888551</v>
      </c>
      <c r="M45" s="2">
        <v>0.99784170771638514</v>
      </c>
      <c r="N45" s="6">
        <v>27700000</v>
      </c>
      <c r="O45" s="7">
        <f>Base[[#This Row],[Coût_salarié]]*10^9*Base[[#This Row],[Risque]]*Base[[#This Row],[Prévalence]]*Base[[#This Row],[Part_coûts_salarié]]/Base[[#This Row],[Population_emploi]]</f>
        <v>0.14301764905993752</v>
      </c>
      <c r="P45">
        <v>50</v>
      </c>
      <c r="Q45">
        <v>50</v>
      </c>
      <c r="R45" s="2">
        <v>9.9999999999999978E-2</v>
      </c>
      <c r="S45" s="2">
        <v>0.33340000000000003</v>
      </c>
      <c r="T45" s="4">
        <v>2.5999999999999999E-2</v>
      </c>
      <c r="U45" s="4">
        <f>IF(Bases_annexes!$F$5=0,16.6587111018772,0.77*Bases_annexes!$F$5/(IF(OR(ISBLANK('Données_d''entrée'!$E$44),'Données_d''entrée'!$E$44=0),35,'Données_d''entrée'!$E$44)*52))</f>
        <v>16.658711101877199</v>
      </c>
      <c r="V45" s="4">
        <v>22.173118639135399</v>
      </c>
      <c r="W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5" s="4">
        <v>234.5</v>
      </c>
      <c r="Y45" s="4">
        <f>(Base[[#This Row],['[Maladies']Coûts_évités_par_salarié]]+Base[[#This Row],['[Travail']Coûts_évités_par_salarié]])/Base[[#This Row],[Budget_santé_salarié]]</f>
        <v>6.3196889299024783E-3</v>
      </c>
      <c r="Z45" s="4">
        <v>0.8</v>
      </c>
      <c r="AA45" s="4">
        <f>Base[[#This Row],[Coût]]*Base[[#This Row],[Part_société_dépenses_santé]]</f>
        <v>19.431338667301201</v>
      </c>
      <c r="AB45" s="4">
        <v>67635124</v>
      </c>
      <c r="AC45" s="4">
        <v>82.297079063317852</v>
      </c>
      <c r="AD45" s="4">
        <v>2.5999999999999999E-2</v>
      </c>
      <c r="AE45" s="4">
        <f>Base[[#This Row],['[SC']Prévalence_travail]]*Base[[#This Row],[Population_emploi]]</f>
        <v>720200</v>
      </c>
      <c r="AF45" s="4">
        <f>Base[[#This Row],[Risque]]*Base[[#This Row],['[SC']Patients_en_emploi]]</f>
        <v>64681.003050180181</v>
      </c>
      <c r="AG45" s="4">
        <v>1257615774.8399999</v>
      </c>
      <c r="AH45" s="4">
        <f>IFERROR(Base[[#This Row],['[SC']Prestations]]/Base[[#This Row],['[SC']Patients_en_emploi]],0)</f>
        <v>1746.203519633435</v>
      </c>
      <c r="AI45" s="4">
        <v>51.7</v>
      </c>
      <c r="AJ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5" s="4">
        <f>Base[[#This Row],['[SC']'[Travail']Coûts_évités]]/Base[[#This Row],[Population_emploi]]</f>
        <v>4.0774799703843172</v>
      </c>
      <c r="AL45" s="4">
        <f>Base[[#This Row],[Coût_société]]*10^9*Base[[#This Row],[Risque]]*Base[[#This Row],[Prévalence]]*Base[[#This Row],[Part_coûts_salarié]]/Base[[#This Row],[Population_emploi]]</f>
        <v>1.6344874178278568</v>
      </c>
      <c r="AM45" s="4">
        <f>IF(Base[[#This Row],[Pathologie]]&lt;&gt;"Dépendance",0,14909.24243952)</f>
        <v>0</v>
      </c>
      <c r="AN45" s="4">
        <f>IF(Base[[#This Row],[Pathologie]]&lt;&gt;"Dépendance",0,1316000)</f>
        <v>0</v>
      </c>
      <c r="AO45" s="4">
        <f>IF(Base[[#This Row],[Pathologie]]&lt;&gt;"Dépendance",0,Base[[#This Row],['[SC']Coût_personne_dépendante]]*Base[[#This Row],['[SC']Nb_personnes_dépendantes]])</f>
        <v>0</v>
      </c>
      <c r="AP45" s="4">
        <f>IF(Base[[#This Row],[Pathologie]]&lt;&gt;"Dépendance",0,Base[[#This Row],['[SC']Coût_total_dépendance]]/Base[[#This Row],[Population_totale]])</f>
        <v>0</v>
      </c>
      <c r="AQ45" s="4">
        <f>IF(Base[[#This Row],[Pathologie]]&lt;&gt;"Dépendance",0,4.5)</f>
        <v>0</v>
      </c>
      <c r="AR45" s="4">
        <v>0.50393265050357905</v>
      </c>
      <c r="AS45" s="4">
        <f>Base[[#This Row],[Espérance_vie]]+Base[[#This Row],['[SC']Hausse_esp_de_vie]]-Base[[#This Row],['[SC']Durée_moyenne_dépendance_avt]]+Base[[#This Row],[Risque]]</f>
        <v>82.890821493119105</v>
      </c>
      <c r="AT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" s="4">
        <v>62.9</v>
      </c>
      <c r="AW45" s="4">
        <f t="shared" si="0"/>
        <v>336905600000</v>
      </c>
      <c r="AX45" s="4">
        <v>15049171</v>
      </c>
      <c r="AY45" s="4">
        <f>Base[[#This Row],['[SC']Budget_total_retraites]]/Base[[#This Row],['[SC']Nombre_de_retraités]]</f>
        <v>22386.987296509556</v>
      </c>
      <c r="AZ45" s="4">
        <f>Base[[#This Row],['[SC']Budget_par_retraité]]*Base[[#This Row],['[SC']Nb_personnes_dépendantes]]</f>
        <v>0</v>
      </c>
      <c r="BA45" s="4">
        <f>Base[[#This Row],['[SC']'[Dépendance']Coût_retraite_personnes_dépendantes]]/Base[[#This Row],[Population_totale]]</f>
        <v>0</v>
      </c>
      <c r="BB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" s="4">
        <f>Base[[#This Row],['[SC']'[Dépendance']Gains]]-Base[[#This Row],['[SC']'[Dépendance']Coûts]]</f>
        <v>0</v>
      </c>
      <c r="BD45" s="4">
        <f>IF(Base[[#This Row],[Pathologie]]&lt;&gt;"Mort prématurée",0,Base[[#This Row],[Risque]]*Base[[#This Row],[Prévalence]]*Base[[#This Row],[Population_totale]])</f>
        <v>0</v>
      </c>
      <c r="BE45" s="4">
        <v>52.74</v>
      </c>
      <c r="BF45" s="4">
        <f>Base[[#This Row],['[SC']Âge_moyen_retraite]]-Base[[#This Row],['[SC']'[Mort_prématurée']Âge_moyen_mort précoce]]</f>
        <v>10.159999999999997</v>
      </c>
      <c r="BG45" s="4">
        <f>Base[[#This Row],[Espérance_vie]]+Base[[#This Row],['[SC']Hausse_esp_de_vie]]-Base[[#This Row],['[SC']Âge_moyen_retraite]]</f>
        <v>19.90101171382144</v>
      </c>
      <c r="BH45" s="4">
        <v>106583.42676924677</v>
      </c>
      <c r="BI45" s="4">
        <v>97601.789429271477</v>
      </c>
      <c r="BJ45" s="4">
        <v>302038.31496633729</v>
      </c>
      <c r="BK45" s="4">
        <v>117293.58934859755</v>
      </c>
      <c r="BL45" s="4">
        <v>1523999.9999999995</v>
      </c>
      <c r="BM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" s="4">
        <v>294804.96027377353</v>
      </c>
      <c r="BO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" s="4">
        <f>(Base[[#This Row],['[SC']'[Mort_prématurée']Gains]]-Base[[#This Row],['[SC']'[Mort_prématurée']Coûts]])/Base[[#This Row],[Population_totale]]</f>
        <v>0</v>
      </c>
      <c r="BQ45" s="4">
        <f>IF(Base[[#This Row],[Pathologie]]&lt;&gt;"Mort prématurée",0,Base[[#This Row],[Risque]])</f>
        <v>0</v>
      </c>
      <c r="BR45" s="4">
        <v>2680</v>
      </c>
      <c r="BS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5" s="4">
        <f>Base[[#This Row],[Prévalence_prod]]*(1-Base[[#This Row],[Risque]])*Base[[#This Row],[Durée_arrêt]]*Base[[#This Row],[Population_emploi]]</f>
        <v>14534900.489575392</v>
      </c>
      <c r="BV45" s="4">
        <f>Base[[#This Row],['[Prod']'[Absentéisme']Total_jours_absence_avant]]-Base[[#This Row],['[Prod']'[Absentéisme']Total_jours_absence_après]]</f>
        <v>1434179.5543299224</v>
      </c>
      <c r="BW45" s="4">
        <f>IF(AND(Base[[#This Row],[Pathologie]]&lt;&gt;"Dépendance",Base[[#This Row],[Pathologie]]&lt;&gt;"Mort prématurée",Base[[#This Row],[Pathologie]]&lt;&gt;"Migraine"),0.0619,0)</f>
        <v>6.1899999999999997E-2</v>
      </c>
      <c r="BX45" s="4">
        <v>254</v>
      </c>
      <c r="BY45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5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5" s="4">
        <f>Base[[#This Row],[Prévalence_prod]]*Base[[#This Row],[Présentéisme]]*Base[[#This Row],['[Prod']Jours_ouvrés]]</f>
        <v>0.56134000000000006</v>
      </c>
      <c r="CB45" s="4">
        <f>Base[[#This Row],[Prévalence_prod]]*(1-Base[[#This Row],[Risque]])*Base[[#This Row],[Présentéisme]]*Base[[#This Row],['[Prod']Jours_ouvrés]]</f>
        <v>0.51092617848904731</v>
      </c>
      <c r="CC45" s="4">
        <f>Base[[#This Row],['[Prod']'[Présentéisme']Jours_avant]]-Base[[#This Row],['[Prod']'[Présentéisme']Jours_après]]</f>
        <v>5.041382151095275E-2</v>
      </c>
      <c r="CD45" s="4">
        <f>Base[[#This Row],['[Prod']'[Présentéisme']Jours_gagnés]]/Base[[#This Row],['[Prod']Jours_ouvrés]]</f>
        <v>1.9847961224784546E-4</v>
      </c>
      <c r="CE45">
        <v>5.8333039429220801E-2</v>
      </c>
      <c r="CF45">
        <v>1.4658164114728258E-2</v>
      </c>
      <c r="CG45" s="4">
        <v>11</v>
      </c>
      <c r="CH45" s="4">
        <v>1.1624525375985588</v>
      </c>
      <c r="CI45" s="4">
        <v>3.7953151649308701E-2</v>
      </c>
      <c r="CJ45" s="4">
        <f>IF(Base[[#This Row],[Secteur]]&lt;&gt;"Moyenne",Base[[#This Row],['[Prod']'[Turnover']DMC_initiale]]*(1+Base[[#This Row],['[Prod']'[Turnover']Ecart_accidents]]*Base[[#This Row],['[Prod']Impact_motifs_turnover]]),CJ28*CI28+CJ29*CI29+CJ30*CI30+CJ31*CI31+CJ32*CI32+CJ33*CI33+CJ34*CI34+CJ35*CI35+CJ36*CI36+CJ37*CI37+CJ38*CI38+CJ39*CI39+CJ40*CI40+CJ41*CI41+CJ42*CI42+CJ43*CI43+CJ44*CI44)</f>
        <v>11.18743362078872</v>
      </c>
      <c r="CK45" s="4">
        <f>1/Base[[#This Row],['[Prod']'[Turnover']DMC_initiale]]</f>
        <v>9.0909090909090912E-2</v>
      </c>
      <c r="CL45" s="4">
        <f>1/Base[[#This Row],['[Prod']'[Turnover']DMC_finale]]</f>
        <v>8.9386005217655939E-2</v>
      </c>
    </row>
    <row r="46" spans="2:90" x14ac:dyDescent="0.25">
      <c r="B46" s="4" t="s">
        <v>326</v>
      </c>
      <c r="C46">
        <v>7.5</v>
      </c>
      <c r="D46" t="s">
        <v>84</v>
      </c>
      <c r="E46" t="s">
        <v>3</v>
      </c>
      <c r="F46" s="3">
        <v>8.9809779297667564E-2</v>
      </c>
      <c r="G46" s="3">
        <v>2.5999999999999999E-2</v>
      </c>
      <c r="H46" s="3">
        <v>2.5999999999999999E-2</v>
      </c>
      <c r="I46" s="3">
        <v>8.5000000000000006E-2</v>
      </c>
      <c r="J46" s="3">
        <v>24.289173334126499</v>
      </c>
      <c r="K46" s="3">
        <v>7.0000000000000007E-2</v>
      </c>
      <c r="L46" s="2">
        <f>Base[[#This Row],[Coût]]*Base[[#This Row],[Part_ménages_dépenses_santé]]</f>
        <v>1.7002421333888551</v>
      </c>
      <c r="M46" s="2">
        <v>0.99784170771638514</v>
      </c>
      <c r="N46" s="6">
        <v>27700000</v>
      </c>
      <c r="O46" s="7">
        <f>Base[[#This Row],[Coût_salarié]]*10^9*Base[[#This Row],[Risque]]*Base[[#This Row],[Prévalence]]*Base[[#This Row],[Part_coûts_salarié]]/Base[[#This Row],[Population_emploi]]</f>
        <v>0.14301764905993752</v>
      </c>
      <c r="P46">
        <v>50</v>
      </c>
      <c r="Q46">
        <v>50</v>
      </c>
      <c r="R46" s="2">
        <v>9.9999999999999978E-2</v>
      </c>
      <c r="S46" s="2">
        <v>0.33340000000000003</v>
      </c>
      <c r="T46" s="4">
        <v>2.5999999999999999E-2</v>
      </c>
      <c r="U46" s="4">
        <f>IF(Bases_annexes!$F$5=0,16.6587111018772,0.77*Bases_annexes!$F$5/(IF(OR(ISBLANK('Données_d''entrée'!$E$44),'Données_d''entrée'!$E$44=0),35,'Données_d''entrée'!$E$44)*52))</f>
        <v>16.658711101877199</v>
      </c>
      <c r="V46" s="4">
        <v>22.173118639135399</v>
      </c>
      <c r="W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6" s="4">
        <v>234.5</v>
      </c>
      <c r="Y46" s="4">
        <f>(Base[[#This Row],['[Maladies']Coûts_évités_par_salarié]]+Base[[#This Row],['[Travail']Coûts_évités_par_salarié]])/Base[[#This Row],[Budget_santé_salarié]]</f>
        <v>6.3196889299024783E-3</v>
      </c>
      <c r="Z46" s="4">
        <v>0.8</v>
      </c>
      <c r="AA46" s="4">
        <f>Base[[#This Row],[Coût]]*Base[[#This Row],[Part_société_dépenses_santé]]</f>
        <v>19.431338667301201</v>
      </c>
      <c r="AB46" s="4">
        <v>67635124</v>
      </c>
      <c r="AC46" s="4">
        <v>82.297079063317852</v>
      </c>
      <c r="AD46" s="4">
        <v>2.5999999999999999E-2</v>
      </c>
      <c r="AE46" s="4">
        <f>Base[[#This Row],['[SC']Prévalence_travail]]*Base[[#This Row],[Population_emploi]]</f>
        <v>720200</v>
      </c>
      <c r="AF46" s="4">
        <f>Base[[#This Row],[Risque]]*Base[[#This Row],['[SC']Patients_en_emploi]]</f>
        <v>64681.003050180181</v>
      </c>
      <c r="AG46" s="4">
        <v>1257615774.8399999</v>
      </c>
      <c r="AH46" s="4">
        <f>IFERROR(Base[[#This Row],['[SC']Prestations]]/Base[[#This Row],['[SC']Patients_en_emploi]],0)</f>
        <v>1746.203519633435</v>
      </c>
      <c r="AI46" s="4">
        <v>51.7</v>
      </c>
      <c r="AJ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6" s="4">
        <f>Base[[#This Row],['[SC']'[Travail']Coûts_évités]]/Base[[#This Row],[Population_emploi]]</f>
        <v>4.0774799703843172</v>
      </c>
      <c r="AL46" s="4">
        <f>Base[[#This Row],[Coût_société]]*10^9*Base[[#This Row],[Risque]]*Base[[#This Row],[Prévalence]]*Base[[#This Row],[Part_coûts_salarié]]/Base[[#This Row],[Population_emploi]]</f>
        <v>1.6344874178278568</v>
      </c>
      <c r="AM46" s="4">
        <f>IF(Base[[#This Row],[Pathologie]]&lt;&gt;"Dépendance",0,14909.24243952)</f>
        <v>0</v>
      </c>
      <c r="AN46" s="4">
        <f>IF(Base[[#This Row],[Pathologie]]&lt;&gt;"Dépendance",0,1316000)</f>
        <v>0</v>
      </c>
      <c r="AO46" s="4">
        <f>IF(Base[[#This Row],[Pathologie]]&lt;&gt;"Dépendance",0,Base[[#This Row],['[SC']Coût_personne_dépendante]]*Base[[#This Row],['[SC']Nb_personnes_dépendantes]])</f>
        <v>0</v>
      </c>
      <c r="AP46" s="4">
        <f>IF(Base[[#This Row],[Pathologie]]&lt;&gt;"Dépendance",0,Base[[#This Row],['[SC']Coût_total_dépendance]]/Base[[#This Row],[Population_totale]])</f>
        <v>0</v>
      </c>
      <c r="AQ46" s="4">
        <f>IF(Base[[#This Row],[Pathologie]]&lt;&gt;"Dépendance",0,4.5)</f>
        <v>0</v>
      </c>
      <c r="AR46" s="4">
        <v>0.50393265050357905</v>
      </c>
      <c r="AS46" s="4">
        <f>Base[[#This Row],[Espérance_vie]]+Base[[#This Row],['[SC']Hausse_esp_de_vie]]-Base[[#This Row],['[SC']Durée_moyenne_dépendance_avt]]+Base[[#This Row],[Risque]]</f>
        <v>82.890821493119105</v>
      </c>
      <c r="AT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" s="4">
        <v>62.9</v>
      </c>
      <c r="AW46" s="4">
        <f t="shared" si="0"/>
        <v>336905600000</v>
      </c>
      <c r="AX46" s="4">
        <v>15049171</v>
      </c>
      <c r="AY46" s="4">
        <f>Base[[#This Row],['[SC']Budget_total_retraites]]/Base[[#This Row],['[SC']Nombre_de_retraités]]</f>
        <v>22386.987296509556</v>
      </c>
      <c r="AZ46" s="4">
        <f>Base[[#This Row],['[SC']Budget_par_retraité]]*Base[[#This Row],['[SC']Nb_personnes_dépendantes]]</f>
        <v>0</v>
      </c>
      <c r="BA46" s="4">
        <f>Base[[#This Row],['[SC']'[Dépendance']Coût_retraite_personnes_dépendantes]]/Base[[#This Row],[Population_totale]]</f>
        <v>0</v>
      </c>
      <c r="BB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" s="4">
        <f>Base[[#This Row],['[SC']'[Dépendance']Gains]]-Base[[#This Row],['[SC']'[Dépendance']Coûts]]</f>
        <v>0</v>
      </c>
      <c r="BD46" s="4">
        <f>IF(Base[[#This Row],[Pathologie]]&lt;&gt;"Mort prématurée",0,Base[[#This Row],[Risque]]*Base[[#This Row],[Prévalence]]*Base[[#This Row],[Population_totale]])</f>
        <v>0</v>
      </c>
      <c r="BE46" s="4">
        <v>52.74</v>
      </c>
      <c r="BF46" s="4">
        <f>Base[[#This Row],['[SC']Âge_moyen_retraite]]-Base[[#This Row],['[SC']'[Mort_prématurée']Âge_moyen_mort précoce]]</f>
        <v>10.159999999999997</v>
      </c>
      <c r="BG46" s="4">
        <f>Base[[#This Row],[Espérance_vie]]+Base[[#This Row],['[SC']Hausse_esp_de_vie]]-Base[[#This Row],['[SC']Âge_moyen_retraite]]</f>
        <v>19.90101171382144</v>
      </c>
      <c r="BH46" s="4">
        <v>106583.42676924677</v>
      </c>
      <c r="BI46" s="4">
        <v>97601.789429271477</v>
      </c>
      <c r="BJ46" s="4">
        <v>302038.31496633729</v>
      </c>
      <c r="BK46" s="4">
        <v>117293.58934859755</v>
      </c>
      <c r="BL46" s="4">
        <v>1523999.9999999995</v>
      </c>
      <c r="BM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" s="4">
        <v>294804.96027377353</v>
      </c>
      <c r="BO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" s="4">
        <f>(Base[[#This Row],['[SC']'[Mort_prématurée']Gains]]-Base[[#This Row],['[SC']'[Mort_prématurée']Coûts]])/Base[[#This Row],[Population_totale]]</f>
        <v>0</v>
      </c>
      <c r="BQ46" s="4">
        <f>IF(Base[[#This Row],[Pathologie]]&lt;&gt;"Mort prématurée",0,Base[[#This Row],[Risque]])</f>
        <v>0</v>
      </c>
      <c r="BR46" s="4">
        <v>2680</v>
      </c>
      <c r="BS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6" s="4">
        <f>Base[[#This Row],[Prévalence_prod]]*(1-Base[[#This Row],[Risque]])*Base[[#This Row],[Durée_arrêt]]*Base[[#This Row],[Population_emploi]]</f>
        <v>14534900.489575392</v>
      </c>
      <c r="BV46" s="4">
        <f>Base[[#This Row],['[Prod']'[Absentéisme']Total_jours_absence_avant]]-Base[[#This Row],['[Prod']'[Absentéisme']Total_jours_absence_après]]</f>
        <v>1434179.5543299224</v>
      </c>
      <c r="BW46" s="4">
        <f>IF(AND(Base[[#This Row],[Pathologie]]&lt;&gt;"Dépendance",Base[[#This Row],[Pathologie]]&lt;&gt;"Mort prématurée",Base[[#This Row],[Pathologie]]&lt;&gt;"Migraine"),0.0619,0)</f>
        <v>6.1899999999999997E-2</v>
      </c>
      <c r="BX46" s="4">
        <v>254</v>
      </c>
      <c r="BY46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6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6" s="4">
        <f>Base[[#This Row],[Prévalence_prod]]*Base[[#This Row],[Présentéisme]]*Base[[#This Row],['[Prod']Jours_ouvrés]]</f>
        <v>0.56134000000000006</v>
      </c>
      <c r="CB46" s="4">
        <f>Base[[#This Row],[Prévalence_prod]]*(1-Base[[#This Row],[Risque]])*Base[[#This Row],[Présentéisme]]*Base[[#This Row],['[Prod']Jours_ouvrés]]</f>
        <v>0.51092617848904731</v>
      </c>
      <c r="CC46" s="4">
        <f>Base[[#This Row],['[Prod']'[Présentéisme']Jours_avant]]-Base[[#This Row],['[Prod']'[Présentéisme']Jours_après]]</f>
        <v>5.041382151095275E-2</v>
      </c>
      <c r="CD46" s="4">
        <f>Base[[#This Row],['[Prod']'[Présentéisme']Jours_gagnés]]/Base[[#This Row],['[Prod']Jours_ouvrés]]</f>
        <v>1.9847961224784546E-4</v>
      </c>
      <c r="CE46">
        <v>5.8333039429220801E-2</v>
      </c>
      <c r="CF46">
        <v>1.4658164114728258E-2</v>
      </c>
      <c r="CG46" s="4">
        <v>11</v>
      </c>
      <c r="CH46" s="4">
        <v>0.19346787829229528</v>
      </c>
      <c r="CI46" s="4">
        <v>2.8126549817953091E-2</v>
      </c>
      <c r="CJ46" s="4">
        <f>IF(Base[[#This Row],[Secteur]]&lt;&gt;"Moyenne",Base[[#This Row],['[Prod']'[Turnover']DMC_initiale]]*(1+Base[[#This Row],['[Prod']'[Turnover']Ecart_accidents]]*Base[[#This Row],['[Prod']Impact_motifs_turnover]]),CJ29*CI29+CJ30*CI30+CJ31*CI31+CJ32*CI32+CJ33*CI33+CJ34*CI34+CJ35*CI35+CJ36*CI36+CJ37*CI37+CJ38*CI38+CJ39*CI39+CJ40*CI40+CJ41*CI41+CJ42*CI42+CJ43*CI43+CJ44*CI44+CJ45*CI45)</f>
        <v>11.031194723020304</v>
      </c>
      <c r="CK46" s="4">
        <f>1/Base[[#This Row],['[Prod']'[Turnover']DMC_initiale]]</f>
        <v>9.0909090909090912E-2</v>
      </c>
      <c r="CL46" s="4">
        <f>1/Base[[#This Row],['[Prod']'[Turnover']DMC_finale]]</f>
        <v>9.065201232584201E-2</v>
      </c>
    </row>
    <row r="47" spans="2:90" x14ac:dyDescent="0.25">
      <c r="B47" s="4" t="s">
        <v>327</v>
      </c>
      <c r="C47">
        <v>7.5</v>
      </c>
      <c r="D47" t="s">
        <v>84</v>
      </c>
      <c r="E47" t="s">
        <v>3</v>
      </c>
      <c r="F47" s="3">
        <v>8.9809779297667564E-2</v>
      </c>
      <c r="G47" s="3">
        <v>2.5999999999999999E-2</v>
      </c>
      <c r="H47" s="3">
        <v>2.5999999999999999E-2</v>
      </c>
      <c r="I47" s="3">
        <v>8.5000000000000006E-2</v>
      </c>
      <c r="J47" s="3">
        <v>24.289173334126499</v>
      </c>
      <c r="K47" s="3">
        <v>7.0000000000000007E-2</v>
      </c>
      <c r="L47" s="2">
        <f>Base[[#This Row],[Coût]]*Base[[#This Row],[Part_ménages_dépenses_santé]]</f>
        <v>1.7002421333888551</v>
      </c>
      <c r="M47" s="2">
        <v>0.99784170771638514</v>
      </c>
      <c r="N47" s="6">
        <v>27700000</v>
      </c>
      <c r="O47" s="7">
        <f>Base[[#This Row],[Coût_salarié]]*10^9*Base[[#This Row],[Risque]]*Base[[#This Row],[Prévalence]]*Base[[#This Row],[Part_coûts_salarié]]/Base[[#This Row],[Population_emploi]]</f>
        <v>0.14301764905993752</v>
      </c>
      <c r="P47">
        <v>50</v>
      </c>
      <c r="Q47">
        <v>50</v>
      </c>
      <c r="R47" s="2">
        <v>9.9999999999999978E-2</v>
      </c>
      <c r="S47" s="2">
        <v>0.33340000000000003</v>
      </c>
      <c r="T47" s="4">
        <v>2.5999999999999999E-2</v>
      </c>
      <c r="U47" s="4">
        <f>IF(Bases_annexes!$F$5=0,16.6587111018772,0.77*Bases_annexes!$F$5/(IF(OR(ISBLANK('Données_d''entrée'!$E$44),'Données_d''entrée'!$E$44=0),35,'Données_d''entrée'!$E$44)*52))</f>
        <v>16.658711101877199</v>
      </c>
      <c r="V47" s="4">
        <v>22.173118639135399</v>
      </c>
      <c r="W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7" s="4">
        <v>234.5</v>
      </c>
      <c r="Y47" s="4">
        <f>(Base[[#This Row],['[Maladies']Coûts_évités_par_salarié]]+Base[[#This Row],['[Travail']Coûts_évités_par_salarié]])/Base[[#This Row],[Budget_santé_salarié]]</f>
        <v>6.3196889299024783E-3</v>
      </c>
      <c r="Z47" s="4">
        <v>0.8</v>
      </c>
      <c r="AA47" s="4">
        <f>Base[[#This Row],[Coût]]*Base[[#This Row],[Part_société_dépenses_santé]]</f>
        <v>19.431338667301201</v>
      </c>
      <c r="AB47" s="4">
        <v>67635124</v>
      </c>
      <c r="AC47" s="4">
        <v>82.297079063317852</v>
      </c>
      <c r="AD47" s="4">
        <v>2.5999999999999999E-2</v>
      </c>
      <c r="AE47" s="4">
        <f>Base[[#This Row],['[SC']Prévalence_travail]]*Base[[#This Row],[Population_emploi]]</f>
        <v>720200</v>
      </c>
      <c r="AF47" s="4">
        <f>Base[[#This Row],[Risque]]*Base[[#This Row],['[SC']Patients_en_emploi]]</f>
        <v>64681.003050180181</v>
      </c>
      <c r="AG47" s="4">
        <v>1257615774.8399999</v>
      </c>
      <c r="AH47" s="4">
        <f>IFERROR(Base[[#This Row],['[SC']Prestations]]/Base[[#This Row],['[SC']Patients_en_emploi]],0)</f>
        <v>1746.203519633435</v>
      </c>
      <c r="AI47" s="4">
        <v>51.7</v>
      </c>
      <c r="AJ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7" s="4">
        <f>Base[[#This Row],['[SC']'[Travail']Coûts_évités]]/Base[[#This Row],[Population_emploi]]</f>
        <v>4.0774799703843172</v>
      </c>
      <c r="AL47" s="4">
        <f>Base[[#This Row],[Coût_société]]*10^9*Base[[#This Row],[Risque]]*Base[[#This Row],[Prévalence]]*Base[[#This Row],[Part_coûts_salarié]]/Base[[#This Row],[Population_emploi]]</f>
        <v>1.6344874178278568</v>
      </c>
      <c r="AM47" s="4">
        <f>IF(Base[[#This Row],[Pathologie]]&lt;&gt;"Dépendance",0,14909.24243952)</f>
        <v>0</v>
      </c>
      <c r="AN47" s="4">
        <f>IF(Base[[#This Row],[Pathologie]]&lt;&gt;"Dépendance",0,1316000)</f>
        <v>0</v>
      </c>
      <c r="AO47" s="4">
        <f>IF(Base[[#This Row],[Pathologie]]&lt;&gt;"Dépendance",0,Base[[#This Row],['[SC']Coût_personne_dépendante]]*Base[[#This Row],['[SC']Nb_personnes_dépendantes]])</f>
        <v>0</v>
      </c>
      <c r="AP47" s="4">
        <f>IF(Base[[#This Row],[Pathologie]]&lt;&gt;"Dépendance",0,Base[[#This Row],['[SC']Coût_total_dépendance]]/Base[[#This Row],[Population_totale]])</f>
        <v>0</v>
      </c>
      <c r="AQ47" s="4">
        <f>IF(Base[[#This Row],[Pathologie]]&lt;&gt;"Dépendance",0,4.5)</f>
        <v>0</v>
      </c>
      <c r="AR47" s="4">
        <v>0.50393265050357905</v>
      </c>
      <c r="AS47" s="4">
        <f>Base[[#This Row],[Espérance_vie]]+Base[[#This Row],['[SC']Hausse_esp_de_vie]]-Base[[#This Row],['[SC']Durée_moyenne_dépendance_avt]]+Base[[#This Row],[Risque]]</f>
        <v>82.890821493119105</v>
      </c>
      <c r="AT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" s="4">
        <v>62.9</v>
      </c>
      <c r="AW47" s="4">
        <f t="shared" si="0"/>
        <v>336905600000</v>
      </c>
      <c r="AX47" s="4">
        <v>15049171</v>
      </c>
      <c r="AY47" s="4">
        <f>Base[[#This Row],['[SC']Budget_total_retraites]]/Base[[#This Row],['[SC']Nombre_de_retraités]]</f>
        <v>22386.987296509556</v>
      </c>
      <c r="AZ47" s="4">
        <f>Base[[#This Row],['[SC']Budget_par_retraité]]*Base[[#This Row],['[SC']Nb_personnes_dépendantes]]</f>
        <v>0</v>
      </c>
      <c r="BA47" s="4">
        <f>Base[[#This Row],['[SC']'[Dépendance']Coût_retraite_personnes_dépendantes]]/Base[[#This Row],[Population_totale]]</f>
        <v>0</v>
      </c>
      <c r="BB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" s="4">
        <f>Base[[#This Row],['[SC']'[Dépendance']Gains]]-Base[[#This Row],['[SC']'[Dépendance']Coûts]]</f>
        <v>0</v>
      </c>
      <c r="BD47" s="4">
        <f>IF(Base[[#This Row],[Pathologie]]&lt;&gt;"Mort prématurée",0,Base[[#This Row],[Risque]]*Base[[#This Row],[Prévalence]]*Base[[#This Row],[Population_totale]])</f>
        <v>0</v>
      </c>
      <c r="BE47" s="4">
        <v>52.74</v>
      </c>
      <c r="BF47" s="4">
        <f>Base[[#This Row],['[SC']Âge_moyen_retraite]]-Base[[#This Row],['[SC']'[Mort_prématurée']Âge_moyen_mort précoce]]</f>
        <v>10.159999999999997</v>
      </c>
      <c r="BG47" s="4">
        <f>Base[[#This Row],[Espérance_vie]]+Base[[#This Row],['[SC']Hausse_esp_de_vie]]-Base[[#This Row],['[SC']Âge_moyen_retraite]]</f>
        <v>19.90101171382144</v>
      </c>
      <c r="BH47" s="4">
        <v>106583.42676924677</v>
      </c>
      <c r="BI47" s="4">
        <v>97601.789429271477</v>
      </c>
      <c r="BJ47" s="4">
        <v>302038.31496633729</v>
      </c>
      <c r="BK47" s="4">
        <v>117293.58934859755</v>
      </c>
      <c r="BL47" s="4">
        <v>1523999.9999999995</v>
      </c>
      <c r="BM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" s="4">
        <v>294804.96027377353</v>
      </c>
      <c r="BO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" s="4">
        <f>(Base[[#This Row],['[SC']'[Mort_prématurée']Gains]]-Base[[#This Row],['[SC']'[Mort_prématurée']Coûts]])/Base[[#This Row],[Population_totale]]</f>
        <v>0</v>
      </c>
      <c r="BQ47" s="4">
        <f>IF(Base[[#This Row],[Pathologie]]&lt;&gt;"Mort prématurée",0,Base[[#This Row],[Risque]])</f>
        <v>0</v>
      </c>
      <c r="BR47" s="4">
        <v>2680</v>
      </c>
      <c r="BS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" s="4">
        <f>Base[[#This Row],[Prévalence_prod]]*(1-Base[[#This Row],[Risque]])*Base[[#This Row],[Durée_arrêt]]*Base[[#This Row],[Population_emploi]]</f>
        <v>14534900.489575392</v>
      </c>
      <c r="BV47" s="4">
        <f>Base[[#This Row],['[Prod']'[Absentéisme']Total_jours_absence_avant]]-Base[[#This Row],['[Prod']'[Absentéisme']Total_jours_absence_après]]</f>
        <v>1434179.5543299224</v>
      </c>
      <c r="BW47" s="4">
        <f>IF(AND(Base[[#This Row],[Pathologie]]&lt;&gt;"Dépendance",Base[[#This Row],[Pathologie]]&lt;&gt;"Mort prématurée",Base[[#This Row],[Pathologie]]&lt;&gt;"Migraine"),0.0619,0)</f>
        <v>6.1899999999999997E-2</v>
      </c>
      <c r="BX47" s="4">
        <v>254</v>
      </c>
      <c r="BY4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7" s="4">
        <f>Base[[#This Row],[Prévalence_prod]]*Base[[#This Row],[Présentéisme]]*Base[[#This Row],['[Prod']Jours_ouvrés]]</f>
        <v>0.56134000000000006</v>
      </c>
      <c r="CB47" s="4">
        <f>Base[[#This Row],[Prévalence_prod]]*(1-Base[[#This Row],[Risque]])*Base[[#This Row],[Présentéisme]]*Base[[#This Row],['[Prod']Jours_ouvrés]]</f>
        <v>0.51092617848904731</v>
      </c>
      <c r="CC47" s="4">
        <f>Base[[#This Row],['[Prod']'[Présentéisme']Jours_avant]]-Base[[#This Row],['[Prod']'[Présentéisme']Jours_après]]</f>
        <v>5.041382151095275E-2</v>
      </c>
      <c r="CD47" s="4">
        <f>Base[[#This Row],['[Prod']'[Présentéisme']Jours_gagnés]]/Base[[#This Row],['[Prod']Jours_ouvrés]]</f>
        <v>1.9847961224784546E-4</v>
      </c>
      <c r="CE47">
        <v>5.8333039429220801E-2</v>
      </c>
      <c r="CF47">
        <v>1.4658164114728258E-2</v>
      </c>
      <c r="CG47" s="4">
        <v>11</v>
      </c>
      <c r="CH47" s="4">
        <v>0.13729577077682142</v>
      </c>
      <c r="CI47" s="4">
        <v>1.373516710817578E-2</v>
      </c>
      <c r="CJ47" s="4">
        <f>IF(Base[[#This Row],[Secteur]]&lt;&gt;"Moyenne",Base[[#This Row],['[Prod']'[Turnover']DMC_initiale]]*(1+Base[[#This Row],['[Prod']'[Turnover']Ecart_accidents]]*Base[[#This Row],['[Prod']Impact_motifs_turnover]]),CJ30*CI30+CJ31*CI31+CJ32*CI32+CJ33*CI33+CJ34*CI34+CJ35*CI35+CJ36*CI36+CJ37*CI37+CJ38*CI38+CJ39*CI39+CJ40*CI40+CJ41*CI41+CJ42*CI42+CJ43*CI43+CJ44*CI44+CJ45*CI45+CJ46*CI46)</f>
        <v>11.022137543343351</v>
      </c>
      <c r="CK47" s="4">
        <f>1/Base[[#This Row],['[Prod']'[Turnover']DMC_initiale]]</f>
        <v>9.0909090909090912E-2</v>
      </c>
      <c r="CL47" s="4">
        <f>1/Base[[#This Row],['[Prod']'[Turnover']DMC_finale]]</f>
        <v>9.0726503463380792E-2</v>
      </c>
    </row>
    <row r="48" spans="2:90" x14ac:dyDescent="0.25">
      <c r="B48" s="4" t="s">
        <v>328</v>
      </c>
      <c r="C48">
        <v>7.5</v>
      </c>
      <c r="D48" t="s">
        <v>84</v>
      </c>
      <c r="E48" t="s">
        <v>3</v>
      </c>
      <c r="F48" s="3">
        <v>8.9809779297667564E-2</v>
      </c>
      <c r="G48" s="3">
        <v>2.5999999999999999E-2</v>
      </c>
      <c r="H48" s="3">
        <v>2.5999999999999999E-2</v>
      </c>
      <c r="I48" s="3">
        <v>8.5000000000000006E-2</v>
      </c>
      <c r="J48" s="3">
        <v>24.289173334126499</v>
      </c>
      <c r="K48" s="3">
        <v>7.0000000000000007E-2</v>
      </c>
      <c r="L48" s="2">
        <f>Base[[#This Row],[Coût]]*Base[[#This Row],[Part_ménages_dépenses_santé]]</f>
        <v>1.7002421333888551</v>
      </c>
      <c r="M48" s="2">
        <v>0.99784170771638514</v>
      </c>
      <c r="N48" s="6">
        <v>27700000</v>
      </c>
      <c r="O48" s="7">
        <f>Base[[#This Row],[Coût_salarié]]*10^9*Base[[#This Row],[Risque]]*Base[[#This Row],[Prévalence]]*Base[[#This Row],[Part_coûts_salarié]]/Base[[#This Row],[Population_emploi]]</f>
        <v>0.14301764905993752</v>
      </c>
      <c r="P48">
        <v>50</v>
      </c>
      <c r="Q48">
        <v>50</v>
      </c>
      <c r="R48" s="2">
        <v>9.9999999999999978E-2</v>
      </c>
      <c r="S48" s="2">
        <v>0.33340000000000003</v>
      </c>
      <c r="T48" s="4">
        <v>2.5999999999999999E-2</v>
      </c>
      <c r="U48" s="4">
        <f>IF(Bases_annexes!$F$5=0,16.6587111018772,0.77*Bases_annexes!$F$5/(IF(OR(ISBLANK('Données_d''entrée'!$E$44),'Données_d''entrée'!$E$44=0),35,'Données_d''entrée'!$E$44)*52))</f>
        <v>16.658711101877199</v>
      </c>
      <c r="V48" s="4">
        <v>22.173118639135399</v>
      </c>
      <c r="W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8" s="4">
        <v>234.5</v>
      </c>
      <c r="Y48" s="4">
        <f>(Base[[#This Row],['[Maladies']Coûts_évités_par_salarié]]+Base[[#This Row],['[Travail']Coûts_évités_par_salarié]])/Base[[#This Row],[Budget_santé_salarié]]</f>
        <v>6.3196889299024783E-3</v>
      </c>
      <c r="Z48" s="4">
        <v>0.8</v>
      </c>
      <c r="AA48" s="4">
        <f>Base[[#This Row],[Coût]]*Base[[#This Row],[Part_société_dépenses_santé]]</f>
        <v>19.431338667301201</v>
      </c>
      <c r="AB48" s="4">
        <v>67635124</v>
      </c>
      <c r="AC48" s="4">
        <v>82.297079063317852</v>
      </c>
      <c r="AD48" s="4">
        <v>2.5999999999999999E-2</v>
      </c>
      <c r="AE48" s="4">
        <f>Base[[#This Row],['[SC']Prévalence_travail]]*Base[[#This Row],[Population_emploi]]</f>
        <v>720200</v>
      </c>
      <c r="AF48" s="4">
        <f>Base[[#This Row],[Risque]]*Base[[#This Row],['[SC']Patients_en_emploi]]</f>
        <v>64681.003050180181</v>
      </c>
      <c r="AG48" s="4">
        <v>1257615774.8399999</v>
      </c>
      <c r="AH48" s="4">
        <f>IFERROR(Base[[#This Row],['[SC']Prestations]]/Base[[#This Row],['[SC']Patients_en_emploi]],0)</f>
        <v>1746.203519633435</v>
      </c>
      <c r="AI48" s="4">
        <v>51.7</v>
      </c>
      <c r="AJ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8" s="4">
        <f>Base[[#This Row],['[SC']'[Travail']Coûts_évités]]/Base[[#This Row],[Population_emploi]]</f>
        <v>4.0774799703843172</v>
      </c>
      <c r="AL48" s="4">
        <f>Base[[#This Row],[Coût_société]]*10^9*Base[[#This Row],[Risque]]*Base[[#This Row],[Prévalence]]*Base[[#This Row],[Part_coûts_salarié]]/Base[[#This Row],[Population_emploi]]</f>
        <v>1.6344874178278568</v>
      </c>
      <c r="AM48" s="4">
        <f>IF(Base[[#This Row],[Pathologie]]&lt;&gt;"Dépendance",0,14909.24243952)</f>
        <v>0</v>
      </c>
      <c r="AN48" s="4">
        <f>IF(Base[[#This Row],[Pathologie]]&lt;&gt;"Dépendance",0,1316000)</f>
        <v>0</v>
      </c>
      <c r="AO48" s="4">
        <f>IF(Base[[#This Row],[Pathologie]]&lt;&gt;"Dépendance",0,Base[[#This Row],['[SC']Coût_personne_dépendante]]*Base[[#This Row],['[SC']Nb_personnes_dépendantes]])</f>
        <v>0</v>
      </c>
      <c r="AP48" s="4">
        <f>IF(Base[[#This Row],[Pathologie]]&lt;&gt;"Dépendance",0,Base[[#This Row],['[SC']Coût_total_dépendance]]/Base[[#This Row],[Population_totale]])</f>
        <v>0</v>
      </c>
      <c r="AQ48" s="4">
        <f>IF(Base[[#This Row],[Pathologie]]&lt;&gt;"Dépendance",0,4.5)</f>
        <v>0</v>
      </c>
      <c r="AR48" s="4">
        <v>0.50393265050357905</v>
      </c>
      <c r="AS48" s="4">
        <f>Base[[#This Row],[Espérance_vie]]+Base[[#This Row],['[SC']Hausse_esp_de_vie]]-Base[[#This Row],['[SC']Durée_moyenne_dépendance_avt]]+Base[[#This Row],[Risque]]</f>
        <v>82.890821493119105</v>
      </c>
      <c r="AT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" s="4">
        <v>62.9</v>
      </c>
      <c r="AW48" s="4">
        <f t="shared" si="0"/>
        <v>336905600000</v>
      </c>
      <c r="AX48" s="4">
        <v>15049171</v>
      </c>
      <c r="AY48" s="4">
        <f>Base[[#This Row],['[SC']Budget_total_retraites]]/Base[[#This Row],['[SC']Nombre_de_retraités]]</f>
        <v>22386.987296509556</v>
      </c>
      <c r="AZ48" s="4">
        <f>Base[[#This Row],['[SC']Budget_par_retraité]]*Base[[#This Row],['[SC']Nb_personnes_dépendantes]]</f>
        <v>0</v>
      </c>
      <c r="BA48" s="4">
        <f>Base[[#This Row],['[SC']'[Dépendance']Coût_retraite_personnes_dépendantes]]/Base[[#This Row],[Population_totale]]</f>
        <v>0</v>
      </c>
      <c r="BB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" s="4">
        <f>Base[[#This Row],['[SC']'[Dépendance']Gains]]-Base[[#This Row],['[SC']'[Dépendance']Coûts]]</f>
        <v>0</v>
      </c>
      <c r="BD48" s="4">
        <f>IF(Base[[#This Row],[Pathologie]]&lt;&gt;"Mort prématurée",0,Base[[#This Row],[Risque]]*Base[[#This Row],[Prévalence]]*Base[[#This Row],[Population_totale]])</f>
        <v>0</v>
      </c>
      <c r="BE48" s="4">
        <v>52.74</v>
      </c>
      <c r="BF48" s="4">
        <f>Base[[#This Row],['[SC']Âge_moyen_retraite]]-Base[[#This Row],['[SC']'[Mort_prématurée']Âge_moyen_mort précoce]]</f>
        <v>10.159999999999997</v>
      </c>
      <c r="BG48" s="4">
        <f>Base[[#This Row],[Espérance_vie]]+Base[[#This Row],['[SC']Hausse_esp_de_vie]]-Base[[#This Row],['[SC']Âge_moyen_retraite]]</f>
        <v>19.90101171382144</v>
      </c>
      <c r="BH48" s="4">
        <v>106583.42676924677</v>
      </c>
      <c r="BI48" s="4">
        <v>97601.789429271477</v>
      </c>
      <c r="BJ48" s="4">
        <v>302038.31496633729</v>
      </c>
      <c r="BK48" s="4">
        <v>117293.58934859755</v>
      </c>
      <c r="BL48" s="4">
        <v>1523999.9999999995</v>
      </c>
      <c r="BM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" s="4">
        <v>294804.96027377353</v>
      </c>
      <c r="BO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" s="4">
        <f>(Base[[#This Row],['[SC']'[Mort_prématurée']Gains]]-Base[[#This Row],['[SC']'[Mort_prématurée']Coûts]])/Base[[#This Row],[Population_totale]]</f>
        <v>0</v>
      </c>
      <c r="BQ48" s="4">
        <f>IF(Base[[#This Row],[Pathologie]]&lt;&gt;"Mort prématurée",0,Base[[#This Row],[Risque]])</f>
        <v>0</v>
      </c>
      <c r="BR48" s="4">
        <v>2680</v>
      </c>
      <c r="BS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" s="4">
        <f>Base[[#This Row],[Prévalence_prod]]*(1-Base[[#This Row],[Risque]])*Base[[#This Row],[Durée_arrêt]]*Base[[#This Row],[Population_emploi]]</f>
        <v>14534900.489575392</v>
      </c>
      <c r="BV48" s="4">
        <f>Base[[#This Row],['[Prod']'[Absentéisme']Total_jours_absence_avant]]-Base[[#This Row],['[Prod']'[Absentéisme']Total_jours_absence_après]]</f>
        <v>1434179.5543299224</v>
      </c>
      <c r="BW48" s="4">
        <f>IF(AND(Base[[#This Row],[Pathologie]]&lt;&gt;"Dépendance",Base[[#This Row],[Pathologie]]&lt;&gt;"Mort prématurée",Base[[#This Row],[Pathologie]]&lt;&gt;"Migraine"),0.0619,0)</f>
        <v>6.1899999999999997E-2</v>
      </c>
      <c r="BX48" s="4">
        <v>254</v>
      </c>
      <c r="BY4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8" s="4">
        <f>Base[[#This Row],[Prévalence_prod]]*Base[[#This Row],[Présentéisme]]*Base[[#This Row],['[Prod']Jours_ouvrés]]</f>
        <v>0.56134000000000006</v>
      </c>
      <c r="CB48" s="4">
        <f>Base[[#This Row],[Prévalence_prod]]*(1-Base[[#This Row],[Risque]])*Base[[#This Row],[Présentéisme]]*Base[[#This Row],['[Prod']Jours_ouvrés]]</f>
        <v>0.51092617848904731</v>
      </c>
      <c r="CC48" s="4">
        <f>Base[[#This Row],['[Prod']'[Présentéisme']Jours_avant]]-Base[[#This Row],['[Prod']'[Présentéisme']Jours_après]]</f>
        <v>5.041382151095275E-2</v>
      </c>
      <c r="CD48" s="4">
        <f>Base[[#This Row],['[Prod']'[Présentéisme']Jours_gagnés]]/Base[[#This Row],['[Prod']Jours_ouvrés]]</f>
        <v>1.9847961224784546E-4</v>
      </c>
      <c r="CE48">
        <v>5.8333039429220801E-2</v>
      </c>
      <c r="CF48">
        <v>1.4658164114728258E-2</v>
      </c>
      <c r="CG48" s="4">
        <v>11</v>
      </c>
      <c r="CH48" s="4">
        <v>0.60922528771817497</v>
      </c>
      <c r="CI48" s="4">
        <v>3.8601807163334179E-3</v>
      </c>
      <c r="CJ48" s="4">
        <f>IF(Base[[#This Row],[Secteur]]&lt;&gt;"Moyenne",Base[[#This Row],['[Prod']'[Turnover']DMC_initiale]]*(1+Base[[#This Row],['[Prod']'[Turnover']Ecart_accidents]]*Base[[#This Row],['[Prod']Impact_motifs_turnover]]),CJ31*CI31+CJ32*CI32+CJ33*CI33+CJ34*CI34+CJ35*CI35+CJ36*CI36+CJ37*CI37+CJ38*CI38+CJ39*CI39+CJ40*CI40+CJ41*CI41+CJ42*CI42+CJ43*CI43+CJ44*CI44+CJ45*CI45+CJ46*CI46+CJ47*CI47)</f>
        <v>11.098231366752371</v>
      </c>
      <c r="CK48" s="4">
        <f>1/Base[[#This Row],['[Prod']'[Turnover']DMC_initiale]]</f>
        <v>9.0909090909090912E-2</v>
      </c>
      <c r="CL48" s="4">
        <f>1/Base[[#This Row],['[Prod']'[Turnover']DMC_finale]]</f>
        <v>9.0104447001867274E-2</v>
      </c>
    </row>
    <row r="49" spans="2:90" x14ac:dyDescent="0.25">
      <c r="B49" s="4" t="s">
        <v>329</v>
      </c>
      <c r="C49">
        <v>7.5</v>
      </c>
      <c r="D49" t="s">
        <v>84</v>
      </c>
      <c r="E49" t="s">
        <v>3</v>
      </c>
      <c r="F49" s="3">
        <v>8.9809779297667564E-2</v>
      </c>
      <c r="G49" s="3">
        <v>2.5999999999999999E-2</v>
      </c>
      <c r="H49" s="3">
        <v>2.5999999999999999E-2</v>
      </c>
      <c r="I49" s="3">
        <v>8.5000000000000006E-2</v>
      </c>
      <c r="J49" s="3">
        <v>24.289173334126499</v>
      </c>
      <c r="K49" s="3">
        <v>7.0000000000000007E-2</v>
      </c>
      <c r="L49" s="2">
        <f>Base[[#This Row],[Coût]]*Base[[#This Row],[Part_ménages_dépenses_santé]]</f>
        <v>1.7002421333888551</v>
      </c>
      <c r="M49" s="2">
        <v>0.99784170771638514</v>
      </c>
      <c r="N49" s="6">
        <v>27700000</v>
      </c>
      <c r="O49" s="7">
        <f>Base[[#This Row],[Coût_salarié]]*10^9*Base[[#This Row],[Risque]]*Base[[#This Row],[Prévalence]]*Base[[#This Row],[Part_coûts_salarié]]/Base[[#This Row],[Population_emploi]]</f>
        <v>0.14301764905993752</v>
      </c>
      <c r="P49">
        <v>50</v>
      </c>
      <c r="Q49">
        <v>50</v>
      </c>
      <c r="R49" s="2">
        <v>9.9999999999999978E-2</v>
      </c>
      <c r="S49" s="2">
        <v>0.33340000000000003</v>
      </c>
      <c r="T49" s="4">
        <v>2.5999999999999999E-2</v>
      </c>
      <c r="U49" s="4">
        <f>IF(Bases_annexes!$F$5=0,16.6587111018772,0.77*Bases_annexes!$F$5/(IF(OR(ISBLANK('Données_d''entrée'!$E$44),'Données_d''entrée'!$E$44=0),35,'Données_d''entrée'!$E$44)*52))</f>
        <v>16.658711101877199</v>
      </c>
      <c r="V49" s="4">
        <v>22.173118639135399</v>
      </c>
      <c r="W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49" s="4">
        <v>234.5</v>
      </c>
      <c r="Y49" s="4">
        <f>(Base[[#This Row],['[Maladies']Coûts_évités_par_salarié]]+Base[[#This Row],['[Travail']Coûts_évités_par_salarié]])/Base[[#This Row],[Budget_santé_salarié]]</f>
        <v>6.3196889299024783E-3</v>
      </c>
      <c r="Z49" s="4">
        <v>0.8</v>
      </c>
      <c r="AA49" s="4">
        <f>Base[[#This Row],[Coût]]*Base[[#This Row],[Part_société_dépenses_santé]]</f>
        <v>19.431338667301201</v>
      </c>
      <c r="AB49" s="4">
        <v>67635124</v>
      </c>
      <c r="AC49" s="4">
        <v>82.297079063317852</v>
      </c>
      <c r="AD49" s="4">
        <v>2.5999999999999999E-2</v>
      </c>
      <c r="AE49" s="4">
        <f>Base[[#This Row],['[SC']Prévalence_travail]]*Base[[#This Row],[Population_emploi]]</f>
        <v>720200</v>
      </c>
      <c r="AF49" s="4">
        <f>Base[[#This Row],[Risque]]*Base[[#This Row],['[SC']Patients_en_emploi]]</f>
        <v>64681.003050180181</v>
      </c>
      <c r="AG49" s="4">
        <v>1257615774.8399999</v>
      </c>
      <c r="AH49" s="4">
        <f>IFERROR(Base[[#This Row],['[SC']Prestations]]/Base[[#This Row],['[SC']Patients_en_emploi]],0)</f>
        <v>1746.203519633435</v>
      </c>
      <c r="AI49" s="4">
        <v>51.7</v>
      </c>
      <c r="AJ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49" s="4">
        <f>Base[[#This Row],['[SC']'[Travail']Coûts_évités]]/Base[[#This Row],[Population_emploi]]</f>
        <v>4.0774799703843172</v>
      </c>
      <c r="AL49" s="4">
        <f>Base[[#This Row],[Coût_société]]*10^9*Base[[#This Row],[Risque]]*Base[[#This Row],[Prévalence]]*Base[[#This Row],[Part_coûts_salarié]]/Base[[#This Row],[Population_emploi]]</f>
        <v>1.6344874178278568</v>
      </c>
      <c r="AM49" s="4">
        <f>IF(Base[[#This Row],[Pathologie]]&lt;&gt;"Dépendance",0,14909.24243952)</f>
        <v>0</v>
      </c>
      <c r="AN49" s="4">
        <f>IF(Base[[#This Row],[Pathologie]]&lt;&gt;"Dépendance",0,1316000)</f>
        <v>0</v>
      </c>
      <c r="AO49" s="4">
        <f>IF(Base[[#This Row],[Pathologie]]&lt;&gt;"Dépendance",0,Base[[#This Row],['[SC']Coût_personne_dépendante]]*Base[[#This Row],['[SC']Nb_personnes_dépendantes]])</f>
        <v>0</v>
      </c>
      <c r="AP49" s="4">
        <f>IF(Base[[#This Row],[Pathologie]]&lt;&gt;"Dépendance",0,Base[[#This Row],['[SC']Coût_total_dépendance]]/Base[[#This Row],[Population_totale]])</f>
        <v>0</v>
      </c>
      <c r="AQ49" s="4">
        <f>IF(Base[[#This Row],[Pathologie]]&lt;&gt;"Dépendance",0,4.5)</f>
        <v>0</v>
      </c>
      <c r="AR49" s="4">
        <v>0.50393265050357905</v>
      </c>
      <c r="AS49" s="4">
        <f>Base[[#This Row],[Espérance_vie]]+Base[[#This Row],['[SC']Hausse_esp_de_vie]]-Base[[#This Row],['[SC']Durée_moyenne_dépendance_avt]]+Base[[#This Row],[Risque]]</f>
        <v>82.890821493119105</v>
      </c>
      <c r="AT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" s="4">
        <v>62.9</v>
      </c>
      <c r="AW49" s="4">
        <f t="shared" si="0"/>
        <v>336905600000</v>
      </c>
      <c r="AX49" s="4">
        <v>15049171</v>
      </c>
      <c r="AY49" s="4">
        <f>Base[[#This Row],['[SC']Budget_total_retraites]]/Base[[#This Row],['[SC']Nombre_de_retraités]]</f>
        <v>22386.987296509556</v>
      </c>
      <c r="AZ49" s="4">
        <f>Base[[#This Row],['[SC']Budget_par_retraité]]*Base[[#This Row],['[SC']Nb_personnes_dépendantes]]</f>
        <v>0</v>
      </c>
      <c r="BA49" s="4">
        <f>Base[[#This Row],['[SC']'[Dépendance']Coût_retraite_personnes_dépendantes]]/Base[[#This Row],[Population_totale]]</f>
        <v>0</v>
      </c>
      <c r="BB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" s="4">
        <f>Base[[#This Row],['[SC']'[Dépendance']Gains]]-Base[[#This Row],['[SC']'[Dépendance']Coûts]]</f>
        <v>0</v>
      </c>
      <c r="BD49" s="4">
        <f>IF(Base[[#This Row],[Pathologie]]&lt;&gt;"Mort prématurée",0,Base[[#This Row],[Risque]]*Base[[#This Row],[Prévalence]]*Base[[#This Row],[Population_totale]])</f>
        <v>0</v>
      </c>
      <c r="BE49" s="4">
        <v>52.74</v>
      </c>
      <c r="BF49" s="4">
        <f>Base[[#This Row],['[SC']Âge_moyen_retraite]]-Base[[#This Row],['[SC']'[Mort_prématurée']Âge_moyen_mort précoce]]</f>
        <v>10.159999999999997</v>
      </c>
      <c r="BG49" s="4">
        <f>Base[[#This Row],[Espérance_vie]]+Base[[#This Row],['[SC']Hausse_esp_de_vie]]-Base[[#This Row],['[SC']Âge_moyen_retraite]]</f>
        <v>19.90101171382144</v>
      </c>
      <c r="BH49" s="4">
        <v>106583.42676924677</v>
      </c>
      <c r="BI49" s="4">
        <v>97601.789429271477</v>
      </c>
      <c r="BJ49" s="4">
        <v>302038.31496633729</v>
      </c>
      <c r="BK49" s="4">
        <v>117293.58934859755</v>
      </c>
      <c r="BL49" s="4">
        <v>1523999.9999999995</v>
      </c>
      <c r="BM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" s="4">
        <v>294804.96027377353</v>
      </c>
      <c r="BO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" s="4">
        <f>(Base[[#This Row],['[SC']'[Mort_prématurée']Gains]]-Base[[#This Row],['[SC']'[Mort_prématurée']Coûts]])/Base[[#This Row],[Population_totale]]</f>
        <v>0</v>
      </c>
      <c r="BQ49" s="4">
        <f>IF(Base[[#This Row],[Pathologie]]&lt;&gt;"Mort prématurée",0,Base[[#This Row],[Risque]])</f>
        <v>0</v>
      </c>
      <c r="BR49" s="4">
        <v>2680</v>
      </c>
      <c r="BS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9" s="4">
        <f>Base[[#This Row],[Prévalence_prod]]*(1-Base[[#This Row],[Risque]])*Base[[#This Row],[Durée_arrêt]]*Base[[#This Row],[Population_emploi]]</f>
        <v>14534900.489575392</v>
      </c>
      <c r="BV49" s="4">
        <f>Base[[#This Row],['[Prod']'[Absentéisme']Total_jours_absence_avant]]-Base[[#This Row],['[Prod']'[Absentéisme']Total_jours_absence_après]]</f>
        <v>1434179.5543299224</v>
      </c>
      <c r="BW49" s="4">
        <f>IF(AND(Base[[#This Row],[Pathologie]]&lt;&gt;"Dépendance",Base[[#This Row],[Pathologie]]&lt;&gt;"Mort prématurée",Base[[#This Row],[Pathologie]]&lt;&gt;"Migraine"),0.0619,0)</f>
        <v>6.1899999999999997E-2</v>
      </c>
      <c r="BX49" s="4">
        <v>254</v>
      </c>
      <c r="BY49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9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49" s="4">
        <f>Base[[#This Row],[Prévalence_prod]]*Base[[#This Row],[Présentéisme]]*Base[[#This Row],['[Prod']Jours_ouvrés]]</f>
        <v>0.56134000000000006</v>
      </c>
      <c r="CB49" s="4">
        <f>Base[[#This Row],[Prévalence_prod]]*(1-Base[[#This Row],[Risque]])*Base[[#This Row],[Présentéisme]]*Base[[#This Row],['[Prod']Jours_ouvrés]]</f>
        <v>0.51092617848904731</v>
      </c>
      <c r="CC49" s="4">
        <f>Base[[#This Row],['[Prod']'[Présentéisme']Jours_avant]]-Base[[#This Row],['[Prod']'[Présentéisme']Jours_après]]</f>
        <v>5.041382151095275E-2</v>
      </c>
      <c r="CD49" s="4">
        <f>Base[[#This Row],['[Prod']'[Présentéisme']Jours_gagnés]]/Base[[#This Row],['[Prod']Jours_ouvrés]]</f>
        <v>1.9847961224784546E-4</v>
      </c>
      <c r="CE49">
        <v>5.8333039429220801E-2</v>
      </c>
      <c r="CF49">
        <v>1.4658164114728258E-2</v>
      </c>
      <c r="CG49" s="4">
        <v>11</v>
      </c>
      <c r="CH49" s="4">
        <v>0.78414927716175975</v>
      </c>
      <c r="CI49" s="4">
        <v>0.12835819090128339</v>
      </c>
      <c r="CJ49" s="4">
        <f>IF(Base[[#This Row],[Secteur]]&lt;&gt;"Moyenne",Base[[#This Row],['[Prod']'[Turnover']DMC_initiale]]*(1+Base[[#This Row],['[Prod']'[Turnover']Ecart_accidents]]*Base[[#This Row],['[Prod']Impact_motifs_turnover]]),CJ32*CI32+CJ33*CI33+CJ34*CI34+CJ35*CI35+CJ36*CI36+CJ37*CI37+CJ38*CI38+CJ39*CI39+CJ40*CI40+CJ41*CI41+CJ42*CI42+CJ43*CI43+CJ44*CI44+CJ45*CI45+CJ46*CI46+CJ47*CI47+CJ48*CI48)</f>
        <v>11.126436076745907</v>
      </c>
      <c r="CK49" s="4">
        <f>1/Base[[#This Row],['[Prod']'[Turnover']DMC_initiale]]</f>
        <v>9.0909090909090912E-2</v>
      </c>
      <c r="CL49" s="4">
        <f>1/Base[[#This Row],['[Prod']'[Turnover']DMC_finale]]</f>
        <v>8.9876038751526707E-2</v>
      </c>
    </row>
    <row r="50" spans="2:90" x14ac:dyDescent="0.25">
      <c r="B50" s="4" t="s">
        <v>330</v>
      </c>
      <c r="C50">
        <v>7.5</v>
      </c>
      <c r="D50" t="s">
        <v>84</v>
      </c>
      <c r="E50" t="s">
        <v>3</v>
      </c>
      <c r="F50" s="3">
        <v>8.9809779297667564E-2</v>
      </c>
      <c r="G50" s="3">
        <v>2.5999999999999999E-2</v>
      </c>
      <c r="H50" s="3">
        <v>2.5999999999999999E-2</v>
      </c>
      <c r="I50" s="3">
        <v>8.5000000000000006E-2</v>
      </c>
      <c r="J50" s="3">
        <v>24.289173334126499</v>
      </c>
      <c r="K50" s="3">
        <v>7.0000000000000007E-2</v>
      </c>
      <c r="L50" s="2">
        <f>Base[[#This Row],[Coût]]*Base[[#This Row],[Part_ménages_dépenses_santé]]</f>
        <v>1.7002421333888551</v>
      </c>
      <c r="M50" s="2">
        <v>0.99784170771638514</v>
      </c>
      <c r="N50" s="6">
        <v>27700000</v>
      </c>
      <c r="O50" s="7">
        <f>Base[[#This Row],[Coût_salarié]]*10^9*Base[[#This Row],[Risque]]*Base[[#This Row],[Prévalence]]*Base[[#This Row],[Part_coûts_salarié]]/Base[[#This Row],[Population_emploi]]</f>
        <v>0.14301764905993752</v>
      </c>
      <c r="P50">
        <v>50</v>
      </c>
      <c r="Q50">
        <v>50</v>
      </c>
      <c r="R50" s="2">
        <v>9.9999999999999978E-2</v>
      </c>
      <c r="S50" s="2">
        <v>0.33340000000000003</v>
      </c>
      <c r="T50" s="4">
        <v>2.5999999999999999E-2</v>
      </c>
      <c r="U50" s="4">
        <f>IF(Bases_annexes!$F$5=0,16.6587111018772,0.77*Bases_annexes!$F$5/(IF(OR(ISBLANK('Données_d''entrée'!$E$44),'Données_d''entrée'!$E$44=0),35,'Données_d''entrée'!$E$44)*52))</f>
        <v>16.658711101877199</v>
      </c>
      <c r="V50" s="4">
        <v>22.173118639135399</v>
      </c>
      <c r="W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50" s="4">
        <v>234.5</v>
      </c>
      <c r="Y50" s="4">
        <f>(Base[[#This Row],['[Maladies']Coûts_évités_par_salarié]]+Base[[#This Row],['[Travail']Coûts_évités_par_salarié]])/Base[[#This Row],[Budget_santé_salarié]]</f>
        <v>6.3196889299024783E-3</v>
      </c>
      <c r="Z50" s="4">
        <v>0.8</v>
      </c>
      <c r="AA50" s="4">
        <f>Base[[#This Row],[Coût]]*Base[[#This Row],[Part_société_dépenses_santé]]</f>
        <v>19.431338667301201</v>
      </c>
      <c r="AB50" s="4">
        <v>67635124</v>
      </c>
      <c r="AC50" s="4">
        <v>82.297079063317852</v>
      </c>
      <c r="AD50" s="4">
        <v>2.5999999999999999E-2</v>
      </c>
      <c r="AE50" s="4">
        <f>Base[[#This Row],['[SC']Prévalence_travail]]*Base[[#This Row],[Population_emploi]]</f>
        <v>720200</v>
      </c>
      <c r="AF50" s="4">
        <f>Base[[#This Row],[Risque]]*Base[[#This Row],['[SC']Patients_en_emploi]]</f>
        <v>64681.003050180181</v>
      </c>
      <c r="AG50" s="4">
        <v>1257615774.8399999</v>
      </c>
      <c r="AH50" s="4">
        <f>IFERROR(Base[[#This Row],['[SC']Prestations]]/Base[[#This Row],['[SC']Patients_en_emploi]],0)</f>
        <v>1746.203519633435</v>
      </c>
      <c r="AI50" s="4">
        <v>51.7</v>
      </c>
      <c r="AJ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50" s="4">
        <f>Base[[#This Row],['[SC']'[Travail']Coûts_évités]]/Base[[#This Row],[Population_emploi]]</f>
        <v>4.0774799703843172</v>
      </c>
      <c r="AL50" s="4">
        <f>Base[[#This Row],[Coût_société]]*10^9*Base[[#This Row],[Risque]]*Base[[#This Row],[Prévalence]]*Base[[#This Row],[Part_coûts_salarié]]/Base[[#This Row],[Population_emploi]]</f>
        <v>1.6344874178278568</v>
      </c>
      <c r="AM50" s="4">
        <f>IF(Base[[#This Row],[Pathologie]]&lt;&gt;"Dépendance",0,14909.24243952)</f>
        <v>0</v>
      </c>
      <c r="AN50" s="4">
        <f>IF(Base[[#This Row],[Pathologie]]&lt;&gt;"Dépendance",0,1316000)</f>
        <v>0</v>
      </c>
      <c r="AO50" s="4">
        <f>IF(Base[[#This Row],[Pathologie]]&lt;&gt;"Dépendance",0,Base[[#This Row],['[SC']Coût_personne_dépendante]]*Base[[#This Row],['[SC']Nb_personnes_dépendantes]])</f>
        <v>0</v>
      </c>
      <c r="AP50" s="4">
        <f>IF(Base[[#This Row],[Pathologie]]&lt;&gt;"Dépendance",0,Base[[#This Row],['[SC']Coût_total_dépendance]]/Base[[#This Row],[Population_totale]])</f>
        <v>0</v>
      </c>
      <c r="AQ50" s="4">
        <f>IF(Base[[#This Row],[Pathologie]]&lt;&gt;"Dépendance",0,4.5)</f>
        <v>0</v>
      </c>
      <c r="AR50" s="4">
        <v>0.50393265050357905</v>
      </c>
      <c r="AS50" s="4">
        <f>Base[[#This Row],[Espérance_vie]]+Base[[#This Row],['[SC']Hausse_esp_de_vie]]-Base[[#This Row],['[SC']Durée_moyenne_dépendance_avt]]+Base[[#This Row],[Risque]]</f>
        <v>82.890821493119105</v>
      </c>
      <c r="AT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" s="4">
        <v>62.9</v>
      </c>
      <c r="AW50" s="4">
        <f t="shared" si="0"/>
        <v>336905600000</v>
      </c>
      <c r="AX50" s="4">
        <v>15049171</v>
      </c>
      <c r="AY50" s="4">
        <f>Base[[#This Row],['[SC']Budget_total_retraites]]/Base[[#This Row],['[SC']Nombre_de_retraités]]</f>
        <v>22386.987296509556</v>
      </c>
      <c r="AZ50" s="4">
        <f>Base[[#This Row],['[SC']Budget_par_retraité]]*Base[[#This Row],['[SC']Nb_personnes_dépendantes]]</f>
        <v>0</v>
      </c>
      <c r="BA50" s="4">
        <f>Base[[#This Row],['[SC']'[Dépendance']Coût_retraite_personnes_dépendantes]]/Base[[#This Row],[Population_totale]]</f>
        <v>0</v>
      </c>
      <c r="BB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" s="4">
        <f>Base[[#This Row],['[SC']'[Dépendance']Gains]]-Base[[#This Row],['[SC']'[Dépendance']Coûts]]</f>
        <v>0</v>
      </c>
      <c r="BD50" s="4">
        <f>IF(Base[[#This Row],[Pathologie]]&lt;&gt;"Mort prématurée",0,Base[[#This Row],[Risque]]*Base[[#This Row],[Prévalence]]*Base[[#This Row],[Population_totale]])</f>
        <v>0</v>
      </c>
      <c r="BE50" s="4">
        <v>52.74</v>
      </c>
      <c r="BF50" s="4">
        <f>Base[[#This Row],['[SC']Âge_moyen_retraite]]-Base[[#This Row],['[SC']'[Mort_prématurée']Âge_moyen_mort précoce]]</f>
        <v>10.159999999999997</v>
      </c>
      <c r="BG50" s="4">
        <f>Base[[#This Row],[Espérance_vie]]+Base[[#This Row],['[SC']Hausse_esp_de_vie]]-Base[[#This Row],['[SC']Âge_moyen_retraite]]</f>
        <v>19.90101171382144</v>
      </c>
      <c r="BH50" s="4">
        <v>106583.42676924677</v>
      </c>
      <c r="BI50" s="4">
        <v>97601.789429271477</v>
      </c>
      <c r="BJ50" s="4">
        <v>302038.31496633729</v>
      </c>
      <c r="BK50" s="4">
        <v>117293.58934859755</v>
      </c>
      <c r="BL50" s="4">
        <v>1523999.9999999995</v>
      </c>
      <c r="BM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" s="4">
        <v>294804.96027377353</v>
      </c>
      <c r="BO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" s="4">
        <f>(Base[[#This Row],['[SC']'[Mort_prématurée']Gains]]-Base[[#This Row],['[SC']'[Mort_prématurée']Coûts]])/Base[[#This Row],[Population_totale]]</f>
        <v>0</v>
      </c>
      <c r="BQ50" s="4">
        <f>IF(Base[[#This Row],[Pathologie]]&lt;&gt;"Mort prématurée",0,Base[[#This Row],[Risque]])</f>
        <v>0</v>
      </c>
      <c r="BR50" s="4">
        <v>2680</v>
      </c>
      <c r="BS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50" s="4">
        <f>Base[[#This Row],[Prévalence_prod]]*(1-Base[[#This Row],[Risque]])*Base[[#This Row],[Durée_arrêt]]*Base[[#This Row],[Population_emploi]]</f>
        <v>14534900.489575392</v>
      </c>
      <c r="BV50" s="4">
        <f>Base[[#This Row],['[Prod']'[Absentéisme']Total_jours_absence_avant]]-Base[[#This Row],['[Prod']'[Absentéisme']Total_jours_absence_après]]</f>
        <v>1434179.5543299224</v>
      </c>
      <c r="BW50" s="4">
        <f>IF(AND(Base[[#This Row],[Pathologie]]&lt;&gt;"Dépendance",Base[[#This Row],[Pathologie]]&lt;&gt;"Mort prématurée",Base[[#This Row],[Pathologie]]&lt;&gt;"Migraine"),0.0619,0)</f>
        <v>6.1899999999999997E-2</v>
      </c>
      <c r="BX50" s="4">
        <v>254</v>
      </c>
      <c r="BY50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50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50" s="4">
        <f>Base[[#This Row],[Prévalence_prod]]*Base[[#This Row],[Présentéisme]]*Base[[#This Row],['[Prod']Jours_ouvrés]]</f>
        <v>0.56134000000000006</v>
      </c>
      <c r="CB50" s="4">
        <f>Base[[#This Row],[Prévalence_prod]]*(1-Base[[#This Row],[Risque]])*Base[[#This Row],[Présentéisme]]*Base[[#This Row],['[Prod']Jours_ouvrés]]</f>
        <v>0.51092617848904731</v>
      </c>
      <c r="CC50" s="4">
        <f>Base[[#This Row],['[Prod']'[Présentéisme']Jours_avant]]-Base[[#This Row],['[Prod']'[Présentéisme']Jours_après]]</f>
        <v>5.041382151095275E-2</v>
      </c>
      <c r="CD50" s="4">
        <f>Base[[#This Row],['[Prod']'[Présentéisme']Jours_gagnés]]/Base[[#This Row],['[Prod']Jours_ouvrés]]</f>
        <v>1.9847961224784546E-4</v>
      </c>
      <c r="CE50">
        <v>5.8333039429220801E-2</v>
      </c>
      <c r="CF50">
        <v>1.4658164114728258E-2</v>
      </c>
      <c r="CG50" s="4">
        <v>11</v>
      </c>
      <c r="CH50" s="4">
        <v>0.99648427619813984</v>
      </c>
      <c r="CI50" s="4">
        <v>0.42377466100567313</v>
      </c>
      <c r="CJ50" s="4">
        <f>IF(Base[[#This Row],[Secteur]]&lt;&gt;"Moyenne",Base[[#This Row],['[Prod']'[Turnover']DMC_initiale]]*(1+Base[[#This Row],['[Prod']'[Turnover']Ecart_accidents]]*Base[[#This Row],['[Prod']Impact_motifs_turnover]]),CJ33*CI33+CJ34*CI34+CJ35*CI35+CJ36*CI36+CJ37*CI37+CJ38*CI38+CJ39*CI39+CJ40*CI40+CJ41*CI41+CJ42*CI42+CJ43*CI43+CJ44*CI44+CJ45*CI45+CJ46*CI46+CJ47*CI47+CJ48*CI48+CJ49*CI49)</f>
        <v>11.160672930640844</v>
      </c>
      <c r="CK50" s="4">
        <f>1/Base[[#This Row],['[Prod']'[Turnover']DMC_initiale]]</f>
        <v>9.0909090909090912E-2</v>
      </c>
      <c r="CL50" s="4">
        <f>1/Base[[#This Row],['[Prod']'[Turnover']DMC_finale]]</f>
        <v>8.9600332006376626E-2</v>
      </c>
    </row>
    <row r="51" spans="2:90" x14ac:dyDescent="0.25">
      <c r="B51" s="4" t="s">
        <v>331</v>
      </c>
      <c r="C51">
        <v>7.5</v>
      </c>
      <c r="D51" t="s">
        <v>84</v>
      </c>
      <c r="E51" t="s">
        <v>3</v>
      </c>
      <c r="F51" s="3">
        <v>8.9809779297667564E-2</v>
      </c>
      <c r="G51" s="3">
        <v>2.5999999999999999E-2</v>
      </c>
      <c r="H51" s="3">
        <v>2.5999999999999999E-2</v>
      </c>
      <c r="I51" s="3">
        <v>8.5000000000000006E-2</v>
      </c>
      <c r="J51" s="3">
        <v>24.289173334126499</v>
      </c>
      <c r="K51" s="3">
        <v>7.0000000000000007E-2</v>
      </c>
      <c r="L51" s="2">
        <f>Base[[#This Row],[Coût]]*Base[[#This Row],[Part_ménages_dépenses_santé]]</f>
        <v>1.7002421333888551</v>
      </c>
      <c r="M51" s="2">
        <v>0.99784170771638514</v>
      </c>
      <c r="N51" s="6">
        <v>27700000</v>
      </c>
      <c r="O51" s="7">
        <f>Base[[#This Row],[Coût_salarié]]*10^9*Base[[#This Row],[Risque]]*Base[[#This Row],[Prévalence]]*Base[[#This Row],[Part_coûts_salarié]]/Base[[#This Row],[Population_emploi]]</f>
        <v>0.14301764905993752</v>
      </c>
      <c r="P51">
        <v>50</v>
      </c>
      <c r="Q51">
        <v>50</v>
      </c>
      <c r="R51" s="2">
        <v>9.9999999999999978E-2</v>
      </c>
      <c r="S51" s="2">
        <v>0.33340000000000003</v>
      </c>
      <c r="T51" s="4">
        <v>2.5999999999999999E-2</v>
      </c>
      <c r="U51" s="4">
        <f>IF(Bases_annexes!$F$5=0,16.6587111018772,0.77*Bases_annexes!$F$5/(IF(OR(ISBLANK('Données_d''entrée'!$E$44),'Données_d''entrée'!$E$44=0),35,'Données_d''entrée'!$E$44)*52))</f>
        <v>16.658711101877199</v>
      </c>
      <c r="V51" s="4">
        <v>22.173118639135399</v>
      </c>
      <c r="W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51" s="4">
        <v>234.5</v>
      </c>
      <c r="Y51" s="4">
        <f>(Base[[#This Row],['[Maladies']Coûts_évités_par_salarié]]+Base[[#This Row],['[Travail']Coûts_évités_par_salarié]])/Base[[#This Row],[Budget_santé_salarié]]</f>
        <v>6.3196889299024783E-3</v>
      </c>
      <c r="Z51" s="4">
        <v>0.8</v>
      </c>
      <c r="AA51" s="4">
        <f>Base[[#This Row],[Coût]]*Base[[#This Row],[Part_société_dépenses_santé]]</f>
        <v>19.431338667301201</v>
      </c>
      <c r="AB51" s="4">
        <v>67635124</v>
      </c>
      <c r="AC51" s="4">
        <v>82.297079063317852</v>
      </c>
      <c r="AD51" s="4">
        <v>2.5999999999999999E-2</v>
      </c>
      <c r="AE51" s="4">
        <f>Base[[#This Row],['[SC']Prévalence_travail]]*Base[[#This Row],[Population_emploi]]</f>
        <v>720200</v>
      </c>
      <c r="AF51" s="4">
        <f>Base[[#This Row],[Risque]]*Base[[#This Row],['[SC']Patients_en_emploi]]</f>
        <v>64681.003050180181</v>
      </c>
      <c r="AG51" s="4">
        <v>1257615774.8399999</v>
      </c>
      <c r="AH51" s="4">
        <f>IFERROR(Base[[#This Row],['[SC']Prestations]]/Base[[#This Row],['[SC']Patients_en_emploi]],0)</f>
        <v>1746.203519633435</v>
      </c>
      <c r="AI51" s="4">
        <v>51.7</v>
      </c>
      <c r="AJ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51" s="4">
        <f>Base[[#This Row],['[SC']'[Travail']Coûts_évités]]/Base[[#This Row],[Population_emploi]]</f>
        <v>4.0774799703843172</v>
      </c>
      <c r="AL51" s="4">
        <f>Base[[#This Row],[Coût_société]]*10^9*Base[[#This Row],[Risque]]*Base[[#This Row],[Prévalence]]*Base[[#This Row],[Part_coûts_salarié]]/Base[[#This Row],[Population_emploi]]</f>
        <v>1.6344874178278568</v>
      </c>
      <c r="AM51" s="4">
        <f>IF(Base[[#This Row],[Pathologie]]&lt;&gt;"Dépendance",0,14909.24243952)</f>
        <v>0</v>
      </c>
      <c r="AN51" s="4">
        <f>IF(Base[[#This Row],[Pathologie]]&lt;&gt;"Dépendance",0,1316000)</f>
        <v>0</v>
      </c>
      <c r="AO51" s="4">
        <f>IF(Base[[#This Row],[Pathologie]]&lt;&gt;"Dépendance",0,Base[[#This Row],['[SC']Coût_personne_dépendante]]*Base[[#This Row],['[SC']Nb_personnes_dépendantes]])</f>
        <v>0</v>
      </c>
      <c r="AP51" s="4">
        <f>IF(Base[[#This Row],[Pathologie]]&lt;&gt;"Dépendance",0,Base[[#This Row],['[SC']Coût_total_dépendance]]/Base[[#This Row],[Population_totale]])</f>
        <v>0</v>
      </c>
      <c r="AQ51" s="4">
        <f>IF(Base[[#This Row],[Pathologie]]&lt;&gt;"Dépendance",0,4.5)</f>
        <v>0</v>
      </c>
      <c r="AR51" s="4">
        <v>0.50393265050357905</v>
      </c>
      <c r="AS51" s="4">
        <f>Base[[#This Row],[Espérance_vie]]+Base[[#This Row],['[SC']Hausse_esp_de_vie]]-Base[[#This Row],['[SC']Durée_moyenne_dépendance_avt]]+Base[[#This Row],[Risque]]</f>
        <v>82.890821493119105</v>
      </c>
      <c r="AT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" s="4">
        <v>62.9</v>
      </c>
      <c r="AW51" s="4">
        <f t="shared" si="0"/>
        <v>336905600000</v>
      </c>
      <c r="AX51" s="4">
        <v>15049171</v>
      </c>
      <c r="AY51" s="4">
        <f>Base[[#This Row],['[SC']Budget_total_retraites]]/Base[[#This Row],['[SC']Nombre_de_retraités]]</f>
        <v>22386.987296509556</v>
      </c>
      <c r="AZ51" s="4">
        <f>Base[[#This Row],['[SC']Budget_par_retraité]]*Base[[#This Row],['[SC']Nb_personnes_dépendantes]]</f>
        <v>0</v>
      </c>
      <c r="BA51" s="4">
        <f>Base[[#This Row],['[SC']'[Dépendance']Coût_retraite_personnes_dépendantes]]/Base[[#This Row],[Population_totale]]</f>
        <v>0</v>
      </c>
      <c r="BB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" s="4">
        <f>Base[[#This Row],['[SC']'[Dépendance']Gains]]-Base[[#This Row],['[SC']'[Dépendance']Coûts]]</f>
        <v>0</v>
      </c>
      <c r="BD51" s="4">
        <f>IF(Base[[#This Row],[Pathologie]]&lt;&gt;"Mort prématurée",0,Base[[#This Row],[Risque]]*Base[[#This Row],[Prévalence]]*Base[[#This Row],[Population_totale]])</f>
        <v>0</v>
      </c>
      <c r="BE51" s="4">
        <v>52.74</v>
      </c>
      <c r="BF51" s="4">
        <f>Base[[#This Row],['[SC']Âge_moyen_retraite]]-Base[[#This Row],['[SC']'[Mort_prématurée']Âge_moyen_mort précoce]]</f>
        <v>10.159999999999997</v>
      </c>
      <c r="BG51" s="4">
        <f>Base[[#This Row],[Espérance_vie]]+Base[[#This Row],['[SC']Hausse_esp_de_vie]]-Base[[#This Row],['[SC']Âge_moyen_retraite]]</f>
        <v>19.90101171382144</v>
      </c>
      <c r="BH51" s="4">
        <v>106583.42676924677</v>
      </c>
      <c r="BI51" s="4">
        <v>97601.789429271477</v>
      </c>
      <c r="BJ51" s="4">
        <v>302038.31496633729</v>
      </c>
      <c r="BK51" s="4">
        <v>117293.58934859755</v>
      </c>
      <c r="BL51" s="4">
        <v>1523999.9999999995</v>
      </c>
      <c r="BM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" s="4">
        <v>294804.96027377353</v>
      </c>
      <c r="BO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" s="4">
        <f>(Base[[#This Row],['[SC']'[Mort_prématurée']Gains]]-Base[[#This Row],['[SC']'[Mort_prématurée']Coûts]])/Base[[#This Row],[Population_totale]]</f>
        <v>0</v>
      </c>
      <c r="BQ51" s="4">
        <f>IF(Base[[#This Row],[Pathologie]]&lt;&gt;"Mort prématurée",0,Base[[#This Row],[Risque]])</f>
        <v>0</v>
      </c>
      <c r="BR51" s="4">
        <v>2680</v>
      </c>
      <c r="BS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51" s="4">
        <f>Base[[#This Row],[Prévalence_prod]]*(1-Base[[#This Row],[Risque]])*Base[[#This Row],[Durée_arrêt]]*Base[[#This Row],[Population_emploi]]</f>
        <v>14534900.489575392</v>
      </c>
      <c r="BV51" s="4">
        <f>Base[[#This Row],['[Prod']'[Absentéisme']Total_jours_absence_avant]]-Base[[#This Row],['[Prod']'[Absentéisme']Total_jours_absence_après]]</f>
        <v>1434179.5543299224</v>
      </c>
      <c r="BW51" s="4">
        <f>IF(AND(Base[[#This Row],[Pathologie]]&lt;&gt;"Dépendance",Base[[#This Row],[Pathologie]]&lt;&gt;"Mort prématurée",Base[[#This Row],[Pathologie]]&lt;&gt;"Migraine"),0.0619,0)</f>
        <v>6.1899999999999997E-2</v>
      </c>
      <c r="BX51" s="4">
        <v>254</v>
      </c>
      <c r="BY5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51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51" s="4">
        <f>Base[[#This Row],[Prévalence_prod]]*Base[[#This Row],[Présentéisme]]*Base[[#This Row],['[Prod']Jours_ouvrés]]</f>
        <v>0.56134000000000006</v>
      </c>
      <c r="CB51" s="4">
        <f>Base[[#This Row],[Prévalence_prod]]*(1-Base[[#This Row],[Risque]])*Base[[#This Row],[Présentéisme]]*Base[[#This Row],['[Prod']Jours_ouvrés]]</f>
        <v>0.51092617848904731</v>
      </c>
      <c r="CC51" s="4">
        <f>Base[[#This Row],['[Prod']'[Présentéisme']Jours_avant]]-Base[[#This Row],['[Prod']'[Présentéisme']Jours_après]]</f>
        <v>5.041382151095275E-2</v>
      </c>
      <c r="CD51" s="4">
        <f>Base[[#This Row],['[Prod']'[Présentéisme']Jours_gagnés]]/Base[[#This Row],['[Prod']Jours_ouvrés]]</f>
        <v>1.9847961224784546E-4</v>
      </c>
      <c r="CE51">
        <v>5.8333039429220801E-2</v>
      </c>
      <c r="CF51">
        <v>1.4658164114728258E-2</v>
      </c>
      <c r="CG51" s="4">
        <v>11</v>
      </c>
      <c r="CH51" s="4">
        <v>1.1593596509901765</v>
      </c>
      <c r="CI51" s="4">
        <v>4.0741311947357597E-2</v>
      </c>
      <c r="CJ51" s="4">
        <f>IF(Base[[#This Row],[Secteur]]&lt;&gt;"Moyenne",Base[[#This Row],['[Prod']'[Turnover']DMC_initiale]]*(1+Base[[#This Row],['[Prod']'[Turnover']Ecart_accidents]]*Base[[#This Row],['[Prod']Impact_motifs_turnover]]),CJ34*CI34+CJ35*CI35+CJ36*CI36+CJ37*CI37+CJ38*CI38+CJ39*CI39+CJ40*CI40+CJ41*CI41+CJ42*CI42+CJ43*CI43+CJ44*CI44+CJ45*CI45+CJ46*CI46+CJ47*CI47+CJ48*CI48+CJ49*CI49+CJ50*CI50)</f>
        <v>11.186934924354288</v>
      </c>
      <c r="CK51" s="4">
        <f>1/Base[[#This Row],['[Prod']'[Turnover']DMC_initiale]]</f>
        <v>9.0909090909090912E-2</v>
      </c>
      <c r="CL51" s="4">
        <f>1/Base[[#This Row],['[Prod']'[Turnover']DMC_finale]]</f>
        <v>8.9389989908940148E-2</v>
      </c>
    </row>
    <row r="52" spans="2:90" x14ac:dyDescent="0.25">
      <c r="B52" s="4" t="s">
        <v>332</v>
      </c>
      <c r="C52">
        <v>7.5</v>
      </c>
      <c r="D52" t="s">
        <v>84</v>
      </c>
      <c r="E52" t="s">
        <v>3</v>
      </c>
      <c r="F52" s="3">
        <v>8.9809779297667564E-2</v>
      </c>
      <c r="G52" s="3">
        <v>2.5999999999999999E-2</v>
      </c>
      <c r="H52" s="3">
        <v>2.5999999999999999E-2</v>
      </c>
      <c r="I52" s="3">
        <v>8.5000000000000006E-2</v>
      </c>
      <c r="J52" s="3">
        <v>24.289173334126499</v>
      </c>
      <c r="K52" s="3">
        <v>7.0000000000000007E-2</v>
      </c>
      <c r="L52" s="2">
        <f>Base[[#This Row],[Coût]]*Base[[#This Row],[Part_ménages_dépenses_santé]]</f>
        <v>1.7002421333888551</v>
      </c>
      <c r="M52" s="2">
        <v>0.99784170771638514</v>
      </c>
      <c r="N52" s="6">
        <v>27700000</v>
      </c>
      <c r="O52" s="7">
        <f>Base[[#This Row],[Coût_salarié]]*10^9*Base[[#This Row],[Risque]]*Base[[#This Row],[Prévalence]]*Base[[#This Row],[Part_coûts_salarié]]/Base[[#This Row],[Population_emploi]]</f>
        <v>0.14301764905993752</v>
      </c>
      <c r="P52">
        <v>50</v>
      </c>
      <c r="Q52">
        <v>50</v>
      </c>
      <c r="R52" s="2">
        <v>9.9999999999999978E-2</v>
      </c>
      <c r="S52" s="2">
        <v>0.33340000000000003</v>
      </c>
      <c r="T52" s="4">
        <v>2.5999999999999999E-2</v>
      </c>
      <c r="U52" s="4">
        <f>IF(Bases_annexes!$F$5=0,16.6587111018772,0.77*Bases_annexes!$F$5/(IF(OR(ISBLANK('Données_d''entrée'!$E$44),'Données_d''entrée'!$E$44=0),35,'Données_d''entrée'!$E$44)*52))</f>
        <v>16.658711101877199</v>
      </c>
      <c r="V52" s="4">
        <v>22.173118639135399</v>
      </c>
      <c r="W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1.3389494050021937</v>
      </c>
      <c r="X52" s="4">
        <v>234.5</v>
      </c>
      <c r="Y52" s="4">
        <f>(Base[[#This Row],['[Maladies']Coûts_évités_par_salarié]]+Base[[#This Row],['[Travail']Coûts_évités_par_salarié]])/Base[[#This Row],[Budget_santé_salarié]]</f>
        <v>6.3196889299024783E-3</v>
      </c>
      <c r="Z52" s="4">
        <v>0.8</v>
      </c>
      <c r="AA52" s="4">
        <f>Base[[#This Row],[Coût]]*Base[[#This Row],[Part_société_dépenses_santé]]</f>
        <v>19.431338667301201</v>
      </c>
      <c r="AB52" s="4">
        <v>67635124</v>
      </c>
      <c r="AC52" s="4">
        <v>82.297079063317852</v>
      </c>
      <c r="AD52" s="4">
        <v>2.5999999999999999E-2</v>
      </c>
      <c r="AE52" s="4">
        <f>Base[[#This Row],['[SC']Prévalence_travail]]*Base[[#This Row],[Population_emploi]]</f>
        <v>720200</v>
      </c>
      <c r="AF52" s="4">
        <f>Base[[#This Row],[Risque]]*Base[[#This Row],['[SC']Patients_en_emploi]]</f>
        <v>64681.003050180181</v>
      </c>
      <c r="AG52" s="4">
        <v>1257615774.8399999</v>
      </c>
      <c r="AH52" s="4">
        <f>IFERROR(Base[[#This Row],['[SC']Prestations]]/Base[[#This Row],['[SC']Patients_en_emploi]],0)</f>
        <v>1746.203519633435</v>
      </c>
      <c r="AI52" s="4">
        <v>51.7</v>
      </c>
      <c r="AJ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112946195.17964558</v>
      </c>
      <c r="AK52" s="4">
        <f>Base[[#This Row],['[SC']'[Travail']Coûts_évités]]/Base[[#This Row],[Population_emploi]]</f>
        <v>4.0774799703843172</v>
      </c>
      <c r="AL52" s="4">
        <f>Base[[#This Row],[Coût_société]]*10^9*Base[[#This Row],[Risque]]*Base[[#This Row],[Prévalence]]*Base[[#This Row],[Part_coûts_salarié]]/Base[[#This Row],[Population_emploi]]</f>
        <v>1.6344874178278568</v>
      </c>
      <c r="AM52" s="4">
        <f>IF(Base[[#This Row],[Pathologie]]&lt;&gt;"Dépendance",0,14909.24243952)</f>
        <v>0</v>
      </c>
      <c r="AN52" s="4">
        <f>IF(Base[[#This Row],[Pathologie]]&lt;&gt;"Dépendance",0,1316000)</f>
        <v>0</v>
      </c>
      <c r="AO52" s="4">
        <f>IF(Base[[#This Row],[Pathologie]]&lt;&gt;"Dépendance",0,Base[[#This Row],['[SC']Coût_personne_dépendante]]*Base[[#This Row],['[SC']Nb_personnes_dépendantes]])</f>
        <v>0</v>
      </c>
      <c r="AP52" s="4">
        <f>IF(Base[[#This Row],[Pathologie]]&lt;&gt;"Dépendance",0,Base[[#This Row],['[SC']Coût_total_dépendance]]/Base[[#This Row],[Population_totale]])</f>
        <v>0</v>
      </c>
      <c r="AQ52" s="4">
        <f>IF(Base[[#This Row],[Pathologie]]&lt;&gt;"Dépendance",0,4.5)</f>
        <v>0</v>
      </c>
      <c r="AR52" s="4">
        <v>0.50393265050357905</v>
      </c>
      <c r="AS52" s="4">
        <f>Base[[#This Row],[Espérance_vie]]+Base[[#This Row],['[SC']Hausse_esp_de_vie]]-Base[[#This Row],['[SC']Durée_moyenne_dépendance_avt]]+Base[[#This Row],[Risque]]</f>
        <v>82.890821493119105</v>
      </c>
      <c r="AT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" s="4">
        <v>62.9</v>
      </c>
      <c r="AW52" s="4">
        <f t="shared" si="0"/>
        <v>336905600000</v>
      </c>
      <c r="AX52" s="4">
        <v>15049171</v>
      </c>
      <c r="AY52" s="4">
        <f>Base[[#This Row],['[SC']Budget_total_retraites]]/Base[[#This Row],['[SC']Nombre_de_retraités]]</f>
        <v>22386.987296509556</v>
      </c>
      <c r="AZ52" s="4">
        <f>Base[[#This Row],['[SC']Budget_par_retraité]]*Base[[#This Row],['[SC']Nb_personnes_dépendantes]]</f>
        <v>0</v>
      </c>
      <c r="BA52" s="4">
        <f>Base[[#This Row],['[SC']'[Dépendance']Coût_retraite_personnes_dépendantes]]/Base[[#This Row],[Population_totale]]</f>
        <v>0</v>
      </c>
      <c r="BB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" s="4">
        <f>Base[[#This Row],['[SC']'[Dépendance']Gains]]-Base[[#This Row],['[SC']'[Dépendance']Coûts]]</f>
        <v>0</v>
      </c>
      <c r="BD52" s="4">
        <f>IF(Base[[#This Row],[Pathologie]]&lt;&gt;"Mort prématurée",0,Base[[#This Row],[Risque]]*Base[[#This Row],[Prévalence]]*Base[[#This Row],[Population_totale]])</f>
        <v>0</v>
      </c>
      <c r="BE52" s="4">
        <v>52.74</v>
      </c>
      <c r="BF52" s="4">
        <f>Base[[#This Row],['[SC']Âge_moyen_retraite]]-Base[[#This Row],['[SC']'[Mort_prématurée']Âge_moyen_mort précoce]]</f>
        <v>10.159999999999997</v>
      </c>
      <c r="BG52" s="4">
        <f>Base[[#This Row],[Espérance_vie]]+Base[[#This Row],['[SC']Hausse_esp_de_vie]]-Base[[#This Row],['[SC']Âge_moyen_retraite]]</f>
        <v>19.90101171382144</v>
      </c>
      <c r="BH52" s="4">
        <v>106583.42676924677</v>
      </c>
      <c r="BI52" s="4">
        <v>97601.789429271477</v>
      </c>
      <c r="BJ52" s="4">
        <v>302038.31496633729</v>
      </c>
      <c r="BK52" s="4">
        <v>117293.58934859755</v>
      </c>
      <c r="BL52" s="4">
        <v>1523999.9999999995</v>
      </c>
      <c r="BM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" s="4">
        <v>294804.96027377353</v>
      </c>
      <c r="BO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" s="4">
        <f>(Base[[#This Row],['[SC']'[Mort_prématurée']Gains]]-Base[[#This Row],['[SC']'[Mort_prématurée']Coûts]])/Base[[#This Row],[Population_totale]]</f>
        <v>0</v>
      </c>
      <c r="BQ52" s="4">
        <f>IF(Base[[#This Row],[Pathologie]]&lt;&gt;"Mort prématurée",0,Base[[#This Row],[Risque]])</f>
        <v>0</v>
      </c>
      <c r="BR52" s="4">
        <v>2680</v>
      </c>
      <c r="BS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2.1313311150045425E-3</v>
      </c>
      <c r="BT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52" s="4">
        <f>Base[[#This Row],[Prévalence_prod]]*(1-Base[[#This Row],[Risque]])*Base[[#This Row],[Durée_arrêt]]*Base[[#This Row],[Population_emploi]]</f>
        <v>14534900.489575392</v>
      </c>
      <c r="BV52" s="4">
        <f>Base[[#This Row],['[Prod']'[Absentéisme']Total_jours_absence_avant]]-Base[[#This Row],['[Prod']'[Absentéisme']Total_jours_absence_après]]</f>
        <v>1434179.5543299224</v>
      </c>
      <c r="BW52" s="4">
        <f>IF(AND(Base[[#This Row],[Pathologie]]&lt;&gt;"Dépendance",Base[[#This Row],[Pathologie]]&lt;&gt;"Mort prématurée",Base[[#This Row],[Pathologie]]&lt;&gt;"Migraine"),0.0619,0)</f>
        <v>6.1899999999999997E-2</v>
      </c>
      <c r="BX52" s="4">
        <v>254</v>
      </c>
      <c r="BY5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52" s="4">
        <f>(Base[[#This Row],['[Prod']'[Absentéisme']Jours_théoriques]]-Base[[#This Row],['[Prod']'[Absentéisme']Total_jours_absence_évités]])/(Base[[#This Row],[Population_emploi]]*Base[[#This Row],['[Prod']Jours_ouvrés]])</f>
        <v>4.4797934696211971E-3</v>
      </c>
      <c r="CA52" s="4">
        <f>Base[[#This Row],[Prévalence_prod]]*Base[[#This Row],[Présentéisme]]*Base[[#This Row],['[Prod']Jours_ouvrés]]</f>
        <v>0.56134000000000006</v>
      </c>
      <c r="CB52" s="4">
        <f>Base[[#This Row],[Prévalence_prod]]*(1-Base[[#This Row],[Risque]])*Base[[#This Row],[Présentéisme]]*Base[[#This Row],['[Prod']Jours_ouvrés]]</f>
        <v>0.51092617848904731</v>
      </c>
      <c r="CC52" s="4">
        <f>Base[[#This Row],['[Prod']'[Présentéisme']Jours_avant]]-Base[[#This Row],['[Prod']'[Présentéisme']Jours_après]]</f>
        <v>5.041382151095275E-2</v>
      </c>
      <c r="CD52" s="4">
        <f>Base[[#This Row],['[Prod']'[Présentéisme']Jours_gagnés]]/Base[[#This Row],['[Prod']Jours_ouvrés]]</f>
        <v>1.9847961224784546E-4</v>
      </c>
      <c r="CE52">
        <v>5.8333039429220801E-2</v>
      </c>
      <c r="CF52">
        <v>1.4658164114728258E-2</v>
      </c>
      <c r="CG52" s="4">
        <v>11</v>
      </c>
      <c r="CH52" s="4">
        <v>0.85076983926913452</v>
      </c>
      <c r="CI52" s="4">
        <v>0</v>
      </c>
      <c r="CJ52" s="4">
        <f>IF(Base[[#This Row],[Secteur]]&lt;&gt;"Moyenne",Base[[#This Row],['[Prod']'[Turnover']DMC_initiale]]*(1+Base[[#This Row],['[Prod']'[Turnover']Ecart_accidents]]*Base[[#This Row],['[Prod']Impact_motifs_turnover]]),CJ35*CI35+CJ36*CI36+CJ37*CI37+CJ38*CI38+CJ39*CI39+CJ40*CI40+CJ41*CI41+CJ42*CI42+CJ43*CI43+CJ44*CI44+CJ45*CI45+CJ46*CI46+CJ47*CI47+CJ48*CI48+CJ49*CI49+CJ50*CI50+CJ51*CI51)</f>
        <v>11.137177963206547</v>
      </c>
      <c r="CK52" s="4">
        <f>1/Base[[#This Row],['[Prod']'[Turnover']DMC_initiale]]</f>
        <v>9.0909090909090912E-2</v>
      </c>
      <c r="CL52" s="4">
        <f>1/Base[[#This Row],['[Prod']'[Turnover']DMC_finale]]</f>
        <v>8.9789352680154741E-2</v>
      </c>
    </row>
    <row r="53" spans="2:90" x14ac:dyDescent="0.25">
      <c r="B53" s="4" t="s">
        <v>315</v>
      </c>
      <c r="C53">
        <v>7.5</v>
      </c>
      <c r="D53" t="s">
        <v>84</v>
      </c>
      <c r="E53" t="s">
        <v>4</v>
      </c>
      <c r="F53" s="3">
        <v>0.2893870666258177</v>
      </c>
      <c r="G53" s="3">
        <v>3.6700000000000003E-2</v>
      </c>
      <c r="H53" s="3">
        <v>3.6700000000000003E-2</v>
      </c>
      <c r="I53" s="3">
        <v>0.114</v>
      </c>
      <c r="J53" s="3">
        <v>10.311441509770701</v>
      </c>
      <c r="K53" s="3">
        <v>7.0000000000000007E-2</v>
      </c>
      <c r="L53" s="2">
        <f>Base[[#This Row],[Coût]]*Base[[#This Row],[Part_ménages_dépenses_santé]]</f>
        <v>0.72180090568394906</v>
      </c>
      <c r="M53" s="2">
        <v>0.99731334462301791</v>
      </c>
      <c r="N53" s="6">
        <v>27700000</v>
      </c>
      <c r="O53" s="7">
        <f>Base[[#This Row],[Coût_salarié]]*10^9*Base[[#This Row],[Risque]]*Base[[#This Row],[Prévalence]]*Base[[#This Row],[Part_coûts_salarié]]/Base[[#This Row],[Population_emploi]]</f>
        <v>0.27600342134882699</v>
      </c>
      <c r="P53">
        <v>50</v>
      </c>
      <c r="Q53">
        <v>50</v>
      </c>
      <c r="R53" s="2">
        <v>9.9999999999999978E-2</v>
      </c>
      <c r="S53" s="2">
        <v>0.33340000000000003</v>
      </c>
      <c r="T53" s="4">
        <v>3.6700000000000003E-2</v>
      </c>
      <c r="U53" s="4">
        <f>IF(Bases_annexes!$F$5=0,16.6587111018772,0.77*Bases_annexes!$F$5/(IF(OR(ISBLANK('Données_d''entrée'!$E$44),'Données_d''entrée'!$E$44=0),35,'Données_d''entrée'!$E$44)*52))</f>
        <v>16.658711101877199</v>
      </c>
      <c r="V53" s="4">
        <v>10.42033853287208</v>
      </c>
      <c r="W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3" s="4">
        <v>234.5</v>
      </c>
      <c r="Y53" s="4">
        <f>(Base[[#This Row],['[Maladies']Coûts_évités_par_salarié]]+Base[[#This Row],['[Travail']Coûts_évités_par_salarié]])/Base[[#This Row],[Budget_santé_salarié]]</f>
        <v>2.0939832741372771E-2</v>
      </c>
      <c r="Z53" s="4">
        <v>0.8</v>
      </c>
      <c r="AA53" s="4">
        <f>Base[[#This Row],[Coût]]*Base[[#This Row],[Part_société_dépenses_santé]]</f>
        <v>8.2491532078165601</v>
      </c>
      <c r="AB53" s="4">
        <v>67635124</v>
      </c>
      <c r="AC53" s="4">
        <v>82.297079063317852</v>
      </c>
      <c r="AD53" s="4">
        <v>3.6700000000000003E-2</v>
      </c>
      <c r="AE53" s="4">
        <f>Base[[#This Row],['[SC']Prévalence_travail]]*Base[[#This Row],[Population_emploi]]</f>
        <v>1016590.0000000001</v>
      </c>
      <c r="AF53" s="4">
        <f>Base[[#This Row],[Risque]]*Base[[#This Row],['[SC']Patients_en_emploi]]</f>
        <v>294187.99806114007</v>
      </c>
      <c r="AG53" s="4">
        <v>756671404.20000005</v>
      </c>
      <c r="AH53" s="4">
        <f>IFERROR(Base[[#This Row],['[SC']Prestations]]/Base[[#This Row],['[SC']Patients_en_emploi]],0)</f>
        <v>744.32308423258144</v>
      </c>
      <c r="AI53" s="4">
        <v>51.7</v>
      </c>
      <c r="AJ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3" s="4">
        <f>Base[[#This Row],['[SC']'[Travail']Coûts_évités]]/Base[[#This Row],[Population_emploi]]</f>
        <v>7.9050872946236987</v>
      </c>
      <c r="AL53" s="4">
        <f>Base[[#This Row],[Coût_société]]*10^9*Base[[#This Row],[Risque]]*Base[[#This Row],[Prévalence]]*Base[[#This Row],[Part_coûts_salarié]]/Base[[#This Row],[Population_emploi]]</f>
        <v>3.154324815415166</v>
      </c>
      <c r="AM53" s="4">
        <f>IF(Base[[#This Row],[Pathologie]]&lt;&gt;"Dépendance",0,14909.24243952)</f>
        <v>0</v>
      </c>
      <c r="AN53" s="4">
        <f>IF(Base[[#This Row],[Pathologie]]&lt;&gt;"Dépendance",0,1316000)</f>
        <v>0</v>
      </c>
      <c r="AO53" s="4">
        <f>IF(Base[[#This Row],[Pathologie]]&lt;&gt;"Dépendance",0,Base[[#This Row],['[SC']Coût_personne_dépendante]]*Base[[#This Row],['[SC']Nb_personnes_dépendantes]])</f>
        <v>0</v>
      </c>
      <c r="AP53" s="4">
        <f>IF(Base[[#This Row],[Pathologie]]&lt;&gt;"Dépendance",0,Base[[#This Row],['[SC']Coût_total_dépendance]]/Base[[#This Row],[Population_totale]])</f>
        <v>0</v>
      </c>
      <c r="AQ53" s="4">
        <f>IF(Base[[#This Row],[Pathologie]]&lt;&gt;"Dépendance",0,4.5)</f>
        <v>0</v>
      </c>
      <c r="AR53" s="4">
        <v>0.50393265050357905</v>
      </c>
      <c r="AS53" s="4">
        <f>Base[[#This Row],[Espérance_vie]]+Base[[#This Row],['[SC']Hausse_esp_de_vie]]-Base[[#This Row],['[SC']Durée_moyenne_dépendance_avt]]+Base[[#This Row],[Risque]]</f>
        <v>83.090398780447259</v>
      </c>
      <c r="AT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" s="4">
        <v>62.9</v>
      </c>
      <c r="AW53" s="4">
        <f t="shared" si="0"/>
        <v>336905600000</v>
      </c>
      <c r="AX53" s="4">
        <v>15049171</v>
      </c>
      <c r="AY53" s="4">
        <f>Base[[#This Row],['[SC']Budget_total_retraites]]/Base[[#This Row],['[SC']Nombre_de_retraités]]</f>
        <v>22386.987296509556</v>
      </c>
      <c r="AZ53" s="4">
        <f>Base[[#This Row],['[SC']Budget_par_retraité]]*Base[[#This Row],['[SC']Nb_personnes_dépendantes]]</f>
        <v>0</v>
      </c>
      <c r="BA53" s="4">
        <f>Base[[#This Row],['[SC']'[Dépendance']Coût_retraite_personnes_dépendantes]]/Base[[#This Row],[Population_totale]]</f>
        <v>0</v>
      </c>
      <c r="BB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" s="4">
        <f>Base[[#This Row],['[SC']'[Dépendance']Gains]]-Base[[#This Row],['[SC']'[Dépendance']Coûts]]</f>
        <v>0</v>
      </c>
      <c r="BD53" s="4">
        <f>IF(Base[[#This Row],[Pathologie]]&lt;&gt;"Mort prématurée",0,Base[[#This Row],[Risque]]*Base[[#This Row],[Prévalence]]*Base[[#This Row],[Population_totale]])</f>
        <v>0</v>
      </c>
      <c r="BE53" s="4">
        <v>52.74</v>
      </c>
      <c r="BF53" s="4">
        <f>Base[[#This Row],['[SC']Âge_moyen_retraite]]-Base[[#This Row],['[SC']'[Mort_prématurée']Âge_moyen_mort précoce]]</f>
        <v>10.159999999999997</v>
      </c>
      <c r="BG53" s="4">
        <f>Base[[#This Row],[Espérance_vie]]+Base[[#This Row],['[SC']Hausse_esp_de_vie]]-Base[[#This Row],['[SC']Âge_moyen_retraite]]</f>
        <v>19.90101171382144</v>
      </c>
      <c r="BH53" s="4">
        <v>106583.42676924677</v>
      </c>
      <c r="BI53" s="4">
        <v>97601.789429271477</v>
      </c>
      <c r="BJ53" s="4">
        <v>302038.31496633729</v>
      </c>
      <c r="BK53" s="4">
        <v>117293.58934859755</v>
      </c>
      <c r="BL53" s="4">
        <v>1523999.9999999995</v>
      </c>
      <c r="BM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" s="4">
        <v>294804.96027377353</v>
      </c>
      <c r="BO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" s="4">
        <f>(Base[[#This Row],['[SC']'[Mort_prématurée']Gains]]-Base[[#This Row],['[SC']'[Mort_prématurée']Coûts]])/Base[[#This Row],[Population_totale]]</f>
        <v>0</v>
      </c>
      <c r="BQ53" s="4">
        <f>IF(Base[[#This Row],[Pathologie]]&lt;&gt;"Mort prématurée",0,Base[[#This Row],[Risque]])</f>
        <v>0</v>
      </c>
      <c r="BR53" s="4">
        <v>2680</v>
      </c>
      <c r="BS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3" s="4">
        <f>Base[[#This Row],[Prévalence_prod]]*(1-Base[[#This Row],[Risque]])*Base[[#This Row],[Durée_arrêt]]*Base[[#This Row],[Population_emploi]]</f>
        <v>7527673.4170274343</v>
      </c>
      <c r="BV53" s="4">
        <f>Base[[#This Row],['[Prod']'[Absentéisme']Total_jours_absence_avant]]-Base[[#This Row],['[Prod']'[Absentéisme']Total_jours_absence_après]]</f>
        <v>3065538.5321049951</v>
      </c>
      <c r="BW53" s="4">
        <f>IF(AND(Base[[#This Row],[Pathologie]]&lt;&gt;"Dépendance",Base[[#This Row],[Pathologie]]&lt;&gt;"Mort prématurée",Base[[#This Row],[Pathologie]]&lt;&gt;"Migraine"),0.0619,0)</f>
        <v>6.1899999999999997E-2</v>
      </c>
      <c r="BX53" s="4">
        <v>254</v>
      </c>
      <c r="BY53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3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3" s="4">
        <f>Base[[#This Row],[Prévalence_prod]]*Base[[#This Row],[Présentéisme]]*Base[[#This Row],['[Prod']Jours_ouvrés]]</f>
        <v>1.0626852000000002</v>
      </c>
      <c r="CB53" s="4">
        <f>Base[[#This Row],[Prévalence_prod]]*(1-Base[[#This Row],[Risque]])*Base[[#This Row],[Présentéisme]]*Base[[#This Row],['[Prod']Jours_ouvrés]]</f>
        <v>0.75515784722532964</v>
      </c>
      <c r="CC53" s="4">
        <f>Base[[#This Row],['[Prod']'[Présentéisme']Jours_avant]]-Base[[#This Row],['[Prod']'[Présentéisme']Jours_après]]</f>
        <v>0.30752735277467058</v>
      </c>
      <c r="CD53" s="4">
        <f>Base[[#This Row],['[Prod']'[Présentéisme']Jours_gagnés]]/Base[[#This Row],['[Prod']Jours_ouvrés]]</f>
        <v>1.2107376093490967E-3</v>
      </c>
      <c r="CE53">
        <v>5.8333039429220801E-2</v>
      </c>
      <c r="CF53">
        <v>1.4658164114728258E-2</v>
      </c>
      <c r="CG53" s="4">
        <v>11</v>
      </c>
      <c r="CH53" s="4">
        <v>1.3966184516047948</v>
      </c>
      <c r="CI53" s="4">
        <v>1.4392894727292521E-2</v>
      </c>
      <c r="CJ53" s="4">
        <f>IF(Base[[#This Row],[Secteur]]&lt;&gt;"Moyenne",Base[[#This Row],['[Prod']'[Turnover']DMC_initiale]]*(1+Base[[#This Row],['[Prod']'[Turnover']Ecart_accidents]]*Base[[#This Row],['[Prod']Impact_motifs_turnover]]),CJ36*CI36+CJ37*CI37+CJ38*CI38+CJ39*CI39+CJ40*CI40+CJ41*CI41+CJ42*CI42+CJ43*CI43+CJ44*CI44+CJ45*CI45+CJ46*CI46+CJ47*CI47+CJ48*CI48+CJ49*CI49+CJ50*CI50+CJ51*CI51+CJ52*CI52)</f>
        <v>11.225190487162088</v>
      </c>
      <c r="CK53" s="4">
        <f>1/Base[[#This Row],['[Prod']'[Turnover']DMC_initiale]]</f>
        <v>9.0909090909090912E-2</v>
      </c>
      <c r="CL53" s="4">
        <f>1/Base[[#This Row],['[Prod']'[Turnover']DMC_finale]]</f>
        <v>8.9085347918475846E-2</v>
      </c>
    </row>
    <row r="54" spans="2:90" x14ac:dyDescent="0.25">
      <c r="B54" s="4" t="s">
        <v>316</v>
      </c>
      <c r="C54">
        <v>7.5</v>
      </c>
      <c r="D54" t="s">
        <v>84</v>
      </c>
      <c r="E54" t="s">
        <v>4</v>
      </c>
      <c r="F54" s="3">
        <v>0.2893870666258177</v>
      </c>
      <c r="G54" s="3">
        <v>3.6700000000000003E-2</v>
      </c>
      <c r="H54" s="3">
        <v>3.6700000000000003E-2</v>
      </c>
      <c r="I54" s="3">
        <v>0.114</v>
      </c>
      <c r="J54" s="3">
        <v>10.311441509770701</v>
      </c>
      <c r="K54" s="3">
        <v>7.0000000000000007E-2</v>
      </c>
      <c r="L54" s="2">
        <f>Base[[#This Row],[Coût]]*Base[[#This Row],[Part_ménages_dépenses_santé]]</f>
        <v>0.72180090568394906</v>
      </c>
      <c r="M54" s="2">
        <v>0.99731334462301791</v>
      </c>
      <c r="N54" s="6">
        <v>27700000</v>
      </c>
      <c r="O54" s="7">
        <f>Base[[#This Row],[Coût_salarié]]*10^9*Base[[#This Row],[Risque]]*Base[[#This Row],[Prévalence]]*Base[[#This Row],[Part_coûts_salarié]]/Base[[#This Row],[Population_emploi]]</f>
        <v>0.27600342134882699</v>
      </c>
      <c r="P54">
        <v>50</v>
      </c>
      <c r="Q54">
        <v>50</v>
      </c>
      <c r="R54" s="2">
        <v>9.9999999999999978E-2</v>
      </c>
      <c r="S54" s="2">
        <v>0.33340000000000003</v>
      </c>
      <c r="T54" s="4">
        <v>3.6700000000000003E-2</v>
      </c>
      <c r="U54" s="4">
        <f>IF(Bases_annexes!$F$5=0,16.6587111018772,0.77*Bases_annexes!$F$5/(IF(OR(ISBLANK('Données_d''entrée'!$E$44),'Données_d''entrée'!$E$44=0),35,'Données_d''entrée'!$E$44)*52))</f>
        <v>16.658711101877199</v>
      </c>
      <c r="V54" s="4">
        <v>10.42033853287208</v>
      </c>
      <c r="W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4" s="4">
        <v>234.5</v>
      </c>
      <c r="Y54" s="4">
        <f>(Base[[#This Row],['[Maladies']Coûts_évités_par_salarié]]+Base[[#This Row],['[Travail']Coûts_évités_par_salarié]])/Base[[#This Row],[Budget_santé_salarié]]</f>
        <v>2.0939832741372771E-2</v>
      </c>
      <c r="Z54" s="4">
        <v>0.8</v>
      </c>
      <c r="AA54" s="4">
        <f>Base[[#This Row],[Coût]]*Base[[#This Row],[Part_société_dépenses_santé]]</f>
        <v>8.2491532078165601</v>
      </c>
      <c r="AB54" s="4">
        <v>67635124</v>
      </c>
      <c r="AC54" s="4">
        <v>82.297079063317852</v>
      </c>
      <c r="AD54" s="4">
        <v>3.6700000000000003E-2</v>
      </c>
      <c r="AE54" s="4">
        <f>Base[[#This Row],['[SC']Prévalence_travail]]*Base[[#This Row],[Population_emploi]]</f>
        <v>1016590.0000000001</v>
      </c>
      <c r="AF54" s="4">
        <f>Base[[#This Row],[Risque]]*Base[[#This Row],['[SC']Patients_en_emploi]]</f>
        <v>294187.99806114007</v>
      </c>
      <c r="AG54" s="4">
        <v>756671404.20000005</v>
      </c>
      <c r="AH54" s="4">
        <f>IFERROR(Base[[#This Row],['[SC']Prestations]]/Base[[#This Row],['[SC']Patients_en_emploi]],0)</f>
        <v>744.32308423258144</v>
      </c>
      <c r="AI54" s="4">
        <v>51.7</v>
      </c>
      <c r="AJ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4" s="4">
        <f>Base[[#This Row],['[SC']'[Travail']Coûts_évités]]/Base[[#This Row],[Population_emploi]]</f>
        <v>7.9050872946236987</v>
      </c>
      <c r="AL54" s="4">
        <f>Base[[#This Row],[Coût_société]]*10^9*Base[[#This Row],[Risque]]*Base[[#This Row],[Prévalence]]*Base[[#This Row],[Part_coûts_salarié]]/Base[[#This Row],[Population_emploi]]</f>
        <v>3.154324815415166</v>
      </c>
      <c r="AM54" s="4">
        <f>IF(Base[[#This Row],[Pathologie]]&lt;&gt;"Dépendance",0,14909.24243952)</f>
        <v>0</v>
      </c>
      <c r="AN54" s="4">
        <f>IF(Base[[#This Row],[Pathologie]]&lt;&gt;"Dépendance",0,1316000)</f>
        <v>0</v>
      </c>
      <c r="AO54" s="4">
        <f>IF(Base[[#This Row],[Pathologie]]&lt;&gt;"Dépendance",0,Base[[#This Row],['[SC']Coût_personne_dépendante]]*Base[[#This Row],['[SC']Nb_personnes_dépendantes]])</f>
        <v>0</v>
      </c>
      <c r="AP54" s="4">
        <f>IF(Base[[#This Row],[Pathologie]]&lt;&gt;"Dépendance",0,Base[[#This Row],['[SC']Coût_total_dépendance]]/Base[[#This Row],[Population_totale]])</f>
        <v>0</v>
      </c>
      <c r="AQ54" s="4">
        <f>IF(Base[[#This Row],[Pathologie]]&lt;&gt;"Dépendance",0,4.5)</f>
        <v>0</v>
      </c>
      <c r="AR54" s="4">
        <v>0.50393265050357905</v>
      </c>
      <c r="AS54" s="4">
        <f>Base[[#This Row],[Espérance_vie]]+Base[[#This Row],['[SC']Hausse_esp_de_vie]]-Base[[#This Row],['[SC']Durée_moyenne_dépendance_avt]]+Base[[#This Row],[Risque]]</f>
        <v>83.090398780447259</v>
      </c>
      <c r="AT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" s="4">
        <v>62.9</v>
      </c>
      <c r="AW54" s="4">
        <f t="shared" si="0"/>
        <v>336905600000</v>
      </c>
      <c r="AX54" s="4">
        <v>15049171</v>
      </c>
      <c r="AY54" s="4">
        <f>Base[[#This Row],['[SC']Budget_total_retraites]]/Base[[#This Row],['[SC']Nombre_de_retraités]]</f>
        <v>22386.987296509556</v>
      </c>
      <c r="AZ54" s="4">
        <f>Base[[#This Row],['[SC']Budget_par_retraité]]*Base[[#This Row],['[SC']Nb_personnes_dépendantes]]</f>
        <v>0</v>
      </c>
      <c r="BA54" s="4">
        <f>Base[[#This Row],['[SC']'[Dépendance']Coût_retraite_personnes_dépendantes]]/Base[[#This Row],[Population_totale]]</f>
        <v>0</v>
      </c>
      <c r="BB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" s="4">
        <f>Base[[#This Row],['[SC']'[Dépendance']Gains]]-Base[[#This Row],['[SC']'[Dépendance']Coûts]]</f>
        <v>0</v>
      </c>
      <c r="BD54" s="4">
        <f>IF(Base[[#This Row],[Pathologie]]&lt;&gt;"Mort prématurée",0,Base[[#This Row],[Risque]]*Base[[#This Row],[Prévalence]]*Base[[#This Row],[Population_totale]])</f>
        <v>0</v>
      </c>
      <c r="BE54" s="4">
        <v>52.74</v>
      </c>
      <c r="BF54" s="4">
        <f>Base[[#This Row],['[SC']Âge_moyen_retraite]]-Base[[#This Row],['[SC']'[Mort_prématurée']Âge_moyen_mort précoce]]</f>
        <v>10.159999999999997</v>
      </c>
      <c r="BG54" s="4">
        <f>Base[[#This Row],[Espérance_vie]]+Base[[#This Row],['[SC']Hausse_esp_de_vie]]-Base[[#This Row],['[SC']Âge_moyen_retraite]]</f>
        <v>19.90101171382144</v>
      </c>
      <c r="BH54" s="4">
        <v>106583.42676924677</v>
      </c>
      <c r="BI54" s="4">
        <v>97601.789429271477</v>
      </c>
      <c r="BJ54" s="4">
        <v>302038.31496633729</v>
      </c>
      <c r="BK54" s="4">
        <v>117293.58934859755</v>
      </c>
      <c r="BL54" s="4">
        <v>1523999.9999999995</v>
      </c>
      <c r="BM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" s="4">
        <v>294804.96027377353</v>
      </c>
      <c r="BO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" s="4">
        <f>(Base[[#This Row],['[SC']'[Mort_prématurée']Gains]]-Base[[#This Row],['[SC']'[Mort_prématurée']Coûts]])/Base[[#This Row],[Population_totale]]</f>
        <v>0</v>
      </c>
      <c r="BQ54" s="4">
        <f>IF(Base[[#This Row],[Pathologie]]&lt;&gt;"Mort prématurée",0,Base[[#This Row],[Risque]])</f>
        <v>0</v>
      </c>
      <c r="BR54" s="4">
        <v>2680</v>
      </c>
      <c r="BS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4" s="4">
        <f>Base[[#This Row],[Prévalence_prod]]*(1-Base[[#This Row],[Risque]])*Base[[#This Row],[Durée_arrêt]]*Base[[#This Row],[Population_emploi]]</f>
        <v>7527673.4170274343</v>
      </c>
      <c r="BV54" s="4">
        <f>Base[[#This Row],['[Prod']'[Absentéisme']Total_jours_absence_avant]]-Base[[#This Row],['[Prod']'[Absentéisme']Total_jours_absence_après]]</f>
        <v>3065538.5321049951</v>
      </c>
      <c r="BW54" s="4">
        <f>IF(AND(Base[[#This Row],[Pathologie]]&lt;&gt;"Dépendance",Base[[#This Row],[Pathologie]]&lt;&gt;"Mort prématurée",Base[[#This Row],[Pathologie]]&lt;&gt;"Migraine"),0.0619,0)</f>
        <v>6.1899999999999997E-2</v>
      </c>
      <c r="BX54" s="4">
        <v>254</v>
      </c>
      <c r="BY54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4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4" s="4">
        <f>Base[[#This Row],[Prévalence_prod]]*Base[[#This Row],[Présentéisme]]*Base[[#This Row],['[Prod']Jours_ouvrés]]</f>
        <v>1.0626852000000002</v>
      </c>
      <c r="CB54" s="4">
        <f>Base[[#This Row],[Prévalence_prod]]*(1-Base[[#This Row],[Risque]])*Base[[#This Row],[Présentéisme]]*Base[[#This Row],['[Prod']Jours_ouvrés]]</f>
        <v>0.75515784722532964</v>
      </c>
      <c r="CC54" s="4">
        <f>Base[[#This Row],['[Prod']'[Présentéisme']Jours_avant]]-Base[[#This Row],['[Prod']'[Présentéisme']Jours_après]]</f>
        <v>0.30752735277467058</v>
      </c>
      <c r="CD54" s="4">
        <f>Base[[#This Row],['[Prod']'[Présentéisme']Jours_gagnés]]/Base[[#This Row],['[Prod']Jours_ouvrés]]</f>
        <v>1.2107376093490967E-3</v>
      </c>
      <c r="CE54">
        <v>5.8333039429220801E-2</v>
      </c>
      <c r="CF54">
        <v>1.4658164114728258E-2</v>
      </c>
      <c r="CG54" s="4">
        <v>11</v>
      </c>
      <c r="CH54" s="4">
        <v>0.68054183762612652</v>
      </c>
      <c r="CI54" s="4">
        <v>1.2135452577082654E-2</v>
      </c>
      <c r="CJ54" s="4">
        <f>IF(Base[[#This Row],[Secteur]]&lt;&gt;"Moyenne",Base[[#This Row],['[Prod']'[Turnover']DMC_initiale]]*(1+Base[[#This Row],['[Prod']'[Turnover']Ecart_accidents]]*Base[[#This Row],['[Prod']Impact_motifs_turnover]]),CJ37*CI37+CJ38*CI38+CJ39*CI39+CJ40*CI40+CJ41*CI41+CJ42*CI42+CJ43*CI43+CJ44*CI44+CJ45*CI45+CJ46*CI46+CJ47*CI47+CJ48*CI48+CJ49*CI49+CJ50*CI50+CJ51*CI51+CJ52*CI52+CJ53*CI53)</f>
        <v>11.109730433371487</v>
      </c>
      <c r="CK54" s="4">
        <f>1/Base[[#This Row],['[Prod']'[Turnover']DMC_initiale]]</f>
        <v>9.0909090909090912E-2</v>
      </c>
      <c r="CL54" s="4">
        <f>1/Base[[#This Row],['[Prod']'[Turnover']DMC_finale]]</f>
        <v>9.001118487953523E-2</v>
      </c>
    </row>
    <row r="55" spans="2:90" x14ac:dyDescent="0.25">
      <c r="B55" s="4" t="s">
        <v>317</v>
      </c>
      <c r="C55">
        <v>7.5</v>
      </c>
      <c r="D55" t="s">
        <v>84</v>
      </c>
      <c r="E55" t="s">
        <v>4</v>
      </c>
      <c r="F55" s="3">
        <v>0.2893870666258177</v>
      </c>
      <c r="G55" s="3">
        <v>3.6700000000000003E-2</v>
      </c>
      <c r="H55" s="3">
        <v>3.6700000000000003E-2</v>
      </c>
      <c r="I55" s="3">
        <v>0.114</v>
      </c>
      <c r="J55" s="3">
        <v>10.311441509770701</v>
      </c>
      <c r="K55" s="3">
        <v>7.0000000000000007E-2</v>
      </c>
      <c r="L55" s="2">
        <f>Base[[#This Row],[Coût]]*Base[[#This Row],[Part_ménages_dépenses_santé]]</f>
        <v>0.72180090568394906</v>
      </c>
      <c r="M55" s="2">
        <v>0.99731334462301791</v>
      </c>
      <c r="N55" s="6">
        <v>27700000</v>
      </c>
      <c r="O55" s="7">
        <f>Base[[#This Row],[Coût_salarié]]*10^9*Base[[#This Row],[Risque]]*Base[[#This Row],[Prévalence]]*Base[[#This Row],[Part_coûts_salarié]]/Base[[#This Row],[Population_emploi]]</f>
        <v>0.27600342134882699</v>
      </c>
      <c r="P55">
        <v>50</v>
      </c>
      <c r="Q55">
        <v>50</v>
      </c>
      <c r="R55" s="2">
        <v>9.9999999999999978E-2</v>
      </c>
      <c r="S55" s="2">
        <v>0.33340000000000003</v>
      </c>
      <c r="T55" s="4">
        <v>3.6700000000000003E-2</v>
      </c>
      <c r="U55" s="4">
        <f>IF(Bases_annexes!$F$5=0,16.6587111018772,0.77*Bases_annexes!$F$5/(IF(OR(ISBLANK('Données_d''entrée'!$E$44),'Données_d''entrée'!$E$44=0),35,'Données_d''entrée'!$E$44)*52))</f>
        <v>16.658711101877199</v>
      </c>
      <c r="V55" s="4">
        <v>10.42033853287208</v>
      </c>
      <c r="W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5" s="4">
        <v>234.5</v>
      </c>
      <c r="Y55" s="4">
        <f>(Base[[#This Row],['[Maladies']Coûts_évités_par_salarié]]+Base[[#This Row],['[Travail']Coûts_évités_par_salarié]])/Base[[#This Row],[Budget_santé_salarié]]</f>
        <v>2.0939832741372771E-2</v>
      </c>
      <c r="Z55" s="4">
        <v>0.8</v>
      </c>
      <c r="AA55" s="4">
        <f>Base[[#This Row],[Coût]]*Base[[#This Row],[Part_société_dépenses_santé]]</f>
        <v>8.2491532078165601</v>
      </c>
      <c r="AB55" s="4">
        <v>67635124</v>
      </c>
      <c r="AC55" s="4">
        <v>82.297079063317852</v>
      </c>
      <c r="AD55" s="4">
        <v>3.6700000000000003E-2</v>
      </c>
      <c r="AE55" s="4">
        <f>Base[[#This Row],['[SC']Prévalence_travail]]*Base[[#This Row],[Population_emploi]]</f>
        <v>1016590.0000000001</v>
      </c>
      <c r="AF55" s="4">
        <f>Base[[#This Row],[Risque]]*Base[[#This Row],['[SC']Patients_en_emploi]]</f>
        <v>294187.99806114007</v>
      </c>
      <c r="AG55" s="4">
        <v>756671404.20000005</v>
      </c>
      <c r="AH55" s="4">
        <f>IFERROR(Base[[#This Row],['[SC']Prestations]]/Base[[#This Row],['[SC']Patients_en_emploi]],0)</f>
        <v>744.32308423258144</v>
      </c>
      <c r="AI55" s="4">
        <v>51.7</v>
      </c>
      <c r="AJ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5" s="4">
        <f>Base[[#This Row],['[SC']'[Travail']Coûts_évités]]/Base[[#This Row],[Population_emploi]]</f>
        <v>7.9050872946236987</v>
      </c>
      <c r="AL55" s="4">
        <f>Base[[#This Row],[Coût_société]]*10^9*Base[[#This Row],[Risque]]*Base[[#This Row],[Prévalence]]*Base[[#This Row],[Part_coûts_salarié]]/Base[[#This Row],[Population_emploi]]</f>
        <v>3.154324815415166</v>
      </c>
      <c r="AM55" s="4">
        <f>IF(Base[[#This Row],[Pathologie]]&lt;&gt;"Dépendance",0,14909.24243952)</f>
        <v>0</v>
      </c>
      <c r="AN55" s="4">
        <f>IF(Base[[#This Row],[Pathologie]]&lt;&gt;"Dépendance",0,1316000)</f>
        <v>0</v>
      </c>
      <c r="AO55" s="4">
        <f>IF(Base[[#This Row],[Pathologie]]&lt;&gt;"Dépendance",0,Base[[#This Row],['[SC']Coût_personne_dépendante]]*Base[[#This Row],['[SC']Nb_personnes_dépendantes]])</f>
        <v>0</v>
      </c>
      <c r="AP55" s="4">
        <f>IF(Base[[#This Row],[Pathologie]]&lt;&gt;"Dépendance",0,Base[[#This Row],['[SC']Coût_total_dépendance]]/Base[[#This Row],[Population_totale]])</f>
        <v>0</v>
      </c>
      <c r="AQ55" s="4">
        <f>IF(Base[[#This Row],[Pathologie]]&lt;&gt;"Dépendance",0,4.5)</f>
        <v>0</v>
      </c>
      <c r="AR55" s="4">
        <v>0.50393265050357905</v>
      </c>
      <c r="AS55" s="4">
        <f>Base[[#This Row],[Espérance_vie]]+Base[[#This Row],['[SC']Hausse_esp_de_vie]]-Base[[#This Row],['[SC']Durée_moyenne_dépendance_avt]]+Base[[#This Row],[Risque]]</f>
        <v>83.090398780447259</v>
      </c>
      <c r="AT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" s="4">
        <v>62.9</v>
      </c>
      <c r="AW55" s="4">
        <f t="shared" si="0"/>
        <v>336905600000</v>
      </c>
      <c r="AX55" s="4">
        <v>15049171</v>
      </c>
      <c r="AY55" s="4">
        <f>Base[[#This Row],['[SC']Budget_total_retraites]]/Base[[#This Row],['[SC']Nombre_de_retraités]]</f>
        <v>22386.987296509556</v>
      </c>
      <c r="AZ55" s="4">
        <f>Base[[#This Row],['[SC']Budget_par_retraité]]*Base[[#This Row],['[SC']Nb_personnes_dépendantes]]</f>
        <v>0</v>
      </c>
      <c r="BA55" s="4">
        <f>Base[[#This Row],['[SC']'[Dépendance']Coût_retraite_personnes_dépendantes]]/Base[[#This Row],[Population_totale]]</f>
        <v>0</v>
      </c>
      <c r="BB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" s="4">
        <f>Base[[#This Row],['[SC']'[Dépendance']Gains]]-Base[[#This Row],['[SC']'[Dépendance']Coûts]]</f>
        <v>0</v>
      </c>
      <c r="BD55" s="4">
        <f>IF(Base[[#This Row],[Pathologie]]&lt;&gt;"Mort prématurée",0,Base[[#This Row],[Risque]]*Base[[#This Row],[Prévalence]]*Base[[#This Row],[Population_totale]])</f>
        <v>0</v>
      </c>
      <c r="BE55" s="4">
        <v>52.74</v>
      </c>
      <c r="BF55" s="4">
        <f>Base[[#This Row],['[SC']Âge_moyen_retraite]]-Base[[#This Row],['[SC']'[Mort_prématurée']Âge_moyen_mort précoce]]</f>
        <v>10.159999999999997</v>
      </c>
      <c r="BG55" s="4">
        <f>Base[[#This Row],[Espérance_vie]]+Base[[#This Row],['[SC']Hausse_esp_de_vie]]-Base[[#This Row],['[SC']Âge_moyen_retraite]]</f>
        <v>19.90101171382144</v>
      </c>
      <c r="BH55" s="4">
        <v>106583.42676924677</v>
      </c>
      <c r="BI55" s="4">
        <v>97601.789429271477</v>
      </c>
      <c r="BJ55" s="4">
        <v>302038.31496633729</v>
      </c>
      <c r="BK55" s="4">
        <v>117293.58934859755</v>
      </c>
      <c r="BL55" s="4">
        <v>1523999.9999999995</v>
      </c>
      <c r="BM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" s="4">
        <v>294804.96027377353</v>
      </c>
      <c r="BO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" s="4">
        <f>(Base[[#This Row],['[SC']'[Mort_prématurée']Gains]]-Base[[#This Row],['[SC']'[Mort_prématurée']Coûts]])/Base[[#This Row],[Population_totale]]</f>
        <v>0</v>
      </c>
      <c r="BQ55" s="4">
        <f>IF(Base[[#This Row],[Pathologie]]&lt;&gt;"Mort prématurée",0,Base[[#This Row],[Risque]])</f>
        <v>0</v>
      </c>
      <c r="BR55" s="4">
        <v>2680</v>
      </c>
      <c r="BS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5" s="4">
        <f>Base[[#This Row],[Prévalence_prod]]*(1-Base[[#This Row],[Risque]])*Base[[#This Row],[Durée_arrêt]]*Base[[#This Row],[Population_emploi]]</f>
        <v>7527673.4170274343</v>
      </c>
      <c r="BV55" s="4">
        <f>Base[[#This Row],['[Prod']'[Absentéisme']Total_jours_absence_avant]]-Base[[#This Row],['[Prod']'[Absentéisme']Total_jours_absence_après]]</f>
        <v>3065538.5321049951</v>
      </c>
      <c r="BW55" s="4">
        <f>IF(AND(Base[[#This Row],[Pathologie]]&lt;&gt;"Dépendance",Base[[#This Row],[Pathologie]]&lt;&gt;"Mort prématurée",Base[[#This Row],[Pathologie]]&lt;&gt;"Migraine"),0.0619,0)</f>
        <v>6.1899999999999997E-2</v>
      </c>
      <c r="BX55" s="4">
        <v>254</v>
      </c>
      <c r="BY5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5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5" s="4">
        <f>Base[[#This Row],[Prévalence_prod]]*Base[[#This Row],[Présentéisme]]*Base[[#This Row],['[Prod']Jours_ouvrés]]</f>
        <v>1.0626852000000002</v>
      </c>
      <c r="CB55" s="4">
        <f>Base[[#This Row],[Prévalence_prod]]*(1-Base[[#This Row],[Risque]])*Base[[#This Row],[Présentéisme]]*Base[[#This Row],['[Prod']Jours_ouvrés]]</f>
        <v>0.75515784722532964</v>
      </c>
      <c r="CC55" s="4">
        <f>Base[[#This Row],['[Prod']'[Présentéisme']Jours_avant]]-Base[[#This Row],['[Prod']'[Présentéisme']Jours_après]]</f>
        <v>0.30752735277467058</v>
      </c>
      <c r="CD55" s="4">
        <f>Base[[#This Row],['[Prod']'[Présentéisme']Jours_gagnés]]/Base[[#This Row],['[Prod']Jours_ouvrés]]</f>
        <v>1.2107376093490967E-3</v>
      </c>
      <c r="CE55">
        <v>5.8333039429220801E-2</v>
      </c>
      <c r="CF55">
        <v>1.4658164114728258E-2</v>
      </c>
      <c r="CG55" s="4">
        <v>11</v>
      </c>
      <c r="CH55" s="4">
        <v>0.31563677172153043</v>
      </c>
      <c r="CI55" s="4">
        <v>1.3003350630813707E-4</v>
      </c>
      <c r="CJ55" s="4">
        <f>IF(Base[[#This Row],[Secteur]]&lt;&gt;"Moyenne",Base[[#This Row],['[Prod']'[Turnover']DMC_initiale]]*(1+Base[[#This Row],['[Prod']'[Turnover']Ecart_accidents]]*Base[[#This Row],['[Prod']Impact_motifs_turnover]]),CJ38*CI38+CJ39*CI39+CJ40*CI40+CJ41*CI41+CJ42*CI42+CJ43*CI43+CJ44*CI44+CJ45*CI45+CJ46*CI46+CJ47*CI47+CJ48*CI48+CJ49*CI49+CJ50*CI50+CJ51*CI51+CJ52*CI52+CJ53*CI53+CJ54*CI54)</f>
        <v>11.05089321160591</v>
      </c>
      <c r="CK55" s="4">
        <f>1/Base[[#This Row],['[Prod']'[Turnover']DMC_initiale]]</f>
        <v>9.0909090909090912E-2</v>
      </c>
      <c r="CL55" s="4">
        <f>1/Base[[#This Row],['[Prod']'[Turnover']DMC_finale]]</f>
        <v>9.0490422887244654E-2</v>
      </c>
    </row>
    <row r="56" spans="2:90" x14ac:dyDescent="0.25">
      <c r="B56" s="4" t="s">
        <v>318</v>
      </c>
      <c r="C56">
        <v>7.5</v>
      </c>
      <c r="D56" t="s">
        <v>84</v>
      </c>
      <c r="E56" t="s">
        <v>4</v>
      </c>
      <c r="F56" s="3">
        <v>0.2893870666258177</v>
      </c>
      <c r="G56" s="3">
        <v>3.6700000000000003E-2</v>
      </c>
      <c r="H56" s="3">
        <v>3.6700000000000003E-2</v>
      </c>
      <c r="I56" s="3">
        <v>0.114</v>
      </c>
      <c r="J56" s="3">
        <v>10.311441509770701</v>
      </c>
      <c r="K56" s="3">
        <v>7.0000000000000007E-2</v>
      </c>
      <c r="L56" s="2">
        <f>Base[[#This Row],[Coût]]*Base[[#This Row],[Part_ménages_dépenses_santé]]</f>
        <v>0.72180090568394906</v>
      </c>
      <c r="M56" s="2">
        <v>0.99731334462301791</v>
      </c>
      <c r="N56" s="6">
        <v>27700000</v>
      </c>
      <c r="O56" s="7">
        <f>Base[[#This Row],[Coût_salarié]]*10^9*Base[[#This Row],[Risque]]*Base[[#This Row],[Prévalence]]*Base[[#This Row],[Part_coûts_salarié]]/Base[[#This Row],[Population_emploi]]</f>
        <v>0.27600342134882699</v>
      </c>
      <c r="P56">
        <v>50</v>
      </c>
      <c r="Q56">
        <v>50</v>
      </c>
      <c r="R56" s="2">
        <v>9.9999999999999978E-2</v>
      </c>
      <c r="S56" s="2">
        <v>0.33340000000000003</v>
      </c>
      <c r="T56" s="4">
        <v>3.6700000000000003E-2</v>
      </c>
      <c r="U56" s="4">
        <f>IF(Bases_annexes!$F$5=0,16.6587111018772,0.77*Bases_annexes!$F$5/(IF(OR(ISBLANK('Données_d''entrée'!$E$44),'Données_d''entrée'!$E$44=0),35,'Données_d''entrée'!$E$44)*52))</f>
        <v>16.658711101877199</v>
      </c>
      <c r="V56" s="4">
        <v>10.42033853287208</v>
      </c>
      <c r="W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6" s="4">
        <v>234.5</v>
      </c>
      <c r="Y56" s="4">
        <f>(Base[[#This Row],['[Maladies']Coûts_évités_par_salarié]]+Base[[#This Row],['[Travail']Coûts_évités_par_salarié]])/Base[[#This Row],[Budget_santé_salarié]]</f>
        <v>2.0939832741372771E-2</v>
      </c>
      <c r="Z56" s="4">
        <v>0.8</v>
      </c>
      <c r="AA56" s="4">
        <f>Base[[#This Row],[Coût]]*Base[[#This Row],[Part_société_dépenses_santé]]</f>
        <v>8.2491532078165601</v>
      </c>
      <c r="AB56" s="4">
        <v>67635124</v>
      </c>
      <c r="AC56" s="4">
        <v>82.297079063317852</v>
      </c>
      <c r="AD56" s="4">
        <v>3.6700000000000003E-2</v>
      </c>
      <c r="AE56" s="4">
        <f>Base[[#This Row],['[SC']Prévalence_travail]]*Base[[#This Row],[Population_emploi]]</f>
        <v>1016590.0000000001</v>
      </c>
      <c r="AF56" s="4">
        <f>Base[[#This Row],[Risque]]*Base[[#This Row],['[SC']Patients_en_emploi]]</f>
        <v>294187.99806114007</v>
      </c>
      <c r="AG56" s="4">
        <v>756671404.20000005</v>
      </c>
      <c r="AH56" s="4">
        <f>IFERROR(Base[[#This Row],['[SC']Prestations]]/Base[[#This Row],['[SC']Patients_en_emploi]],0)</f>
        <v>744.32308423258144</v>
      </c>
      <c r="AI56" s="4">
        <v>51.7</v>
      </c>
      <c r="AJ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6" s="4">
        <f>Base[[#This Row],['[SC']'[Travail']Coûts_évités]]/Base[[#This Row],[Population_emploi]]</f>
        <v>7.9050872946236987</v>
      </c>
      <c r="AL56" s="4">
        <f>Base[[#This Row],[Coût_société]]*10^9*Base[[#This Row],[Risque]]*Base[[#This Row],[Prévalence]]*Base[[#This Row],[Part_coûts_salarié]]/Base[[#This Row],[Population_emploi]]</f>
        <v>3.154324815415166</v>
      </c>
      <c r="AM56" s="4">
        <f>IF(Base[[#This Row],[Pathologie]]&lt;&gt;"Dépendance",0,14909.24243952)</f>
        <v>0</v>
      </c>
      <c r="AN56" s="4">
        <f>IF(Base[[#This Row],[Pathologie]]&lt;&gt;"Dépendance",0,1316000)</f>
        <v>0</v>
      </c>
      <c r="AO56" s="4">
        <f>IF(Base[[#This Row],[Pathologie]]&lt;&gt;"Dépendance",0,Base[[#This Row],['[SC']Coût_personne_dépendante]]*Base[[#This Row],['[SC']Nb_personnes_dépendantes]])</f>
        <v>0</v>
      </c>
      <c r="AP56" s="4">
        <f>IF(Base[[#This Row],[Pathologie]]&lt;&gt;"Dépendance",0,Base[[#This Row],['[SC']Coût_total_dépendance]]/Base[[#This Row],[Population_totale]])</f>
        <v>0</v>
      </c>
      <c r="AQ56" s="4">
        <f>IF(Base[[#This Row],[Pathologie]]&lt;&gt;"Dépendance",0,4.5)</f>
        <v>0</v>
      </c>
      <c r="AR56" s="4">
        <v>0.50393265050357905</v>
      </c>
      <c r="AS56" s="4">
        <f>Base[[#This Row],[Espérance_vie]]+Base[[#This Row],['[SC']Hausse_esp_de_vie]]-Base[[#This Row],['[SC']Durée_moyenne_dépendance_avt]]+Base[[#This Row],[Risque]]</f>
        <v>83.090398780447259</v>
      </c>
      <c r="AT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" s="4">
        <v>62.9</v>
      </c>
      <c r="AW56" s="4">
        <f t="shared" si="0"/>
        <v>336905600000</v>
      </c>
      <c r="AX56" s="4">
        <v>15049171</v>
      </c>
      <c r="AY56" s="4">
        <f>Base[[#This Row],['[SC']Budget_total_retraites]]/Base[[#This Row],['[SC']Nombre_de_retraités]]</f>
        <v>22386.987296509556</v>
      </c>
      <c r="AZ56" s="4">
        <f>Base[[#This Row],['[SC']Budget_par_retraité]]*Base[[#This Row],['[SC']Nb_personnes_dépendantes]]</f>
        <v>0</v>
      </c>
      <c r="BA56" s="4">
        <f>Base[[#This Row],['[SC']'[Dépendance']Coût_retraite_personnes_dépendantes]]/Base[[#This Row],[Population_totale]]</f>
        <v>0</v>
      </c>
      <c r="BB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" s="4">
        <f>Base[[#This Row],['[SC']'[Dépendance']Gains]]-Base[[#This Row],['[SC']'[Dépendance']Coûts]]</f>
        <v>0</v>
      </c>
      <c r="BD56" s="4">
        <f>IF(Base[[#This Row],[Pathologie]]&lt;&gt;"Mort prématurée",0,Base[[#This Row],[Risque]]*Base[[#This Row],[Prévalence]]*Base[[#This Row],[Population_totale]])</f>
        <v>0</v>
      </c>
      <c r="BE56" s="4">
        <v>52.74</v>
      </c>
      <c r="BF56" s="4">
        <f>Base[[#This Row],['[SC']Âge_moyen_retraite]]-Base[[#This Row],['[SC']'[Mort_prématurée']Âge_moyen_mort précoce]]</f>
        <v>10.159999999999997</v>
      </c>
      <c r="BG56" s="4">
        <f>Base[[#This Row],[Espérance_vie]]+Base[[#This Row],['[SC']Hausse_esp_de_vie]]-Base[[#This Row],['[SC']Âge_moyen_retraite]]</f>
        <v>19.90101171382144</v>
      </c>
      <c r="BH56" s="4">
        <v>106583.42676924677</v>
      </c>
      <c r="BI56" s="4">
        <v>97601.789429271477</v>
      </c>
      <c r="BJ56" s="4">
        <v>302038.31496633729</v>
      </c>
      <c r="BK56" s="4">
        <v>117293.58934859755</v>
      </c>
      <c r="BL56" s="4">
        <v>1523999.9999999995</v>
      </c>
      <c r="BM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" s="4">
        <v>294804.96027377353</v>
      </c>
      <c r="BO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" s="4">
        <f>(Base[[#This Row],['[SC']'[Mort_prématurée']Gains]]-Base[[#This Row],['[SC']'[Mort_prématurée']Coûts]])/Base[[#This Row],[Population_totale]]</f>
        <v>0</v>
      </c>
      <c r="BQ56" s="4">
        <f>IF(Base[[#This Row],[Pathologie]]&lt;&gt;"Mort prématurée",0,Base[[#This Row],[Risque]])</f>
        <v>0</v>
      </c>
      <c r="BR56" s="4">
        <v>2680</v>
      </c>
      <c r="BS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6" s="4">
        <f>Base[[#This Row],[Prévalence_prod]]*(1-Base[[#This Row],[Risque]])*Base[[#This Row],[Durée_arrêt]]*Base[[#This Row],[Population_emploi]]</f>
        <v>7527673.4170274343</v>
      </c>
      <c r="BV56" s="4">
        <f>Base[[#This Row],['[Prod']'[Absentéisme']Total_jours_absence_avant]]-Base[[#This Row],['[Prod']'[Absentéisme']Total_jours_absence_après]]</f>
        <v>3065538.5321049951</v>
      </c>
      <c r="BW56" s="4">
        <f>IF(AND(Base[[#This Row],[Pathologie]]&lt;&gt;"Dépendance",Base[[#This Row],[Pathologie]]&lt;&gt;"Mort prématurée",Base[[#This Row],[Pathologie]]&lt;&gt;"Migraine"),0.0619,0)</f>
        <v>6.1899999999999997E-2</v>
      </c>
      <c r="BX56" s="4">
        <v>254</v>
      </c>
      <c r="BY5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6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6" s="4">
        <f>Base[[#This Row],[Prévalence_prod]]*Base[[#This Row],[Présentéisme]]*Base[[#This Row],['[Prod']Jours_ouvrés]]</f>
        <v>1.0626852000000002</v>
      </c>
      <c r="CB56" s="4">
        <f>Base[[#This Row],[Prévalence_prod]]*(1-Base[[#This Row],[Risque]])*Base[[#This Row],[Présentéisme]]*Base[[#This Row],['[Prod']Jours_ouvrés]]</f>
        <v>0.75515784722532964</v>
      </c>
      <c r="CC56" s="4">
        <f>Base[[#This Row],['[Prod']'[Présentéisme']Jours_avant]]-Base[[#This Row],['[Prod']'[Présentéisme']Jours_après]]</f>
        <v>0.30752735277467058</v>
      </c>
      <c r="CD56" s="4">
        <f>Base[[#This Row],['[Prod']'[Présentéisme']Jours_gagnés]]/Base[[#This Row],['[Prod']Jours_ouvrés]]</f>
        <v>1.2107376093490967E-3</v>
      </c>
      <c r="CE56">
        <v>5.8333039429220801E-2</v>
      </c>
      <c r="CF56">
        <v>1.4658164114728258E-2</v>
      </c>
      <c r="CG56" s="4">
        <v>11</v>
      </c>
      <c r="CH56" s="4">
        <v>1.1688035738877327</v>
      </c>
      <c r="CI56" s="4">
        <v>9.6557438521367826E-3</v>
      </c>
      <c r="CJ56" s="4">
        <f>IF(Base[[#This Row],[Secteur]]&lt;&gt;"Moyenne",Base[[#This Row],['[Prod']'[Turnover']DMC_initiale]]*(1+Base[[#This Row],['[Prod']'[Turnover']Ecart_accidents]]*Base[[#This Row],['[Prod']Impact_motifs_turnover]]),CJ39*CI39+CJ40*CI40+CJ41*CI41+CJ42*CI42+CJ43*CI43+CJ44*CI44+CJ45*CI45+CJ46*CI46+CJ47*CI47+CJ48*CI48+CJ49*CI49+CJ50*CI50+CJ51*CI51+CJ52*CI52+CJ53*CI53+CJ54*CI54+CJ55*CI55)</f>
        <v>11.188457660643202</v>
      </c>
      <c r="CK56" s="4">
        <f>1/Base[[#This Row],['[Prod']'[Turnover']DMC_initiale]]</f>
        <v>9.0909090909090912E-2</v>
      </c>
      <c r="CL56" s="4">
        <f>1/Base[[#This Row],['[Prod']'[Turnover']DMC_finale]]</f>
        <v>8.9377824033568531E-2</v>
      </c>
    </row>
    <row r="57" spans="2:90" x14ac:dyDescent="0.25">
      <c r="B57" s="4" t="s">
        <v>319</v>
      </c>
      <c r="C57">
        <v>7.5</v>
      </c>
      <c r="D57" t="s">
        <v>84</v>
      </c>
      <c r="E57" t="s">
        <v>4</v>
      </c>
      <c r="F57" s="3">
        <v>0.2893870666258177</v>
      </c>
      <c r="G57" s="3">
        <v>3.6700000000000003E-2</v>
      </c>
      <c r="H57" s="3">
        <v>3.6700000000000003E-2</v>
      </c>
      <c r="I57" s="3">
        <v>0.114</v>
      </c>
      <c r="J57" s="3">
        <v>10.311441509770701</v>
      </c>
      <c r="K57" s="3">
        <v>7.0000000000000007E-2</v>
      </c>
      <c r="L57" s="2">
        <f>Base[[#This Row],[Coût]]*Base[[#This Row],[Part_ménages_dépenses_santé]]</f>
        <v>0.72180090568394906</v>
      </c>
      <c r="M57" s="2">
        <v>0.99731334462301791</v>
      </c>
      <c r="N57" s="6">
        <v>27700000</v>
      </c>
      <c r="O57" s="7">
        <f>Base[[#This Row],[Coût_salarié]]*10^9*Base[[#This Row],[Risque]]*Base[[#This Row],[Prévalence]]*Base[[#This Row],[Part_coûts_salarié]]/Base[[#This Row],[Population_emploi]]</f>
        <v>0.27600342134882699</v>
      </c>
      <c r="P57">
        <v>50</v>
      </c>
      <c r="Q57">
        <v>50</v>
      </c>
      <c r="R57" s="2">
        <v>9.9999999999999978E-2</v>
      </c>
      <c r="S57" s="2">
        <v>0.33340000000000003</v>
      </c>
      <c r="T57" s="4">
        <v>3.6700000000000003E-2</v>
      </c>
      <c r="U57" s="4">
        <f>IF(Bases_annexes!$F$5=0,16.6587111018772,0.77*Bases_annexes!$F$5/(IF(OR(ISBLANK('Données_d''entrée'!$E$44),'Données_d''entrée'!$E$44=0),35,'Données_d''entrée'!$E$44)*52))</f>
        <v>16.658711101877199</v>
      </c>
      <c r="V57" s="4">
        <v>10.42033853287208</v>
      </c>
      <c r="W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7" s="4">
        <v>234.5</v>
      </c>
      <c r="Y57" s="4">
        <f>(Base[[#This Row],['[Maladies']Coûts_évités_par_salarié]]+Base[[#This Row],['[Travail']Coûts_évités_par_salarié]])/Base[[#This Row],[Budget_santé_salarié]]</f>
        <v>2.0939832741372771E-2</v>
      </c>
      <c r="Z57" s="4">
        <v>0.8</v>
      </c>
      <c r="AA57" s="4">
        <f>Base[[#This Row],[Coût]]*Base[[#This Row],[Part_société_dépenses_santé]]</f>
        <v>8.2491532078165601</v>
      </c>
      <c r="AB57" s="4">
        <v>67635124</v>
      </c>
      <c r="AC57" s="4">
        <v>82.297079063317852</v>
      </c>
      <c r="AD57" s="4">
        <v>3.6700000000000003E-2</v>
      </c>
      <c r="AE57" s="4">
        <f>Base[[#This Row],['[SC']Prévalence_travail]]*Base[[#This Row],[Population_emploi]]</f>
        <v>1016590.0000000001</v>
      </c>
      <c r="AF57" s="4">
        <f>Base[[#This Row],[Risque]]*Base[[#This Row],['[SC']Patients_en_emploi]]</f>
        <v>294187.99806114007</v>
      </c>
      <c r="AG57" s="4">
        <v>756671404.20000005</v>
      </c>
      <c r="AH57" s="4">
        <f>IFERROR(Base[[#This Row],['[SC']Prestations]]/Base[[#This Row],['[SC']Patients_en_emploi]],0)</f>
        <v>744.32308423258144</v>
      </c>
      <c r="AI57" s="4">
        <v>51.7</v>
      </c>
      <c r="AJ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7" s="4">
        <f>Base[[#This Row],['[SC']'[Travail']Coûts_évités]]/Base[[#This Row],[Population_emploi]]</f>
        <v>7.9050872946236987</v>
      </c>
      <c r="AL57" s="4">
        <f>Base[[#This Row],[Coût_société]]*10^9*Base[[#This Row],[Risque]]*Base[[#This Row],[Prévalence]]*Base[[#This Row],[Part_coûts_salarié]]/Base[[#This Row],[Population_emploi]]</f>
        <v>3.154324815415166</v>
      </c>
      <c r="AM57" s="4">
        <f>IF(Base[[#This Row],[Pathologie]]&lt;&gt;"Dépendance",0,14909.24243952)</f>
        <v>0</v>
      </c>
      <c r="AN57" s="4">
        <f>IF(Base[[#This Row],[Pathologie]]&lt;&gt;"Dépendance",0,1316000)</f>
        <v>0</v>
      </c>
      <c r="AO57" s="4">
        <f>IF(Base[[#This Row],[Pathologie]]&lt;&gt;"Dépendance",0,Base[[#This Row],['[SC']Coût_personne_dépendante]]*Base[[#This Row],['[SC']Nb_personnes_dépendantes]])</f>
        <v>0</v>
      </c>
      <c r="AP57" s="4">
        <f>IF(Base[[#This Row],[Pathologie]]&lt;&gt;"Dépendance",0,Base[[#This Row],['[SC']Coût_total_dépendance]]/Base[[#This Row],[Population_totale]])</f>
        <v>0</v>
      </c>
      <c r="AQ57" s="4">
        <f>IF(Base[[#This Row],[Pathologie]]&lt;&gt;"Dépendance",0,4.5)</f>
        <v>0</v>
      </c>
      <c r="AR57" s="4">
        <v>0.50393265050357905</v>
      </c>
      <c r="AS57" s="4">
        <f>Base[[#This Row],[Espérance_vie]]+Base[[#This Row],['[SC']Hausse_esp_de_vie]]-Base[[#This Row],['[SC']Durée_moyenne_dépendance_avt]]+Base[[#This Row],[Risque]]</f>
        <v>83.090398780447259</v>
      </c>
      <c r="AT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" s="4">
        <v>62.9</v>
      </c>
      <c r="AW57" s="4">
        <f t="shared" si="0"/>
        <v>336905600000</v>
      </c>
      <c r="AX57" s="4">
        <v>15049171</v>
      </c>
      <c r="AY57" s="4">
        <f>Base[[#This Row],['[SC']Budget_total_retraites]]/Base[[#This Row],['[SC']Nombre_de_retraités]]</f>
        <v>22386.987296509556</v>
      </c>
      <c r="AZ57" s="4">
        <f>Base[[#This Row],['[SC']Budget_par_retraité]]*Base[[#This Row],['[SC']Nb_personnes_dépendantes]]</f>
        <v>0</v>
      </c>
      <c r="BA57" s="4">
        <f>Base[[#This Row],['[SC']'[Dépendance']Coût_retraite_personnes_dépendantes]]/Base[[#This Row],[Population_totale]]</f>
        <v>0</v>
      </c>
      <c r="BB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" s="4">
        <f>Base[[#This Row],['[SC']'[Dépendance']Gains]]-Base[[#This Row],['[SC']'[Dépendance']Coûts]]</f>
        <v>0</v>
      </c>
      <c r="BD57" s="4">
        <f>IF(Base[[#This Row],[Pathologie]]&lt;&gt;"Mort prématurée",0,Base[[#This Row],[Risque]]*Base[[#This Row],[Prévalence]]*Base[[#This Row],[Population_totale]])</f>
        <v>0</v>
      </c>
      <c r="BE57" s="4">
        <v>52.74</v>
      </c>
      <c r="BF57" s="4">
        <f>Base[[#This Row],['[SC']Âge_moyen_retraite]]-Base[[#This Row],['[SC']'[Mort_prématurée']Âge_moyen_mort précoce]]</f>
        <v>10.159999999999997</v>
      </c>
      <c r="BG57" s="4">
        <f>Base[[#This Row],[Espérance_vie]]+Base[[#This Row],['[SC']Hausse_esp_de_vie]]-Base[[#This Row],['[SC']Âge_moyen_retraite]]</f>
        <v>19.90101171382144</v>
      </c>
      <c r="BH57" s="4">
        <v>106583.42676924677</v>
      </c>
      <c r="BI57" s="4">
        <v>97601.789429271477</v>
      </c>
      <c r="BJ57" s="4">
        <v>302038.31496633729</v>
      </c>
      <c r="BK57" s="4">
        <v>117293.58934859755</v>
      </c>
      <c r="BL57" s="4">
        <v>1523999.9999999995</v>
      </c>
      <c r="BM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" s="4">
        <v>294804.96027377353</v>
      </c>
      <c r="BO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" s="4">
        <f>(Base[[#This Row],['[SC']'[Mort_prématurée']Gains]]-Base[[#This Row],['[SC']'[Mort_prématurée']Coûts]])/Base[[#This Row],[Population_totale]]</f>
        <v>0</v>
      </c>
      <c r="BQ57" s="4">
        <f>IF(Base[[#This Row],[Pathologie]]&lt;&gt;"Mort prématurée",0,Base[[#This Row],[Risque]])</f>
        <v>0</v>
      </c>
      <c r="BR57" s="4">
        <v>2680</v>
      </c>
      <c r="BS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7" s="4">
        <f>Base[[#This Row],[Prévalence_prod]]*(1-Base[[#This Row],[Risque]])*Base[[#This Row],[Durée_arrêt]]*Base[[#This Row],[Population_emploi]]</f>
        <v>7527673.4170274343</v>
      </c>
      <c r="BV57" s="4">
        <f>Base[[#This Row],['[Prod']'[Absentéisme']Total_jours_absence_avant]]-Base[[#This Row],['[Prod']'[Absentéisme']Total_jours_absence_après]]</f>
        <v>3065538.5321049951</v>
      </c>
      <c r="BW57" s="4">
        <f>IF(AND(Base[[#This Row],[Pathologie]]&lt;&gt;"Dépendance",Base[[#This Row],[Pathologie]]&lt;&gt;"Mort prématurée",Base[[#This Row],[Pathologie]]&lt;&gt;"Migraine"),0.0619,0)</f>
        <v>6.1899999999999997E-2</v>
      </c>
      <c r="BX57" s="4">
        <v>254</v>
      </c>
      <c r="BY57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7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7" s="4">
        <f>Base[[#This Row],[Prévalence_prod]]*Base[[#This Row],[Présentéisme]]*Base[[#This Row],['[Prod']Jours_ouvrés]]</f>
        <v>1.0626852000000002</v>
      </c>
      <c r="CB57" s="4">
        <f>Base[[#This Row],[Prévalence_prod]]*(1-Base[[#This Row],[Risque]])*Base[[#This Row],[Présentéisme]]*Base[[#This Row],['[Prod']Jours_ouvrés]]</f>
        <v>0.75515784722532964</v>
      </c>
      <c r="CC57" s="4">
        <f>Base[[#This Row],['[Prod']'[Présentéisme']Jours_avant]]-Base[[#This Row],['[Prod']'[Présentéisme']Jours_après]]</f>
        <v>0.30752735277467058</v>
      </c>
      <c r="CD57" s="4">
        <f>Base[[#This Row],['[Prod']'[Présentéisme']Jours_gagnés]]/Base[[#This Row],['[Prod']Jours_ouvrés]]</f>
        <v>1.2107376093490967E-3</v>
      </c>
      <c r="CE57">
        <v>5.8333039429220801E-2</v>
      </c>
      <c r="CF57">
        <v>1.4658164114728258E-2</v>
      </c>
      <c r="CG57" s="4">
        <v>11</v>
      </c>
      <c r="CH57" s="4">
        <v>0.52204401140486179</v>
      </c>
      <c r="CI57" s="4">
        <v>1.2443904150185675E-2</v>
      </c>
      <c r="CJ57" s="4">
        <f>IF(Base[[#This Row],[Secteur]]&lt;&gt;"Moyenne",Base[[#This Row],['[Prod']'[Turnover']DMC_initiale]]*(1+Base[[#This Row],['[Prod']'[Turnover']Ecart_accidents]]*Base[[#This Row],['[Prod']Impact_motifs_turnover]]),CJ40*CI40+CJ41*CI41+CJ42*CI42+CJ43*CI43+CJ44*CI44+CJ45*CI45+CJ46*CI46+CJ47*CI47+CJ48*CI48+CJ49*CI49+CJ50*CI50+CJ51*CI51+CJ52*CI52+CJ53*CI53+CJ54*CI54+CJ55*CI55+CJ56*CI56)</f>
        <v>11.084174274737117</v>
      </c>
      <c r="CK57" s="4">
        <f>1/Base[[#This Row],['[Prod']'[Turnover']DMC_initiale]]</f>
        <v>9.0909090909090912E-2</v>
      </c>
      <c r="CL57" s="4">
        <f>1/Base[[#This Row],['[Prod']'[Turnover']DMC_finale]]</f>
        <v>9.0218718617514418E-2</v>
      </c>
    </row>
    <row r="58" spans="2:90" x14ac:dyDescent="0.25">
      <c r="B58" s="4" t="s">
        <v>320</v>
      </c>
      <c r="C58">
        <v>7.5</v>
      </c>
      <c r="D58" t="s">
        <v>84</v>
      </c>
      <c r="E58" t="s">
        <v>4</v>
      </c>
      <c r="F58" s="3">
        <v>0.2893870666258177</v>
      </c>
      <c r="G58" s="3">
        <v>3.6700000000000003E-2</v>
      </c>
      <c r="H58" s="3">
        <v>3.6700000000000003E-2</v>
      </c>
      <c r="I58" s="3">
        <v>0.114</v>
      </c>
      <c r="J58" s="3">
        <v>10.311441509770701</v>
      </c>
      <c r="K58" s="3">
        <v>7.0000000000000007E-2</v>
      </c>
      <c r="L58" s="2">
        <f>Base[[#This Row],[Coût]]*Base[[#This Row],[Part_ménages_dépenses_santé]]</f>
        <v>0.72180090568394906</v>
      </c>
      <c r="M58" s="2">
        <v>0.99731334462301791</v>
      </c>
      <c r="N58" s="6">
        <v>27700000</v>
      </c>
      <c r="O58" s="7">
        <f>Base[[#This Row],[Coût_salarié]]*10^9*Base[[#This Row],[Risque]]*Base[[#This Row],[Prévalence]]*Base[[#This Row],[Part_coûts_salarié]]/Base[[#This Row],[Population_emploi]]</f>
        <v>0.27600342134882699</v>
      </c>
      <c r="P58">
        <v>50</v>
      </c>
      <c r="Q58">
        <v>50</v>
      </c>
      <c r="R58" s="2">
        <v>9.9999999999999978E-2</v>
      </c>
      <c r="S58" s="2">
        <v>0.33340000000000003</v>
      </c>
      <c r="T58" s="4">
        <v>3.6700000000000003E-2</v>
      </c>
      <c r="U58" s="4">
        <f>IF(Bases_annexes!$F$5=0,16.6587111018772,0.77*Bases_annexes!$F$5/(IF(OR(ISBLANK('Données_d''entrée'!$E$44),'Données_d''entrée'!$E$44=0),35,'Données_d''entrée'!$E$44)*52))</f>
        <v>16.658711101877199</v>
      </c>
      <c r="V58" s="4">
        <v>10.42033853287208</v>
      </c>
      <c r="W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8" s="4">
        <v>234.5</v>
      </c>
      <c r="Y58" s="4">
        <f>(Base[[#This Row],['[Maladies']Coûts_évités_par_salarié]]+Base[[#This Row],['[Travail']Coûts_évités_par_salarié]])/Base[[#This Row],[Budget_santé_salarié]]</f>
        <v>2.0939832741372771E-2</v>
      </c>
      <c r="Z58" s="4">
        <v>0.8</v>
      </c>
      <c r="AA58" s="4">
        <f>Base[[#This Row],[Coût]]*Base[[#This Row],[Part_société_dépenses_santé]]</f>
        <v>8.2491532078165601</v>
      </c>
      <c r="AB58" s="4">
        <v>67635124</v>
      </c>
      <c r="AC58" s="4">
        <v>82.297079063317852</v>
      </c>
      <c r="AD58" s="4">
        <v>3.6700000000000003E-2</v>
      </c>
      <c r="AE58" s="4">
        <f>Base[[#This Row],['[SC']Prévalence_travail]]*Base[[#This Row],[Population_emploi]]</f>
        <v>1016590.0000000001</v>
      </c>
      <c r="AF58" s="4">
        <f>Base[[#This Row],[Risque]]*Base[[#This Row],['[SC']Patients_en_emploi]]</f>
        <v>294187.99806114007</v>
      </c>
      <c r="AG58" s="4">
        <v>756671404.20000005</v>
      </c>
      <c r="AH58" s="4">
        <f>IFERROR(Base[[#This Row],['[SC']Prestations]]/Base[[#This Row],['[SC']Patients_en_emploi]],0)</f>
        <v>744.32308423258144</v>
      </c>
      <c r="AI58" s="4">
        <v>51.7</v>
      </c>
      <c r="AJ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8" s="4">
        <f>Base[[#This Row],['[SC']'[Travail']Coûts_évités]]/Base[[#This Row],[Population_emploi]]</f>
        <v>7.9050872946236987</v>
      </c>
      <c r="AL58" s="4">
        <f>Base[[#This Row],[Coût_société]]*10^9*Base[[#This Row],[Risque]]*Base[[#This Row],[Prévalence]]*Base[[#This Row],[Part_coûts_salarié]]/Base[[#This Row],[Population_emploi]]</f>
        <v>3.154324815415166</v>
      </c>
      <c r="AM58" s="4">
        <f>IF(Base[[#This Row],[Pathologie]]&lt;&gt;"Dépendance",0,14909.24243952)</f>
        <v>0</v>
      </c>
      <c r="AN58" s="4">
        <f>IF(Base[[#This Row],[Pathologie]]&lt;&gt;"Dépendance",0,1316000)</f>
        <v>0</v>
      </c>
      <c r="AO58" s="4">
        <f>IF(Base[[#This Row],[Pathologie]]&lt;&gt;"Dépendance",0,Base[[#This Row],['[SC']Coût_personne_dépendante]]*Base[[#This Row],['[SC']Nb_personnes_dépendantes]])</f>
        <v>0</v>
      </c>
      <c r="AP58" s="4">
        <f>IF(Base[[#This Row],[Pathologie]]&lt;&gt;"Dépendance",0,Base[[#This Row],['[SC']Coût_total_dépendance]]/Base[[#This Row],[Population_totale]])</f>
        <v>0</v>
      </c>
      <c r="AQ58" s="4">
        <f>IF(Base[[#This Row],[Pathologie]]&lt;&gt;"Dépendance",0,4.5)</f>
        <v>0</v>
      </c>
      <c r="AR58" s="4">
        <v>0.50393265050357905</v>
      </c>
      <c r="AS58" s="4">
        <f>Base[[#This Row],[Espérance_vie]]+Base[[#This Row],['[SC']Hausse_esp_de_vie]]-Base[[#This Row],['[SC']Durée_moyenne_dépendance_avt]]+Base[[#This Row],[Risque]]</f>
        <v>83.090398780447259</v>
      </c>
      <c r="AT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" s="4">
        <v>62.9</v>
      </c>
      <c r="AW58" s="4">
        <f t="shared" si="0"/>
        <v>336905600000</v>
      </c>
      <c r="AX58" s="4">
        <v>15049171</v>
      </c>
      <c r="AY58" s="4">
        <f>Base[[#This Row],['[SC']Budget_total_retraites]]/Base[[#This Row],['[SC']Nombre_de_retraités]]</f>
        <v>22386.987296509556</v>
      </c>
      <c r="AZ58" s="4">
        <f>Base[[#This Row],['[SC']Budget_par_retraité]]*Base[[#This Row],['[SC']Nb_personnes_dépendantes]]</f>
        <v>0</v>
      </c>
      <c r="BA58" s="4">
        <f>Base[[#This Row],['[SC']'[Dépendance']Coût_retraite_personnes_dépendantes]]/Base[[#This Row],[Population_totale]]</f>
        <v>0</v>
      </c>
      <c r="BB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" s="4">
        <f>Base[[#This Row],['[SC']'[Dépendance']Gains]]-Base[[#This Row],['[SC']'[Dépendance']Coûts]]</f>
        <v>0</v>
      </c>
      <c r="BD58" s="4">
        <f>IF(Base[[#This Row],[Pathologie]]&lt;&gt;"Mort prématurée",0,Base[[#This Row],[Risque]]*Base[[#This Row],[Prévalence]]*Base[[#This Row],[Population_totale]])</f>
        <v>0</v>
      </c>
      <c r="BE58" s="4">
        <v>52.74</v>
      </c>
      <c r="BF58" s="4">
        <f>Base[[#This Row],['[SC']Âge_moyen_retraite]]-Base[[#This Row],['[SC']'[Mort_prématurée']Âge_moyen_mort précoce]]</f>
        <v>10.159999999999997</v>
      </c>
      <c r="BG58" s="4">
        <f>Base[[#This Row],[Espérance_vie]]+Base[[#This Row],['[SC']Hausse_esp_de_vie]]-Base[[#This Row],['[SC']Âge_moyen_retraite]]</f>
        <v>19.90101171382144</v>
      </c>
      <c r="BH58" s="4">
        <v>106583.42676924677</v>
      </c>
      <c r="BI58" s="4">
        <v>97601.789429271477</v>
      </c>
      <c r="BJ58" s="4">
        <v>302038.31496633729</v>
      </c>
      <c r="BK58" s="4">
        <v>117293.58934859755</v>
      </c>
      <c r="BL58" s="4">
        <v>1523999.9999999995</v>
      </c>
      <c r="BM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" s="4">
        <v>294804.96027377353</v>
      </c>
      <c r="BO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" s="4">
        <f>(Base[[#This Row],['[SC']'[Mort_prématurée']Gains]]-Base[[#This Row],['[SC']'[Mort_prématurée']Coûts]])/Base[[#This Row],[Population_totale]]</f>
        <v>0</v>
      </c>
      <c r="BQ58" s="4">
        <f>IF(Base[[#This Row],[Pathologie]]&lt;&gt;"Mort prématurée",0,Base[[#This Row],[Risque]])</f>
        <v>0</v>
      </c>
      <c r="BR58" s="4">
        <v>2680</v>
      </c>
      <c r="BS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8" s="4">
        <f>Base[[#This Row],[Prévalence_prod]]*(1-Base[[#This Row],[Risque]])*Base[[#This Row],[Durée_arrêt]]*Base[[#This Row],[Population_emploi]]</f>
        <v>7527673.4170274343</v>
      </c>
      <c r="BV58" s="4">
        <f>Base[[#This Row],['[Prod']'[Absentéisme']Total_jours_absence_avant]]-Base[[#This Row],['[Prod']'[Absentéisme']Total_jours_absence_après]]</f>
        <v>3065538.5321049951</v>
      </c>
      <c r="BW58" s="4">
        <f>IF(AND(Base[[#This Row],[Pathologie]]&lt;&gt;"Dépendance",Base[[#This Row],[Pathologie]]&lt;&gt;"Mort prématurée",Base[[#This Row],[Pathologie]]&lt;&gt;"Migraine"),0.0619,0)</f>
        <v>6.1899999999999997E-2</v>
      </c>
      <c r="BX58" s="4">
        <v>254</v>
      </c>
      <c r="BY58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8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8" s="4">
        <f>Base[[#This Row],[Prévalence_prod]]*Base[[#This Row],[Présentéisme]]*Base[[#This Row],['[Prod']Jours_ouvrés]]</f>
        <v>1.0626852000000002</v>
      </c>
      <c r="CB58" s="4">
        <f>Base[[#This Row],[Prévalence_prod]]*(1-Base[[#This Row],[Risque]])*Base[[#This Row],[Présentéisme]]*Base[[#This Row],['[Prod']Jours_ouvrés]]</f>
        <v>0.75515784722532964</v>
      </c>
      <c r="CC58" s="4">
        <f>Base[[#This Row],['[Prod']'[Présentéisme']Jours_avant]]-Base[[#This Row],['[Prod']'[Présentéisme']Jours_après]]</f>
        <v>0.30752735277467058</v>
      </c>
      <c r="CD58" s="4">
        <f>Base[[#This Row],['[Prod']'[Présentéisme']Jours_gagnés]]/Base[[#This Row],['[Prod']Jours_ouvrés]]</f>
        <v>1.2107376093490967E-3</v>
      </c>
      <c r="CE58">
        <v>5.8333039429220801E-2</v>
      </c>
      <c r="CF58">
        <v>1.4658164114728258E-2</v>
      </c>
      <c r="CG58" s="4">
        <v>11</v>
      </c>
      <c r="CH58" s="4">
        <v>0.49446424657188709</v>
      </c>
      <c r="CI58" s="4">
        <v>1.0795805058605798E-2</v>
      </c>
      <c r="CJ58" s="4">
        <f>IF(Base[[#This Row],[Secteur]]&lt;&gt;"Moyenne",Base[[#This Row],['[Prod']'[Turnover']DMC_initiale]]*(1+Base[[#This Row],['[Prod']'[Turnover']Ecart_accidents]]*Base[[#This Row],['[Prod']Impact_motifs_turnover]]),CJ41*CI41+CJ42*CI42+CJ43*CI43+CJ44*CI44+CJ45*CI45+CJ46*CI46+CJ47*CI47+CJ48*CI48+CJ49*CI49+CJ50*CI50+CJ51*CI51+CJ52*CI52+CJ53*CI53+CJ54*CI54+CJ55*CI55+CJ56*CI56+CJ57*CI57)</f>
        <v>11.079727318826279</v>
      </c>
      <c r="CK58" s="4">
        <f>1/Base[[#This Row],['[Prod']'[Turnover']DMC_initiale]]</f>
        <v>9.0909090909090912E-2</v>
      </c>
      <c r="CL58" s="4">
        <f>1/Base[[#This Row],['[Prod']'[Turnover']DMC_finale]]</f>
        <v>9.025492877436031E-2</v>
      </c>
    </row>
    <row r="59" spans="2:90" x14ac:dyDescent="0.25">
      <c r="B59" s="4" t="s">
        <v>321</v>
      </c>
      <c r="C59">
        <v>7.5</v>
      </c>
      <c r="D59" t="s">
        <v>84</v>
      </c>
      <c r="E59" t="s">
        <v>4</v>
      </c>
      <c r="F59" s="3">
        <v>0.2893870666258177</v>
      </c>
      <c r="G59" s="3">
        <v>3.6700000000000003E-2</v>
      </c>
      <c r="H59" s="3">
        <v>3.6700000000000003E-2</v>
      </c>
      <c r="I59" s="3">
        <v>0.114</v>
      </c>
      <c r="J59" s="3">
        <v>10.311441509770701</v>
      </c>
      <c r="K59" s="3">
        <v>7.0000000000000007E-2</v>
      </c>
      <c r="L59" s="2">
        <f>Base[[#This Row],[Coût]]*Base[[#This Row],[Part_ménages_dépenses_santé]]</f>
        <v>0.72180090568394906</v>
      </c>
      <c r="M59" s="2">
        <v>0.99731334462301791</v>
      </c>
      <c r="N59" s="6">
        <v>27700000</v>
      </c>
      <c r="O59" s="7">
        <f>Base[[#This Row],[Coût_salarié]]*10^9*Base[[#This Row],[Risque]]*Base[[#This Row],[Prévalence]]*Base[[#This Row],[Part_coûts_salarié]]/Base[[#This Row],[Population_emploi]]</f>
        <v>0.27600342134882699</v>
      </c>
      <c r="P59">
        <v>50</v>
      </c>
      <c r="Q59">
        <v>50</v>
      </c>
      <c r="R59" s="2">
        <v>9.9999999999999978E-2</v>
      </c>
      <c r="S59" s="2">
        <v>0.33340000000000003</v>
      </c>
      <c r="T59" s="4">
        <v>3.6700000000000003E-2</v>
      </c>
      <c r="U59" s="4">
        <f>IF(Bases_annexes!$F$5=0,16.6587111018772,0.77*Bases_annexes!$F$5/(IF(OR(ISBLANK('Données_d''entrée'!$E$44),'Données_d''entrée'!$E$44=0),35,'Données_d''entrée'!$E$44)*52))</f>
        <v>16.658711101877199</v>
      </c>
      <c r="V59" s="4">
        <v>10.42033853287208</v>
      </c>
      <c r="W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59" s="4">
        <v>234.5</v>
      </c>
      <c r="Y59" s="4">
        <f>(Base[[#This Row],['[Maladies']Coûts_évités_par_salarié]]+Base[[#This Row],['[Travail']Coûts_évités_par_salarié]])/Base[[#This Row],[Budget_santé_salarié]]</f>
        <v>2.0939832741372771E-2</v>
      </c>
      <c r="Z59" s="4">
        <v>0.8</v>
      </c>
      <c r="AA59" s="4">
        <f>Base[[#This Row],[Coût]]*Base[[#This Row],[Part_société_dépenses_santé]]</f>
        <v>8.2491532078165601</v>
      </c>
      <c r="AB59" s="4">
        <v>67635124</v>
      </c>
      <c r="AC59" s="4">
        <v>82.297079063317852</v>
      </c>
      <c r="AD59" s="4">
        <v>3.6700000000000003E-2</v>
      </c>
      <c r="AE59" s="4">
        <f>Base[[#This Row],['[SC']Prévalence_travail]]*Base[[#This Row],[Population_emploi]]</f>
        <v>1016590.0000000001</v>
      </c>
      <c r="AF59" s="4">
        <f>Base[[#This Row],[Risque]]*Base[[#This Row],['[SC']Patients_en_emploi]]</f>
        <v>294187.99806114007</v>
      </c>
      <c r="AG59" s="4">
        <v>756671404.20000005</v>
      </c>
      <c r="AH59" s="4">
        <f>IFERROR(Base[[#This Row],['[SC']Prestations]]/Base[[#This Row],['[SC']Patients_en_emploi]],0)</f>
        <v>744.32308423258144</v>
      </c>
      <c r="AI59" s="4">
        <v>51.7</v>
      </c>
      <c r="AJ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59" s="4">
        <f>Base[[#This Row],['[SC']'[Travail']Coûts_évités]]/Base[[#This Row],[Population_emploi]]</f>
        <v>7.9050872946236987</v>
      </c>
      <c r="AL59" s="4">
        <f>Base[[#This Row],[Coût_société]]*10^9*Base[[#This Row],[Risque]]*Base[[#This Row],[Prévalence]]*Base[[#This Row],[Part_coûts_salarié]]/Base[[#This Row],[Population_emploi]]</f>
        <v>3.154324815415166</v>
      </c>
      <c r="AM59" s="4">
        <f>IF(Base[[#This Row],[Pathologie]]&lt;&gt;"Dépendance",0,14909.24243952)</f>
        <v>0</v>
      </c>
      <c r="AN59" s="4">
        <f>IF(Base[[#This Row],[Pathologie]]&lt;&gt;"Dépendance",0,1316000)</f>
        <v>0</v>
      </c>
      <c r="AO59" s="4">
        <f>IF(Base[[#This Row],[Pathologie]]&lt;&gt;"Dépendance",0,Base[[#This Row],['[SC']Coût_personne_dépendante]]*Base[[#This Row],['[SC']Nb_personnes_dépendantes]])</f>
        <v>0</v>
      </c>
      <c r="AP59" s="4">
        <f>IF(Base[[#This Row],[Pathologie]]&lt;&gt;"Dépendance",0,Base[[#This Row],['[SC']Coût_total_dépendance]]/Base[[#This Row],[Population_totale]])</f>
        <v>0</v>
      </c>
      <c r="AQ59" s="4">
        <f>IF(Base[[#This Row],[Pathologie]]&lt;&gt;"Dépendance",0,4.5)</f>
        <v>0</v>
      </c>
      <c r="AR59" s="4">
        <v>0.50393265050357905</v>
      </c>
      <c r="AS59" s="4">
        <f>Base[[#This Row],[Espérance_vie]]+Base[[#This Row],['[SC']Hausse_esp_de_vie]]-Base[[#This Row],['[SC']Durée_moyenne_dépendance_avt]]+Base[[#This Row],[Risque]]</f>
        <v>83.090398780447259</v>
      </c>
      <c r="AT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" s="4">
        <v>62.9</v>
      </c>
      <c r="AW59" s="4">
        <f t="shared" si="0"/>
        <v>336905600000</v>
      </c>
      <c r="AX59" s="4">
        <v>15049171</v>
      </c>
      <c r="AY59" s="4">
        <f>Base[[#This Row],['[SC']Budget_total_retraites]]/Base[[#This Row],['[SC']Nombre_de_retraités]]</f>
        <v>22386.987296509556</v>
      </c>
      <c r="AZ59" s="4">
        <f>Base[[#This Row],['[SC']Budget_par_retraité]]*Base[[#This Row],['[SC']Nb_personnes_dépendantes]]</f>
        <v>0</v>
      </c>
      <c r="BA59" s="4">
        <f>Base[[#This Row],['[SC']'[Dépendance']Coût_retraite_personnes_dépendantes]]/Base[[#This Row],[Population_totale]]</f>
        <v>0</v>
      </c>
      <c r="BB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" s="4">
        <f>Base[[#This Row],['[SC']'[Dépendance']Gains]]-Base[[#This Row],['[SC']'[Dépendance']Coûts]]</f>
        <v>0</v>
      </c>
      <c r="BD59" s="4">
        <f>IF(Base[[#This Row],[Pathologie]]&lt;&gt;"Mort prématurée",0,Base[[#This Row],[Risque]]*Base[[#This Row],[Prévalence]]*Base[[#This Row],[Population_totale]])</f>
        <v>0</v>
      </c>
      <c r="BE59" s="4">
        <v>52.74</v>
      </c>
      <c r="BF59" s="4">
        <f>Base[[#This Row],['[SC']Âge_moyen_retraite]]-Base[[#This Row],['[SC']'[Mort_prématurée']Âge_moyen_mort précoce]]</f>
        <v>10.159999999999997</v>
      </c>
      <c r="BG59" s="4">
        <f>Base[[#This Row],[Espérance_vie]]+Base[[#This Row],['[SC']Hausse_esp_de_vie]]-Base[[#This Row],['[SC']Âge_moyen_retraite]]</f>
        <v>19.90101171382144</v>
      </c>
      <c r="BH59" s="4">
        <v>106583.42676924677</v>
      </c>
      <c r="BI59" s="4">
        <v>97601.789429271477</v>
      </c>
      <c r="BJ59" s="4">
        <v>302038.31496633729</v>
      </c>
      <c r="BK59" s="4">
        <v>117293.58934859755</v>
      </c>
      <c r="BL59" s="4">
        <v>1523999.9999999995</v>
      </c>
      <c r="BM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" s="4">
        <v>294804.96027377353</v>
      </c>
      <c r="BO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" s="4">
        <f>(Base[[#This Row],['[SC']'[Mort_prématurée']Gains]]-Base[[#This Row],['[SC']'[Mort_prématurée']Coûts]])/Base[[#This Row],[Population_totale]]</f>
        <v>0</v>
      </c>
      <c r="BQ59" s="4">
        <f>IF(Base[[#This Row],[Pathologie]]&lt;&gt;"Mort prématurée",0,Base[[#This Row],[Risque]])</f>
        <v>0</v>
      </c>
      <c r="BR59" s="4">
        <v>2680</v>
      </c>
      <c r="BS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9" s="4">
        <f>Base[[#This Row],[Prévalence_prod]]*(1-Base[[#This Row],[Risque]])*Base[[#This Row],[Durée_arrêt]]*Base[[#This Row],[Population_emploi]]</f>
        <v>7527673.4170274343</v>
      </c>
      <c r="BV59" s="4">
        <f>Base[[#This Row],['[Prod']'[Absentéisme']Total_jours_absence_avant]]-Base[[#This Row],['[Prod']'[Absentéisme']Total_jours_absence_après]]</f>
        <v>3065538.5321049951</v>
      </c>
      <c r="BW59" s="4">
        <f>IF(AND(Base[[#This Row],[Pathologie]]&lt;&gt;"Dépendance",Base[[#This Row],[Pathologie]]&lt;&gt;"Mort prématurée",Base[[#This Row],[Pathologie]]&lt;&gt;"Migraine"),0.0619,0)</f>
        <v>6.1899999999999997E-2</v>
      </c>
      <c r="BX59" s="4">
        <v>254</v>
      </c>
      <c r="BY5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9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59" s="4">
        <f>Base[[#This Row],[Prévalence_prod]]*Base[[#This Row],[Présentéisme]]*Base[[#This Row],['[Prod']Jours_ouvrés]]</f>
        <v>1.0626852000000002</v>
      </c>
      <c r="CB59" s="4">
        <f>Base[[#This Row],[Prévalence_prod]]*(1-Base[[#This Row],[Risque]])*Base[[#This Row],[Présentéisme]]*Base[[#This Row],['[Prod']Jours_ouvrés]]</f>
        <v>0.75515784722532964</v>
      </c>
      <c r="CC59" s="4">
        <f>Base[[#This Row],['[Prod']'[Présentéisme']Jours_avant]]-Base[[#This Row],['[Prod']'[Présentéisme']Jours_après]]</f>
        <v>0.30752735277467058</v>
      </c>
      <c r="CD59" s="4">
        <f>Base[[#This Row],['[Prod']'[Présentéisme']Jours_gagnés]]/Base[[#This Row],['[Prod']Jours_ouvrés]]</f>
        <v>1.2107376093490967E-3</v>
      </c>
      <c r="CE59">
        <v>5.8333039429220801E-2</v>
      </c>
      <c r="CF59">
        <v>1.4658164114728258E-2</v>
      </c>
      <c r="CG59" s="4">
        <v>11</v>
      </c>
      <c r="CH59" s="4">
        <v>0.85274500894619554</v>
      </c>
      <c r="CI59" s="4">
        <v>4.2903496994109176E-2</v>
      </c>
      <c r="CJ59" s="4">
        <f>IF(Base[[#This Row],[Secteur]]&lt;&gt;"Moyenne",Base[[#This Row],['[Prod']'[Turnover']DMC_initiale]]*(1+Base[[#This Row],['[Prod']'[Turnover']Ecart_accidents]]*Base[[#This Row],['[Prod']Impact_motifs_turnover]]),CJ42*CI42+CJ43*CI43+CJ44*CI44+CJ45*CI45+CJ46*CI46+CJ47*CI47+CJ48*CI48+CJ49*CI49+CJ50*CI50+CJ51*CI51+CJ52*CI52+CJ53*CI53+CJ54*CI54+CJ55*CI55+CJ56*CI56+CJ57*CI57+CJ58*CI58)</f>
        <v>11.137496439180635</v>
      </c>
      <c r="CK59" s="4">
        <f>1/Base[[#This Row],['[Prod']'[Turnover']DMC_initiale]]</f>
        <v>9.0909090909090912E-2</v>
      </c>
      <c r="CL59" s="4">
        <f>1/Base[[#This Row],['[Prod']'[Turnover']DMC_finale]]</f>
        <v>8.9786785159553156E-2</v>
      </c>
    </row>
    <row r="60" spans="2:90" x14ac:dyDescent="0.25">
      <c r="B60" s="4" t="s">
        <v>322</v>
      </c>
      <c r="C60">
        <v>7.5</v>
      </c>
      <c r="D60" t="s">
        <v>84</v>
      </c>
      <c r="E60" t="s">
        <v>4</v>
      </c>
      <c r="F60" s="3">
        <v>0.2893870666258177</v>
      </c>
      <c r="G60" s="3">
        <v>3.6700000000000003E-2</v>
      </c>
      <c r="H60" s="3">
        <v>3.6700000000000003E-2</v>
      </c>
      <c r="I60" s="3">
        <v>0.114</v>
      </c>
      <c r="J60" s="3">
        <v>10.311441509770701</v>
      </c>
      <c r="K60" s="3">
        <v>7.0000000000000007E-2</v>
      </c>
      <c r="L60" s="2">
        <f>Base[[#This Row],[Coût]]*Base[[#This Row],[Part_ménages_dépenses_santé]]</f>
        <v>0.72180090568394906</v>
      </c>
      <c r="M60" s="2">
        <v>0.99731334462301791</v>
      </c>
      <c r="N60" s="6">
        <v>27700000</v>
      </c>
      <c r="O60" s="7">
        <f>Base[[#This Row],[Coût_salarié]]*10^9*Base[[#This Row],[Risque]]*Base[[#This Row],[Prévalence]]*Base[[#This Row],[Part_coûts_salarié]]/Base[[#This Row],[Population_emploi]]</f>
        <v>0.27600342134882699</v>
      </c>
      <c r="P60">
        <v>50</v>
      </c>
      <c r="Q60">
        <v>50</v>
      </c>
      <c r="R60" s="2">
        <v>9.9999999999999978E-2</v>
      </c>
      <c r="S60" s="2">
        <v>0.33340000000000003</v>
      </c>
      <c r="T60" s="4">
        <v>3.6700000000000003E-2</v>
      </c>
      <c r="U60" s="4">
        <f>IF(Bases_annexes!$F$5=0,16.6587111018772,0.77*Bases_annexes!$F$5/(IF(OR(ISBLANK('Données_d''entrée'!$E$44),'Données_d''entrée'!$E$44=0),35,'Données_d''entrée'!$E$44)*52))</f>
        <v>16.658711101877199</v>
      </c>
      <c r="V60" s="4">
        <v>10.42033853287208</v>
      </c>
      <c r="W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0" s="4">
        <v>234.5</v>
      </c>
      <c r="Y60" s="4">
        <f>(Base[[#This Row],['[Maladies']Coûts_évités_par_salarié]]+Base[[#This Row],['[Travail']Coûts_évités_par_salarié]])/Base[[#This Row],[Budget_santé_salarié]]</f>
        <v>2.0939832741372771E-2</v>
      </c>
      <c r="Z60" s="4">
        <v>0.8</v>
      </c>
      <c r="AA60" s="4">
        <f>Base[[#This Row],[Coût]]*Base[[#This Row],[Part_société_dépenses_santé]]</f>
        <v>8.2491532078165601</v>
      </c>
      <c r="AB60" s="4">
        <v>67635124</v>
      </c>
      <c r="AC60" s="4">
        <v>82.297079063317852</v>
      </c>
      <c r="AD60" s="4">
        <v>3.6700000000000003E-2</v>
      </c>
      <c r="AE60" s="4">
        <f>Base[[#This Row],['[SC']Prévalence_travail]]*Base[[#This Row],[Population_emploi]]</f>
        <v>1016590.0000000001</v>
      </c>
      <c r="AF60" s="4">
        <f>Base[[#This Row],[Risque]]*Base[[#This Row],['[SC']Patients_en_emploi]]</f>
        <v>294187.99806114007</v>
      </c>
      <c r="AG60" s="4">
        <v>756671404.20000005</v>
      </c>
      <c r="AH60" s="4">
        <f>IFERROR(Base[[#This Row],['[SC']Prestations]]/Base[[#This Row],['[SC']Patients_en_emploi]],0)</f>
        <v>744.32308423258144</v>
      </c>
      <c r="AI60" s="4">
        <v>51.7</v>
      </c>
      <c r="AJ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0" s="4">
        <f>Base[[#This Row],['[SC']'[Travail']Coûts_évités]]/Base[[#This Row],[Population_emploi]]</f>
        <v>7.9050872946236987</v>
      </c>
      <c r="AL60" s="4">
        <f>Base[[#This Row],[Coût_société]]*10^9*Base[[#This Row],[Risque]]*Base[[#This Row],[Prévalence]]*Base[[#This Row],[Part_coûts_salarié]]/Base[[#This Row],[Population_emploi]]</f>
        <v>3.154324815415166</v>
      </c>
      <c r="AM60" s="4">
        <f>IF(Base[[#This Row],[Pathologie]]&lt;&gt;"Dépendance",0,14909.24243952)</f>
        <v>0</v>
      </c>
      <c r="AN60" s="4">
        <f>IF(Base[[#This Row],[Pathologie]]&lt;&gt;"Dépendance",0,1316000)</f>
        <v>0</v>
      </c>
      <c r="AO60" s="4">
        <f>IF(Base[[#This Row],[Pathologie]]&lt;&gt;"Dépendance",0,Base[[#This Row],['[SC']Coût_personne_dépendante]]*Base[[#This Row],['[SC']Nb_personnes_dépendantes]])</f>
        <v>0</v>
      </c>
      <c r="AP60" s="4">
        <f>IF(Base[[#This Row],[Pathologie]]&lt;&gt;"Dépendance",0,Base[[#This Row],['[SC']Coût_total_dépendance]]/Base[[#This Row],[Population_totale]])</f>
        <v>0</v>
      </c>
      <c r="AQ60" s="4">
        <f>IF(Base[[#This Row],[Pathologie]]&lt;&gt;"Dépendance",0,4.5)</f>
        <v>0</v>
      </c>
      <c r="AR60" s="4">
        <v>0.50393265050357905</v>
      </c>
      <c r="AS60" s="4">
        <f>Base[[#This Row],[Espérance_vie]]+Base[[#This Row],['[SC']Hausse_esp_de_vie]]-Base[[#This Row],['[SC']Durée_moyenne_dépendance_avt]]+Base[[#This Row],[Risque]]</f>
        <v>83.090398780447259</v>
      </c>
      <c r="AT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" s="4">
        <v>62.9</v>
      </c>
      <c r="AW60" s="4">
        <f t="shared" si="0"/>
        <v>336905600000</v>
      </c>
      <c r="AX60" s="4">
        <v>15049171</v>
      </c>
      <c r="AY60" s="4">
        <f>Base[[#This Row],['[SC']Budget_total_retraites]]/Base[[#This Row],['[SC']Nombre_de_retraités]]</f>
        <v>22386.987296509556</v>
      </c>
      <c r="AZ60" s="4">
        <f>Base[[#This Row],['[SC']Budget_par_retraité]]*Base[[#This Row],['[SC']Nb_personnes_dépendantes]]</f>
        <v>0</v>
      </c>
      <c r="BA60" s="4">
        <f>Base[[#This Row],['[SC']'[Dépendance']Coût_retraite_personnes_dépendantes]]/Base[[#This Row],[Population_totale]]</f>
        <v>0</v>
      </c>
      <c r="BB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" s="4">
        <f>Base[[#This Row],['[SC']'[Dépendance']Gains]]-Base[[#This Row],['[SC']'[Dépendance']Coûts]]</f>
        <v>0</v>
      </c>
      <c r="BD60" s="4">
        <f>IF(Base[[#This Row],[Pathologie]]&lt;&gt;"Mort prématurée",0,Base[[#This Row],[Risque]]*Base[[#This Row],[Prévalence]]*Base[[#This Row],[Population_totale]])</f>
        <v>0</v>
      </c>
      <c r="BE60" s="4">
        <v>52.74</v>
      </c>
      <c r="BF60" s="4">
        <f>Base[[#This Row],['[SC']Âge_moyen_retraite]]-Base[[#This Row],['[SC']'[Mort_prématurée']Âge_moyen_mort précoce]]</f>
        <v>10.159999999999997</v>
      </c>
      <c r="BG60" s="4">
        <f>Base[[#This Row],[Espérance_vie]]+Base[[#This Row],['[SC']Hausse_esp_de_vie]]-Base[[#This Row],['[SC']Âge_moyen_retraite]]</f>
        <v>19.90101171382144</v>
      </c>
      <c r="BH60" s="4">
        <v>106583.42676924677</v>
      </c>
      <c r="BI60" s="4">
        <v>97601.789429271477</v>
      </c>
      <c r="BJ60" s="4">
        <v>302038.31496633729</v>
      </c>
      <c r="BK60" s="4">
        <v>117293.58934859755</v>
      </c>
      <c r="BL60" s="4">
        <v>1523999.9999999995</v>
      </c>
      <c r="BM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" s="4">
        <v>294804.96027377353</v>
      </c>
      <c r="BO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" s="4">
        <f>(Base[[#This Row],['[SC']'[Mort_prématurée']Gains]]-Base[[#This Row],['[SC']'[Mort_prématurée']Coûts]])/Base[[#This Row],[Population_totale]]</f>
        <v>0</v>
      </c>
      <c r="BQ60" s="4">
        <f>IF(Base[[#This Row],[Pathologie]]&lt;&gt;"Mort prématurée",0,Base[[#This Row],[Risque]])</f>
        <v>0</v>
      </c>
      <c r="BR60" s="4">
        <v>2680</v>
      </c>
      <c r="BS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0" s="4">
        <f>Base[[#This Row],[Prévalence_prod]]*(1-Base[[#This Row],[Risque]])*Base[[#This Row],[Durée_arrêt]]*Base[[#This Row],[Population_emploi]]</f>
        <v>7527673.4170274343</v>
      </c>
      <c r="BV60" s="4">
        <f>Base[[#This Row],['[Prod']'[Absentéisme']Total_jours_absence_avant]]-Base[[#This Row],['[Prod']'[Absentéisme']Total_jours_absence_après]]</f>
        <v>3065538.5321049951</v>
      </c>
      <c r="BW60" s="4">
        <f>IF(AND(Base[[#This Row],[Pathologie]]&lt;&gt;"Dépendance",Base[[#This Row],[Pathologie]]&lt;&gt;"Mort prématurée",Base[[#This Row],[Pathologie]]&lt;&gt;"Migraine"),0.0619,0)</f>
        <v>6.1899999999999997E-2</v>
      </c>
      <c r="BX60" s="4">
        <v>254</v>
      </c>
      <c r="BY6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0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0" s="4">
        <f>Base[[#This Row],[Prévalence_prod]]*Base[[#This Row],[Présentéisme]]*Base[[#This Row],['[Prod']Jours_ouvrés]]</f>
        <v>1.0626852000000002</v>
      </c>
      <c r="CB60" s="4">
        <f>Base[[#This Row],[Prévalence_prod]]*(1-Base[[#This Row],[Risque]])*Base[[#This Row],[Présentéisme]]*Base[[#This Row],['[Prod']Jours_ouvrés]]</f>
        <v>0.75515784722532964</v>
      </c>
      <c r="CC60" s="4">
        <f>Base[[#This Row],['[Prod']'[Présentéisme']Jours_avant]]-Base[[#This Row],['[Prod']'[Présentéisme']Jours_après]]</f>
        <v>0.30752735277467058</v>
      </c>
      <c r="CD60" s="4">
        <f>Base[[#This Row],['[Prod']'[Présentéisme']Jours_gagnés]]/Base[[#This Row],['[Prod']Jours_ouvrés]]</f>
        <v>1.2107376093490967E-3</v>
      </c>
      <c r="CE60">
        <v>5.8333039429220801E-2</v>
      </c>
      <c r="CF60">
        <v>1.4658164114728258E-2</v>
      </c>
      <c r="CG60" s="4">
        <v>11</v>
      </c>
      <c r="CH60" s="4">
        <v>1.6219398392978641</v>
      </c>
      <c r="CI60" s="4">
        <v>9.628527536862988E-2</v>
      </c>
      <c r="CJ60" s="4">
        <f>IF(Base[[#This Row],[Secteur]]&lt;&gt;"Moyenne",Base[[#This Row],['[Prod']'[Turnover']DMC_initiale]]*(1+Base[[#This Row],['[Prod']'[Turnover']Ecart_accidents]]*Base[[#This Row],['[Prod']Impact_motifs_turnover]]),CJ43*CI43+CJ44*CI44+CJ45*CI45+CJ46*CI46+CJ47*CI47+CJ48*CI48+CJ49*CI49+CJ50*CI50+CJ51*CI51+CJ52*CI52+CJ53*CI53+CJ54*CI54+CJ55*CI55+CJ56*CI56+CJ57*CI57+CJ58*CI58+CJ59*CI59)</f>
        <v>11.261521263835085</v>
      </c>
      <c r="CK60" s="4">
        <f>1/Base[[#This Row],['[Prod']'[Turnover']DMC_initiale]]</f>
        <v>9.0909090909090912E-2</v>
      </c>
      <c r="CL60" s="4">
        <f>1/Base[[#This Row],['[Prod']'[Turnover']DMC_finale]]</f>
        <v>8.8797949812639457E-2</v>
      </c>
    </row>
    <row r="61" spans="2:90" x14ac:dyDescent="0.25">
      <c r="B61" s="4" t="s">
        <v>323</v>
      </c>
      <c r="C61">
        <v>7.5</v>
      </c>
      <c r="D61" t="s">
        <v>84</v>
      </c>
      <c r="E61" t="s">
        <v>4</v>
      </c>
      <c r="F61" s="3">
        <v>0.2893870666258177</v>
      </c>
      <c r="G61" s="3">
        <v>3.6700000000000003E-2</v>
      </c>
      <c r="H61" s="3">
        <v>3.6700000000000003E-2</v>
      </c>
      <c r="I61" s="3">
        <v>0.114</v>
      </c>
      <c r="J61" s="3">
        <v>10.311441509770701</v>
      </c>
      <c r="K61" s="3">
        <v>7.0000000000000007E-2</v>
      </c>
      <c r="L61" s="2">
        <f>Base[[#This Row],[Coût]]*Base[[#This Row],[Part_ménages_dépenses_santé]]</f>
        <v>0.72180090568394906</v>
      </c>
      <c r="M61" s="2">
        <v>0.99731334462301791</v>
      </c>
      <c r="N61" s="6">
        <v>27700000</v>
      </c>
      <c r="O61" s="7">
        <f>Base[[#This Row],[Coût_salarié]]*10^9*Base[[#This Row],[Risque]]*Base[[#This Row],[Prévalence]]*Base[[#This Row],[Part_coûts_salarié]]/Base[[#This Row],[Population_emploi]]</f>
        <v>0.27600342134882699</v>
      </c>
      <c r="P61">
        <v>50</v>
      </c>
      <c r="Q61">
        <v>50</v>
      </c>
      <c r="R61" s="2">
        <v>9.9999999999999978E-2</v>
      </c>
      <c r="S61" s="2">
        <v>0.33340000000000003</v>
      </c>
      <c r="T61" s="4">
        <v>3.6700000000000003E-2</v>
      </c>
      <c r="U61" s="4">
        <f>IF(Bases_annexes!$F$5=0,16.6587111018772,0.77*Bases_annexes!$F$5/(IF(OR(ISBLANK('Données_d''entrée'!$E$44),'Données_d''entrée'!$E$44=0),35,'Données_d''entrée'!$E$44)*52))</f>
        <v>16.658711101877199</v>
      </c>
      <c r="V61" s="4">
        <v>10.42033853287208</v>
      </c>
      <c r="W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1" s="4">
        <v>234.5</v>
      </c>
      <c r="Y61" s="4">
        <f>(Base[[#This Row],['[Maladies']Coûts_évités_par_salarié]]+Base[[#This Row],['[Travail']Coûts_évités_par_salarié]])/Base[[#This Row],[Budget_santé_salarié]]</f>
        <v>2.0939832741372771E-2</v>
      </c>
      <c r="Z61" s="4">
        <v>0.8</v>
      </c>
      <c r="AA61" s="4">
        <f>Base[[#This Row],[Coût]]*Base[[#This Row],[Part_société_dépenses_santé]]</f>
        <v>8.2491532078165601</v>
      </c>
      <c r="AB61" s="4">
        <v>67635124</v>
      </c>
      <c r="AC61" s="4">
        <v>82.297079063317852</v>
      </c>
      <c r="AD61" s="4">
        <v>3.6700000000000003E-2</v>
      </c>
      <c r="AE61" s="4">
        <f>Base[[#This Row],['[SC']Prévalence_travail]]*Base[[#This Row],[Population_emploi]]</f>
        <v>1016590.0000000001</v>
      </c>
      <c r="AF61" s="4">
        <f>Base[[#This Row],[Risque]]*Base[[#This Row],['[SC']Patients_en_emploi]]</f>
        <v>294187.99806114007</v>
      </c>
      <c r="AG61" s="4">
        <v>756671404.20000005</v>
      </c>
      <c r="AH61" s="4">
        <f>IFERROR(Base[[#This Row],['[SC']Prestations]]/Base[[#This Row],['[SC']Patients_en_emploi]],0)</f>
        <v>744.32308423258144</v>
      </c>
      <c r="AI61" s="4">
        <v>51.7</v>
      </c>
      <c r="AJ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1" s="4">
        <f>Base[[#This Row],['[SC']'[Travail']Coûts_évités]]/Base[[#This Row],[Population_emploi]]</f>
        <v>7.9050872946236987</v>
      </c>
      <c r="AL61" s="4">
        <f>Base[[#This Row],[Coût_société]]*10^9*Base[[#This Row],[Risque]]*Base[[#This Row],[Prévalence]]*Base[[#This Row],[Part_coûts_salarié]]/Base[[#This Row],[Population_emploi]]</f>
        <v>3.154324815415166</v>
      </c>
      <c r="AM61" s="4">
        <f>IF(Base[[#This Row],[Pathologie]]&lt;&gt;"Dépendance",0,14909.24243952)</f>
        <v>0</v>
      </c>
      <c r="AN61" s="4">
        <f>IF(Base[[#This Row],[Pathologie]]&lt;&gt;"Dépendance",0,1316000)</f>
        <v>0</v>
      </c>
      <c r="AO61" s="4">
        <f>IF(Base[[#This Row],[Pathologie]]&lt;&gt;"Dépendance",0,Base[[#This Row],['[SC']Coût_personne_dépendante]]*Base[[#This Row],['[SC']Nb_personnes_dépendantes]])</f>
        <v>0</v>
      </c>
      <c r="AP61" s="4">
        <f>IF(Base[[#This Row],[Pathologie]]&lt;&gt;"Dépendance",0,Base[[#This Row],['[SC']Coût_total_dépendance]]/Base[[#This Row],[Population_totale]])</f>
        <v>0</v>
      </c>
      <c r="AQ61" s="4">
        <f>IF(Base[[#This Row],[Pathologie]]&lt;&gt;"Dépendance",0,4.5)</f>
        <v>0</v>
      </c>
      <c r="AR61" s="4">
        <v>0.50393265050357905</v>
      </c>
      <c r="AS61" s="4">
        <f>Base[[#This Row],[Espérance_vie]]+Base[[#This Row],['[SC']Hausse_esp_de_vie]]-Base[[#This Row],['[SC']Durée_moyenne_dépendance_avt]]+Base[[#This Row],[Risque]]</f>
        <v>83.090398780447259</v>
      </c>
      <c r="AT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" s="4">
        <v>62.9</v>
      </c>
      <c r="AW61" s="4">
        <f t="shared" si="0"/>
        <v>336905600000</v>
      </c>
      <c r="AX61" s="4">
        <v>15049171</v>
      </c>
      <c r="AY61" s="4">
        <f>Base[[#This Row],['[SC']Budget_total_retraites]]/Base[[#This Row],['[SC']Nombre_de_retraités]]</f>
        <v>22386.987296509556</v>
      </c>
      <c r="AZ61" s="4">
        <f>Base[[#This Row],['[SC']Budget_par_retraité]]*Base[[#This Row],['[SC']Nb_personnes_dépendantes]]</f>
        <v>0</v>
      </c>
      <c r="BA61" s="4">
        <f>Base[[#This Row],['[SC']'[Dépendance']Coût_retraite_personnes_dépendantes]]/Base[[#This Row],[Population_totale]]</f>
        <v>0</v>
      </c>
      <c r="BB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" s="4">
        <f>Base[[#This Row],['[SC']'[Dépendance']Gains]]-Base[[#This Row],['[SC']'[Dépendance']Coûts]]</f>
        <v>0</v>
      </c>
      <c r="BD61" s="4">
        <f>IF(Base[[#This Row],[Pathologie]]&lt;&gt;"Mort prématurée",0,Base[[#This Row],[Risque]]*Base[[#This Row],[Prévalence]]*Base[[#This Row],[Population_totale]])</f>
        <v>0</v>
      </c>
      <c r="BE61" s="4">
        <v>52.74</v>
      </c>
      <c r="BF61" s="4">
        <f>Base[[#This Row],['[SC']Âge_moyen_retraite]]-Base[[#This Row],['[SC']'[Mort_prématurée']Âge_moyen_mort précoce]]</f>
        <v>10.159999999999997</v>
      </c>
      <c r="BG61" s="4">
        <f>Base[[#This Row],[Espérance_vie]]+Base[[#This Row],['[SC']Hausse_esp_de_vie]]-Base[[#This Row],['[SC']Âge_moyen_retraite]]</f>
        <v>19.90101171382144</v>
      </c>
      <c r="BH61" s="4">
        <v>106583.42676924677</v>
      </c>
      <c r="BI61" s="4">
        <v>97601.789429271477</v>
      </c>
      <c r="BJ61" s="4">
        <v>302038.31496633729</v>
      </c>
      <c r="BK61" s="4">
        <v>117293.58934859755</v>
      </c>
      <c r="BL61" s="4">
        <v>1523999.9999999995</v>
      </c>
      <c r="BM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" s="4">
        <v>294804.96027377353</v>
      </c>
      <c r="BO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" s="4">
        <f>(Base[[#This Row],['[SC']'[Mort_prématurée']Gains]]-Base[[#This Row],['[SC']'[Mort_prématurée']Coûts]])/Base[[#This Row],[Population_totale]]</f>
        <v>0</v>
      </c>
      <c r="BQ61" s="4">
        <f>IF(Base[[#This Row],[Pathologie]]&lt;&gt;"Mort prématurée",0,Base[[#This Row],[Risque]])</f>
        <v>0</v>
      </c>
      <c r="BR61" s="4">
        <v>2680</v>
      </c>
      <c r="BS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1" s="4">
        <f>Base[[#This Row],[Prévalence_prod]]*(1-Base[[#This Row],[Risque]])*Base[[#This Row],[Durée_arrêt]]*Base[[#This Row],[Population_emploi]]</f>
        <v>7527673.4170274343</v>
      </c>
      <c r="BV61" s="4">
        <f>Base[[#This Row],['[Prod']'[Absentéisme']Total_jours_absence_avant]]-Base[[#This Row],['[Prod']'[Absentéisme']Total_jours_absence_après]]</f>
        <v>3065538.5321049951</v>
      </c>
      <c r="BW61" s="4">
        <f>IF(AND(Base[[#This Row],[Pathologie]]&lt;&gt;"Dépendance",Base[[#This Row],[Pathologie]]&lt;&gt;"Mort prématurée",Base[[#This Row],[Pathologie]]&lt;&gt;"Migraine"),0.0619,0)</f>
        <v>6.1899999999999997E-2</v>
      </c>
      <c r="BX61" s="4">
        <v>254</v>
      </c>
      <c r="BY61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1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1" s="4">
        <f>Base[[#This Row],[Prévalence_prod]]*Base[[#This Row],[Présentéisme]]*Base[[#This Row],['[Prod']Jours_ouvrés]]</f>
        <v>1.0626852000000002</v>
      </c>
      <c r="CB61" s="4">
        <f>Base[[#This Row],[Prévalence_prod]]*(1-Base[[#This Row],[Risque]])*Base[[#This Row],[Présentéisme]]*Base[[#This Row],['[Prod']Jours_ouvrés]]</f>
        <v>0.75515784722532964</v>
      </c>
      <c r="CC61" s="4">
        <f>Base[[#This Row],['[Prod']'[Présentéisme']Jours_avant]]-Base[[#This Row],['[Prod']'[Présentéisme']Jours_après]]</f>
        <v>0.30752735277467058</v>
      </c>
      <c r="CD61" s="4">
        <f>Base[[#This Row],['[Prod']'[Présentéisme']Jours_gagnés]]/Base[[#This Row],['[Prod']Jours_ouvrés]]</f>
        <v>1.2107376093490967E-3</v>
      </c>
      <c r="CE61">
        <v>5.8333039429220801E-2</v>
      </c>
      <c r="CF61">
        <v>1.4658164114728258E-2</v>
      </c>
      <c r="CG61" s="4">
        <v>11</v>
      </c>
      <c r="CH61" s="4">
        <v>0.96913802401210614</v>
      </c>
      <c r="CI61" s="4">
        <v>0.10293966445307301</v>
      </c>
      <c r="CJ61" s="4">
        <f>IF(Base[[#This Row],[Secteur]]&lt;&gt;"Moyenne",Base[[#This Row],['[Prod']'[Turnover']DMC_initiale]]*(1+Base[[#This Row],['[Prod']'[Turnover']Ecart_accidents]]*Base[[#This Row],['[Prod']Impact_motifs_turnover]]),CJ44*CI44+CJ45*CI45+CJ46*CI46+CJ47*CI47+CJ48*CI48+CJ49*CI49+CJ50*CI50+CJ51*CI51+CJ52*CI52+CJ53*CI53+CJ54*CI54+CJ55*CI55+CJ56*CI56+CJ57*CI57+CJ58*CI58+CJ59*CI59+CJ60*CI60)</f>
        <v>11.156263626263723</v>
      </c>
      <c r="CK61" s="4">
        <f>1/Base[[#This Row],['[Prod']'[Turnover']DMC_initiale]]</f>
        <v>9.0909090909090912E-2</v>
      </c>
      <c r="CL61" s="4">
        <f>1/Base[[#This Row],['[Prod']'[Turnover']DMC_finale]]</f>
        <v>8.9635744860477456E-2</v>
      </c>
    </row>
    <row r="62" spans="2:90" x14ac:dyDescent="0.25">
      <c r="B62" s="4" t="s">
        <v>324</v>
      </c>
      <c r="C62">
        <v>7.5</v>
      </c>
      <c r="D62" t="s">
        <v>84</v>
      </c>
      <c r="E62" t="s">
        <v>4</v>
      </c>
      <c r="F62" s="3">
        <v>0.2893870666258177</v>
      </c>
      <c r="G62" s="3">
        <v>3.6700000000000003E-2</v>
      </c>
      <c r="H62" s="3">
        <v>3.6700000000000003E-2</v>
      </c>
      <c r="I62" s="3">
        <v>0.114</v>
      </c>
      <c r="J62" s="3">
        <v>10.311441509770701</v>
      </c>
      <c r="K62" s="3">
        <v>7.0000000000000007E-2</v>
      </c>
      <c r="L62" s="2">
        <f>Base[[#This Row],[Coût]]*Base[[#This Row],[Part_ménages_dépenses_santé]]</f>
        <v>0.72180090568394906</v>
      </c>
      <c r="M62" s="2">
        <v>0.99731334462301791</v>
      </c>
      <c r="N62" s="6">
        <v>27700000</v>
      </c>
      <c r="O62" s="7">
        <f>Base[[#This Row],[Coût_salarié]]*10^9*Base[[#This Row],[Risque]]*Base[[#This Row],[Prévalence]]*Base[[#This Row],[Part_coûts_salarié]]/Base[[#This Row],[Population_emploi]]</f>
        <v>0.27600342134882699</v>
      </c>
      <c r="P62">
        <v>50</v>
      </c>
      <c r="Q62">
        <v>50</v>
      </c>
      <c r="R62" s="2">
        <v>9.9999999999999978E-2</v>
      </c>
      <c r="S62" s="2">
        <v>0.33340000000000003</v>
      </c>
      <c r="T62" s="4">
        <v>3.6700000000000003E-2</v>
      </c>
      <c r="U62" s="4">
        <f>IF(Bases_annexes!$F$5=0,16.6587111018772,0.77*Bases_annexes!$F$5/(IF(OR(ISBLANK('Données_d''entrée'!$E$44),'Données_d''entrée'!$E$44=0),35,'Données_d''entrée'!$E$44)*52))</f>
        <v>16.658711101877199</v>
      </c>
      <c r="V62" s="4">
        <v>10.42033853287208</v>
      </c>
      <c r="W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2" s="4">
        <v>234.5</v>
      </c>
      <c r="Y62" s="4">
        <f>(Base[[#This Row],['[Maladies']Coûts_évités_par_salarié]]+Base[[#This Row],['[Travail']Coûts_évités_par_salarié]])/Base[[#This Row],[Budget_santé_salarié]]</f>
        <v>2.0939832741372771E-2</v>
      </c>
      <c r="Z62" s="4">
        <v>0.8</v>
      </c>
      <c r="AA62" s="4">
        <f>Base[[#This Row],[Coût]]*Base[[#This Row],[Part_société_dépenses_santé]]</f>
        <v>8.2491532078165601</v>
      </c>
      <c r="AB62" s="4">
        <v>67635124</v>
      </c>
      <c r="AC62" s="4">
        <v>82.297079063317852</v>
      </c>
      <c r="AD62" s="4">
        <v>3.6700000000000003E-2</v>
      </c>
      <c r="AE62" s="4">
        <f>Base[[#This Row],['[SC']Prévalence_travail]]*Base[[#This Row],[Population_emploi]]</f>
        <v>1016590.0000000001</v>
      </c>
      <c r="AF62" s="4">
        <f>Base[[#This Row],[Risque]]*Base[[#This Row],['[SC']Patients_en_emploi]]</f>
        <v>294187.99806114007</v>
      </c>
      <c r="AG62" s="4">
        <v>756671404.20000005</v>
      </c>
      <c r="AH62" s="4">
        <f>IFERROR(Base[[#This Row],['[SC']Prestations]]/Base[[#This Row],['[SC']Patients_en_emploi]],0)</f>
        <v>744.32308423258144</v>
      </c>
      <c r="AI62" s="4">
        <v>51.7</v>
      </c>
      <c r="AJ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2" s="4">
        <f>Base[[#This Row],['[SC']'[Travail']Coûts_évités]]/Base[[#This Row],[Population_emploi]]</f>
        <v>7.9050872946236987</v>
      </c>
      <c r="AL62" s="4">
        <f>Base[[#This Row],[Coût_société]]*10^9*Base[[#This Row],[Risque]]*Base[[#This Row],[Prévalence]]*Base[[#This Row],[Part_coûts_salarié]]/Base[[#This Row],[Population_emploi]]</f>
        <v>3.154324815415166</v>
      </c>
      <c r="AM62" s="4">
        <f>IF(Base[[#This Row],[Pathologie]]&lt;&gt;"Dépendance",0,14909.24243952)</f>
        <v>0</v>
      </c>
      <c r="AN62" s="4">
        <f>IF(Base[[#This Row],[Pathologie]]&lt;&gt;"Dépendance",0,1316000)</f>
        <v>0</v>
      </c>
      <c r="AO62" s="4">
        <f>IF(Base[[#This Row],[Pathologie]]&lt;&gt;"Dépendance",0,Base[[#This Row],['[SC']Coût_personne_dépendante]]*Base[[#This Row],['[SC']Nb_personnes_dépendantes]])</f>
        <v>0</v>
      </c>
      <c r="AP62" s="4">
        <f>IF(Base[[#This Row],[Pathologie]]&lt;&gt;"Dépendance",0,Base[[#This Row],['[SC']Coût_total_dépendance]]/Base[[#This Row],[Population_totale]])</f>
        <v>0</v>
      </c>
      <c r="AQ62" s="4">
        <f>IF(Base[[#This Row],[Pathologie]]&lt;&gt;"Dépendance",0,4.5)</f>
        <v>0</v>
      </c>
      <c r="AR62" s="4">
        <v>0.50393265050357905</v>
      </c>
      <c r="AS62" s="4">
        <f>Base[[#This Row],[Espérance_vie]]+Base[[#This Row],['[SC']Hausse_esp_de_vie]]-Base[[#This Row],['[SC']Durée_moyenne_dépendance_avt]]+Base[[#This Row],[Risque]]</f>
        <v>83.090398780447259</v>
      </c>
      <c r="AT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" s="4">
        <v>62.9</v>
      </c>
      <c r="AW62" s="4">
        <f t="shared" si="0"/>
        <v>336905600000</v>
      </c>
      <c r="AX62" s="4">
        <v>15049171</v>
      </c>
      <c r="AY62" s="4">
        <f>Base[[#This Row],['[SC']Budget_total_retraites]]/Base[[#This Row],['[SC']Nombre_de_retraités]]</f>
        <v>22386.987296509556</v>
      </c>
      <c r="AZ62" s="4">
        <f>Base[[#This Row],['[SC']Budget_par_retraité]]*Base[[#This Row],['[SC']Nb_personnes_dépendantes]]</f>
        <v>0</v>
      </c>
      <c r="BA62" s="4">
        <f>Base[[#This Row],['[SC']'[Dépendance']Coût_retraite_personnes_dépendantes]]/Base[[#This Row],[Population_totale]]</f>
        <v>0</v>
      </c>
      <c r="BB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" s="4">
        <f>Base[[#This Row],['[SC']'[Dépendance']Gains]]-Base[[#This Row],['[SC']'[Dépendance']Coûts]]</f>
        <v>0</v>
      </c>
      <c r="BD62" s="4">
        <f>IF(Base[[#This Row],[Pathologie]]&lt;&gt;"Mort prématurée",0,Base[[#This Row],[Risque]]*Base[[#This Row],[Prévalence]]*Base[[#This Row],[Population_totale]])</f>
        <v>0</v>
      </c>
      <c r="BE62" s="4">
        <v>52.74</v>
      </c>
      <c r="BF62" s="4">
        <f>Base[[#This Row],['[SC']Âge_moyen_retraite]]-Base[[#This Row],['[SC']'[Mort_prématurée']Âge_moyen_mort précoce]]</f>
        <v>10.159999999999997</v>
      </c>
      <c r="BG62" s="4">
        <f>Base[[#This Row],[Espérance_vie]]+Base[[#This Row],['[SC']Hausse_esp_de_vie]]-Base[[#This Row],['[SC']Âge_moyen_retraite]]</f>
        <v>19.90101171382144</v>
      </c>
      <c r="BH62" s="4">
        <v>106583.42676924677</v>
      </c>
      <c r="BI62" s="4">
        <v>97601.789429271477</v>
      </c>
      <c r="BJ62" s="4">
        <v>302038.31496633729</v>
      </c>
      <c r="BK62" s="4">
        <v>117293.58934859755</v>
      </c>
      <c r="BL62" s="4">
        <v>1523999.9999999995</v>
      </c>
      <c r="BM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" s="4">
        <v>294804.96027377353</v>
      </c>
      <c r="BO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" s="4">
        <f>(Base[[#This Row],['[SC']'[Mort_prématurée']Gains]]-Base[[#This Row],['[SC']'[Mort_prématurée']Coûts]])/Base[[#This Row],[Population_totale]]</f>
        <v>0</v>
      </c>
      <c r="BQ62" s="4">
        <f>IF(Base[[#This Row],[Pathologie]]&lt;&gt;"Mort prématurée",0,Base[[#This Row],[Risque]])</f>
        <v>0</v>
      </c>
      <c r="BR62" s="4">
        <v>2680</v>
      </c>
      <c r="BS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2" s="4">
        <f>Base[[#This Row],[Prévalence_prod]]*(1-Base[[#This Row],[Risque]])*Base[[#This Row],[Durée_arrêt]]*Base[[#This Row],[Population_emploi]]</f>
        <v>7527673.4170274343</v>
      </c>
      <c r="BV62" s="4">
        <f>Base[[#This Row],['[Prod']'[Absentéisme']Total_jours_absence_avant]]-Base[[#This Row],['[Prod']'[Absentéisme']Total_jours_absence_après]]</f>
        <v>3065538.5321049951</v>
      </c>
      <c r="BW62" s="4">
        <f>IF(AND(Base[[#This Row],[Pathologie]]&lt;&gt;"Dépendance",Base[[#This Row],[Pathologie]]&lt;&gt;"Mort prématurée",Base[[#This Row],[Pathologie]]&lt;&gt;"Migraine"),0.0619,0)</f>
        <v>6.1899999999999997E-2</v>
      </c>
      <c r="BX62" s="4">
        <v>254</v>
      </c>
      <c r="BY62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2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2" s="4">
        <f>Base[[#This Row],[Prévalence_prod]]*Base[[#This Row],[Présentéisme]]*Base[[#This Row],['[Prod']Jours_ouvrés]]</f>
        <v>1.0626852000000002</v>
      </c>
      <c r="CB62" s="4">
        <f>Base[[#This Row],[Prévalence_prod]]*(1-Base[[#This Row],[Risque]])*Base[[#This Row],[Présentéisme]]*Base[[#This Row],['[Prod']Jours_ouvrés]]</f>
        <v>0.75515784722532964</v>
      </c>
      <c r="CC62" s="4">
        <f>Base[[#This Row],['[Prod']'[Présentéisme']Jours_avant]]-Base[[#This Row],['[Prod']'[Présentéisme']Jours_après]]</f>
        <v>0.30752735277467058</v>
      </c>
      <c r="CD62" s="4">
        <f>Base[[#This Row],['[Prod']'[Présentéisme']Jours_gagnés]]/Base[[#This Row],['[Prod']Jours_ouvrés]]</f>
        <v>1.2107376093490967E-3</v>
      </c>
      <c r="CE62">
        <v>5.8333039429220801E-2</v>
      </c>
      <c r="CF62">
        <v>1.4658164114728258E-2</v>
      </c>
      <c r="CG62" s="4">
        <v>11</v>
      </c>
      <c r="CH62" s="4">
        <v>1.3987208237662601</v>
      </c>
      <c r="CI62" s="4">
        <v>2.1768516166491274E-2</v>
      </c>
      <c r="CJ62" s="4">
        <f>IF(Base[[#This Row],[Secteur]]&lt;&gt;"Moyenne",Base[[#This Row],['[Prod']'[Turnover']DMC_initiale]]*(1+Base[[#This Row],['[Prod']'[Turnover']Ecart_accidents]]*Base[[#This Row],['[Prod']Impact_motifs_turnover]]),CJ45*CI45+CJ46*CI46+CJ47*CI47+CJ48*CI48+CJ49*CI49+CJ50*CI50+CJ51*CI51+CJ52*CI52+CJ53*CI53+CJ54*CI54+CJ55*CI55+CJ56*CI56+CJ57*CI57+CJ58*CI58+CJ59*CI59+CJ60*CI60+CJ61*CI61)</f>
        <v>11.225529473239991</v>
      </c>
      <c r="CK62" s="4">
        <f>1/Base[[#This Row],['[Prod']'[Turnover']DMC_initiale]]</f>
        <v>9.0909090909090912E-2</v>
      </c>
      <c r="CL62" s="4">
        <f>1/Base[[#This Row],['[Prod']'[Turnover']DMC_finale]]</f>
        <v>8.9082657738670828E-2</v>
      </c>
    </row>
    <row r="63" spans="2:90" x14ac:dyDescent="0.25">
      <c r="B63" s="4" t="s">
        <v>325</v>
      </c>
      <c r="C63">
        <v>7.5</v>
      </c>
      <c r="D63" t="s">
        <v>84</v>
      </c>
      <c r="E63" t="s">
        <v>4</v>
      </c>
      <c r="F63" s="3">
        <v>0.2893870666258177</v>
      </c>
      <c r="G63" s="3">
        <v>3.6700000000000003E-2</v>
      </c>
      <c r="H63" s="3">
        <v>3.6700000000000003E-2</v>
      </c>
      <c r="I63" s="3">
        <v>0.114</v>
      </c>
      <c r="J63" s="3">
        <v>10.311441509770701</v>
      </c>
      <c r="K63" s="3">
        <v>7.0000000000000007E-2</v>
      </c>
      <c r="L63" s="2">
        <f>Base[[#This Row],[Coût]]*Base[[#This Row],[Part_ménages_dépenses_santé]]</f>
        <v>0.72180090568394906</v>
      </c>
      <c r="M63" s="2">
        <v>0.99731334462301791</v>
      </c>
      <c r="N63" s="6">
        <v>27700000</v>
      </c>
      <c r="O63" s="7">
        <f>Base[[#This Row],[Coût_salarié]]*10^9*Base[[#This Row],[Risque]]*Base[[#This Row],[Prévalence]]*Base[[#This Row],[Part_coûts_salarié]]/Base[[#This Row],[Population_emploi]]</f>
        <v>0.27600342134882699</v>
      </c>
      <c r="P63">
        <v>50</v>
      </c>
      <c r="Q63">
        <v>50</v>
      </c>
      <c r="R63" s="2">
        <v>9.9999999999999978E-2</v>
      </c>
      <c r="S63" s="2">
        <v>0.33340000000000003</v>
      </c>
      <c r="T63" s="4">
        <v>3.6700000000000003E-2</v>
      </c>
      <c r="U63" s="4">
        <f>IF(Bases_annexes!$F$5=0,16.6587111018772,0.77*Bases_annexes!$F$5/(IF(OR(ISBLANK('Données_d''entrée'!$E$44),'Données_d''entrée'!$E$44=0),35,'Données_d''entrée'!$E$44)*52))</f>
        <v>16.658711101877199</v>
      </c>
      <c r="V63" s="4">
        <v>10.42033853287208</v>
      </c>
      <c r="W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3" s="4">
        <v>234.5</v>
      </c>
      <c r="Y63" s="4">
        <f>(Base[[#This Row],['[Maladies']Coûts_évités_par_salarié]]+Base[[#This Row],['[Travail']Coûts_évités_par_salarié]])/Base[[#This Row],[Budget_santé_salarié]]</f>
        <v>2.0939832741372771E-2</v>
      </c>
      <c r="Z63" s="4">
        <v>0.8</v>
      </c>
      <c r="AA63" s="4">
        <f>Base[[#This Row],[Coût]]*Base[[#This Row],[Part_société_dépenses_santé]]</f>
        <v>8.2491532078165601</v>
      </c>
      <c r="AB63" s="4">
        <v>67635124</v>
      </c>
      <c r="AC63" s="4">
        <v>82.297079063317852</v>
      </c>
      <c r="AD63" s="4">
        <v>3.6700000000000003E-2</v>
      </c>
      <c r="AE63" s="4">
        <f>Base[[#This Row],['[SC']Prévalence_travail]]*Base[[#This Row],[Population_emploi]]</f>
        <v>1016590.0000000001</v>
      </c>
      <c r="AF63" s="4">
        <f>Base[[#This Row],[Risque]]*Base[[#This Row],['[SC']Patients_en_emploi]]</f>
        <v>294187.99806114007</v>
      </c>
      <c r="AG63" s="4">
        <v>756671404.20000005</v>
      </c>
      <c r="AH63" s="4">
        <f>IFERROR(Base[[#This Row],['[SC']Prestations]]/Base[[#This Row],['[SC']Patients_en_emploi]],0)</f>
        <v>744.32308423258144</v>
      </c>
      <c r="AI63" s="4">
        <v>51.7</v>
      </c>
      <c r="AJ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3" s="4">
        <f>Base[[#This Row],['[SC']'[Travail']Coûts_évités]]/Base[[#This Row],[Population_emploi]]</f>
        <v>7.9050872946236987</v>
      </c>
      <c r="AL63" s="4">
        <f>Base[[#This Row],[Coût_société]]*10^9*Base[[#This Row],[Risque]]*Base[[#This Row],[Prévalence]]*Base[[#This Row],[Part_coûts_salarié]]/Base[[#This Row],[Population_emploi]]</f>
        <v>3.154324815415166</v>
      </c>
      <c r="AM63" s="4">
        <f>IF(Base[[#This Row],[Pathologie]]&lt;&gt;"Dépendance",0,14909.24243952)</f>
        <v>0</v>
      </c>
      <c r="AN63" s="4">
        <f>IF(Base[[#This Row],[Pathologie]]&lt;&gt;"Dépendance",0,1316000)</f>
        <v>0</v>
      </c>
      <c r="AO63" s="4">
        <f>IF(Base[[#This Row],[Pathologie]]&lt;&gt;"Dépendance",0,Base[[#This Row],['[SC']Coût_personne_dépendante]]*Base[[#This Row],['[SC']Nb_personnes_dépendantes]])</f>
        <v>0</v>
      </c>
      <c r="AP63" s="4">
        <f>IF(Base[[#This Row],[Pathologie]]&lt;&gt;"Dépendance",0,Base[[#This Row],['[SC']Coût_total_dépendance]]/Base[[#This Row],[Population_totale]])</f>
        <v>0</v>
      </c>
      <c r="AQ63" s="4">
        <f>IF(Base[[#This Row],[Pathologie]]&lt;&gt;"Dépendance",0,4.5)</f>
        <v>0</v>
      </c>
      <c r="AR63" s="4">
        <v>0.50393265050357905</v>
      </c>
      <c r="AS63" s="4">
        <f>Base[[#This Row],[Espérance_vie]]+Base[[#This Row],['[SC']Hausse_esp_de_vie]]-Base[[#This Row],['[SC']Durée_moyenne_dépendance_avt]]+Base[[#This Row],[Risque]]</f>
        <v>83.090398780447259</v>
      </c>
      <c r="AT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3" s="4">
        <v>62.9</v>
      </c>
      <c r="AW63" s="4">
        <f t="shared" si="0"/>
        <v>336905600000</v>
      </c>
      <c r="AX63" s="4">
        <v>15049171</v>
      </c>
      <c r="AY63" s="4">
        <f>Base[[#This Row],['[SC']Budget_total_retraites]]/Base[[#This Row],['[SC']Nombre_de_retraités]]</f>
        <v>22386.987296509556</v>
      </c>
      <c r="AZ63" s="4">
        <f>Base[[#This Row],['[SC']Budget_par_retraité]]*Base[[#This Row],['[SC']Nb_personnes_dépendantes]]</f>
        <v>0</v>
      </c>
      <c r="BA63" s="4">
        <f>Base[[#This Row],['[SC']'[Dépendance']Coût_retraite_personnes_dépendantes]]/Base[[#This Row],[Population_totale]]</f>
        <v>0</v>
      </c>
      <c r="BB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3" s="4">
        <f>Base[[#This Row],['[SC']'[Dépendance']Gains]]-Base[[#This Row],['[SC']'[Dépendance']Coûts]]</f>
        <v>0</v>
      </c>
      <c r="BD63" s="4">
        <f>IF(Base[[#This Row],[Pathologie]]&lt;&gt;"Mort prématurée",0,Base[[#This Row],[Risque]]*Base[[#This Row],[Prévalence]]*Base[[#This Row],[Population_totale]])</f>
        <v>0</v>
      </c>
      <c r="BE63" s="4">
        <v>52.74</v>
      </c>
      <c r="BF63" s="4">
        <f>Base[[#This Row],['[SC']Âge_moyen_retraite]]-Base[[#This Row],['[SC']'[Mort_prématurée']Âge_moyen_mort précoce]]</f>
        <v>10.159999999999997</v>
      </c>
      <c r="BG63" s="4">
        <f>Base[[#This Row],[Espérance_vie]]+Base[[#This Row],['[SC']Hausse_esp_de_vie]]-Base[[#This Row],['[SC']Âge_moyen_retraite]]</f>
        <v>19.90101171382144</v>
      </c>
      <c r="BH63" s="4">
        <v>106583.42676924677</v>
      </c>
      <c r="BI63" s="4">
        <v>97601.789429271477</v>
      </c>
      <c r="BJ63" s="4">
        <v>302038.31496633729</v>
      </c>
      <c r="BK63" s="4">
        <v>117293.58934859755</v>
      </c>
      <c r="BL63" s="4">
        <v>1523999.9999999995</v>
      </c>
      <c r="BM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" s="4">
        <v>294804.96027377353</v>
      </c>
      <c r="BO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" s="4">
        <f>(Base[[#This Row],['[SC']'[Mort_prématurée']Gains]]-Base[[#This Row],['[SC']'[Mort_prématurée']Coûts]])/Base[[#This Row],[Population_totale]]</f>
        <v>0</v>
      </c>
      <c r="BQ63" s="4">
        <f>IF(Base[[#This Row],[Pathologie]]&lt;&gt;"Mort prématurée",0,Base[[#This Row],[Risque]])</f>
        <v>0</v>
      </c>
      <c r="BR63" s="4">
        <v>2680</v>
      </c>
      <c r="BS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3" s="4">
        <f>Base[[#This Row],[Prévalence_prod]]*(1-Base[[#This Row],[Risque]])*Base[[#This Row],[Durée_arrêt]]*Base[[#This Row],[Population_emploi]]</f>
        <v>7527673.4170274343</v>
      </c>
      <c r="BV63" s="4">
        <f>Base[[#This Row],['[Prod']'[Absentéisme']Total_jours_absence_avant]]-Base[[#This Row],['[Prod']'[Absentéisme']Total_jours_absence_après]]</f>
        <v>3065538.5321049951</v>
      </c>
      <c r="BW63" s="4">
        <f>IF(AND(Base[[#This Row],[Pathologie]]&lt;&gt;"Dépendance",Base[[#This Row],[Pathologie]]&lt;&gt;"Mort prématurée",Base[[#This Row],[Pathologie]]&lt;&gt;"Migraine"),0.0619,0)</f>
        <v>6.1899999999999997E-2</v>
      </c>
      <c r="BX63" s="4">
        <v>254</v>
      </c>
      <c r="BY63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3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3" s="4">
        <f>Base[[#This Row],[Prévalence_prod]]*Base[[#This Row],[Présentéisme]]*Base[[#This Row],['[Prod']Jours_ouvrés]]</f>
        <v>1.0626852000000002</v>
      </c>
      <c r="CB63" s="4">
        <f>Base[[#This Row],[Prévalence_prod]]*(1-Base[[#This Row],[Risque]])*Base[[#This Row],[Présentéisme]]*Base[[#This Row],['[Prod']Jours_ouvrés]]</f>
        <v>0.75515784722532964</v>
      </c>
      <c r="CC63" s="4">
        <f>Base[[#This Row],['[Prod']'[Présentéisme']Jours_avant]]-Base[[#This Row],['[Prod']'[Présentéisme']Jours_après]]</f>
        <v>0.30752735277467058</v>
      </c>
      <c r="CD63" s="4">
        <f>Base[[#This Row],['[Prod']'[Présentéisme']Jours_gagnés]]/Base[[#This Row],['[Prod']Jours_ouvrés]]</f>
        <v>1.2107376093490967E-3</v>
      </c>
      <c r="CE63">
        <v>5.8333039429220801E-2</v>
      </c>
      <c r="CF63">
        <v>1.4658164114728258E-2</v>
      </c>
      <c r="CG63" s="4">
        <v>11</v>
      </c>
      <c r="CH63" s="4">
        <v>1.1624525375985588</v>
      </c>
      <c r="CI63" s="4">
        <v>3.7953151649308701E-2</v>
      </c>
      <c r="CJ63" s="4">
        <f>IF(Base[[#This Row],[Secteur]]&lt;&gt;"Moyenne",Base[[#This Row],['[Prod']'[Turnover']DMC_initiale]]*(1+Base[[#This Row],['[Prod']'[Turnover']Ecart_accidents]]*Base[[#This Row],['[Prod']Impact_motifs_turnover]]),CJ46*CI46+CJ47*CI47+CJ48*CI48+CJ49*CI49+CJ50*CI50+CJ51*CI51+CJ52*CI52+CJ53*CI53+CJ54*CI54+CJ55*CI55+CJ56*CI56+CJ57*CI57+CJ58*CI58+CJ59*CI59+CJ60*CI60+CJ61*CI61+CJ62*CI62)</f>
        <v>11.18743362078872</v>
      </c>
      <c r="CK63" s="4">
        <f>1/Base[[#This Row],['[Prod']'[Turnover']DMC_initiale]]</f>
        <v>9.0909090909090912E-2</v>
      </c>
      <c r="CL63" s="4">
        <f>1/Base[[#This Row],['[Prod']'[Turnover']DMC_finale]]</f>
        <v>8.9386005217655939E-2</v>
      </c>
    </row>
    <row r="64" spans="2:90" x14ac:dyDescent="0.25">
      <c r="B64" s="4" t="s">
        <v>326</v>
      </c>
      <c r="C64">
        <v>7.5</v>
      </c>
      <c r="D64" t="s">
        <v>84</v>
      </c>
      <c r="E64" t="s">
        <v>4</v>
      </c>
      <c r="F64" s="3">
        <v>0.2893870666258177</v>
      </c>
      <c r="G64" s="3">
        <v>3.6700000000000003E-2</v>
      </c>
      <c r="H64" s="3">
        <v>3.6700000000000003E-2</v>
      </c>
      <c r="I64" s="3">
        <v>0.114</v>
      </c>
      <c r="J64" s="3">
        <v>10.311441509770701</v>
      </c>
      <c r="K64" s="3">
        <v>7.0000000000000007E-2</v>
      </c>
      <c r="L64" s="2">
        <f>Base[[#This Row],[Coût]]*Base[[#This Row],[Part_ménages_dépenses_santé]]</f>
        <v>0.72180090568394906</v>
      </c>
      <c r="M64" s="2">
        <v>0.99731334462301791</v>
      </c>
      <c r="N64" s="6">
        <v>27700000</v>
      </c>
      <c r="O64" s="7">
        <f>Base[[#This Row],[Coût_salarié]]*10^9*Base[[#This Row],[Risque]]*Base[[#This Row],[Prévalence]]*Base[[#This Row],[Part_coûts_salarié]]/Base[[#This Row],[Population_emploi]]</f>
        <v>0.27600342134882699</v>
      </c>
      <c r="P64">
        <v>50</v>
      </c>
      <c r="Q64">
        <v>50</v>
      </c>
      <c r="R64" s="2">
        <v>9.9999999999999978E-2</v>
      </c>
      <c r="S64" s="2">
        <v>0.33340000000000003</v>
      </c>
      <c r="T64" s="4">
        <v>3.6700000000000003E-2</v>
      </c>
      <c r="U64" s="4">
        <f>IF(Bases_annexes!$F$5=0,16.6587111018772,0.77*Bases_annexes!$F$5/(IF(OR(ISBLANK('Données_d''entrée'!$E$44),'Données_d''entrée'!$E$44=0),35,'Données_d''entrée'!$E$44)*52))</f>
        <v>16.658711101877199</v>
      </c>
      <c r="V64" s="4">
        <v>10.42033853287208</v>
      </c>
      <c r="W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4" s="4">
        <v>234.5</v>
      </c>
      <c r="Y64" s="4">
        <f>(Base[[#This Row],['[Maladies']Coûts_évités_par_salarié]]+Base[[#This Row],['[Travail']Coûts_évités_par_salarié]])/Base[[#This Row],[Budget_santé_salarié]]</f>
        <v>2.0939832741372771E-2</v>
      </c>
      <c r="Z64" s="4">
        <v>0.8</v>
      </c>
      <c r="AA64" s="4">
        <f>Base[[#This Row],[Coût]]*Base[[#This Row],[Part_société_dépenses_santé]]</f>
        <v>8.2491532078165601</v>
      </c>
      <c r="AB64" s="4">
        <v>67635124</v>
      </c>
      <c r="AC64" s="4">
        <v>82.297079063317852</v>
      </c>
      <c r="AD64" s="4">
        <v>3.6700000000000003E-2</v>
      </c>
      <c r="AE64" s="4">
        <f>Base[[#This Row],['[SC']Prévalence_travail]]*Base[[#This Row],[Population_emploi]]</f>
        <v>1016590.0000000001</v>
      </c>
      <c r="AF64" s="4">
        <f>Base[[#This Row],[Risque]]*Base[[#This Row],['[SC']Patients_en_emploi]]</f>
        <v>294187.99806114007</v>
      </c>
      <c r="AG64" s="4">
        <v>756671404.20000005</v>
      </c>
      <c r="AH64" s="4">
        <f>IFERROR(Base[[#This Row],['[SC']Prestations]]/Base[[#This Row],['[SC']Patients_en_emploi]],0)</f>
        <v>744.32308423258144</v>
      </c>
      <c r="AI64" s="4">
        <v>51.7</v>
      </c>
      <c r="AJ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4" s="4">
        <f>Base[[#This Row],['[SC']'[Travail']Coûts_évités]]/Base[[#This Row],[Population_emploi]]</f>
        <v>7.9050872946236987</v>
      </c>
      <c r="AL64" s="4">
        <f>Base[[#This Row],[Coût_société]]*10^9*Base[[#This Row],[Risque]]*Base[[#This Row],[Prévalence]]*Base[[#This Row],[Part_coûts_salarié]]/Base[[#This Row],[Population_emploi]]</f>
        <v>3.154324815415166</v>
      </c>
      <c r="AM64" s="4">
        <f>IF(Base[[#This Row],[Pathologie]]&lt;&gt;"Dépendance",0,14909.24243952)</f>
        <v>0</v>
      </c>
      <c r="AN64" s="4">
        <f>IF(Base[[#This Row],[Pathologie]]&lt;&gt;"Dépendance",0,1316000)</f>
        <v>0</v>
      </c>
      <c r="AO64" s="4">
        <f>IF(Base[[#This Row],[Pathologie]]&lt;&gt;"Dépendance",0,Base[[#This Row],['[SC']Coût_personne_dépendante]]*Base[[#This Row],['[SC']Nb_personnes_dépendantes]])</f>
        <v>0</v>
      </c>
      <c r="AP64" s="4">
        <f>IF(Base[[#This Row],[Pathologie]]&lt;&gt;"Dépendance",0,Base[[#This Row],['[SC']Coût_total_dépendance]]/Base[[#This Row],[Population_totale]])</f>
        <v>0</v>
      </c>
      <c r="AQ64" s="4">
        <f>IF(Base[[#This Row],[Pathologie]]&lt;&gt;"Dépendance",0,4.5)</f>
        <v>0</v>
      </c>
      <c r="AR64" s="4">
        <v>0.50393265050357905</v>
      </c>
      <c r="AS64" s="4">
        <f>Base[[#This Row],[Espérance_vie]]+Base[[#This Row],['[SC']Hausse_esp_de_vie]]-Base[[#This Row],['[SC']Durée_moyenne_dépendance_avt]]+Base[[#This Row],[Risque]]</f>
        <v>83.090398780447259</v>
      </c>
      <c r="AT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4" s="4">
        <v>62.9</v>
      </c>
      <c r="AW64" s="4">
        <f t="shared" si="0"/>
        <v>336905600000</v>
      </c>
      <c r="AX64" s="4">
        <v>15049171</v>
      </c>
      <c r="AY64" s="4">
        <f>Base[[#This Row],['[SC']Budget_total_retraites]]/Base[[#This Row],['[SC']Nombre_de_retraités]]</f>
        <v>22386.987296509556</v>
      </c>
      <c r="AZ64" s="4">
        <f>Base[[#This Row],['[SC']Budget_par_retraité]]*Base[[#This Row],['[SC']Nb_personnes_dépendantes]]</f>
        <v>0</v>
      </c>
      <c r="BA64" s="4">
        <f>Base[[#This Row],['[SC']'[Dépendance']Coût_retraite_personnes_dépendantes]]/Base[[#This Row],[Population_totale]]</f>
        <v>0</v>
      </c>
      <c r="BB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4" s="4">
        <f>Base[[#This Row],['[SC']'[Dépendance']Gains]]-Base[[#This Row],['[SC']'[Dépendance']Coûts]]</f>
        <v>0</v>
      </c>
      <c r="BD64" s="4">
        <f>IF(Base[[#This Row],[Pathologie]]&lt;&gt;"Mort prématurée",0,Base[[#This Row],[Risque]]*Base[[#This Row],[Prévalence]]*Base[[#This Row],[Population_totale]])</f>
        <v>0</v>
      </c>
      <c r="BE64" s="4">
        <v>52.74</v>
      </c>
      <c r="BF64" s="4">
        <f>Base[[#This Row],['[SC']Âge_moyen_retraite]]-Base[[#This Row],['[SC']'[Mort_prématurée']Âge_moyen_mort précoce]]</f>
        <v>10.159999999999997</v>
      </c>
      <c r="BG64" s="4">
        <f>Base[[#This Row],[Espérance_vie]]+Base[[#This Row],['[SC']Hausse_esp_de_vie]]-Base[[#This Row],['[SC']Âge_moyen_retraite]]</f>
        <v>19.90101171382144</v>
      </c>
      <c r="BH64" s="4">
        <v>106583.42676924677</v>
      </c>
      <c r="BI64" s="4">
        <v>97601.789429271477</v>
      </c>
      <c r="BJ64" s="4">
        <v>302038.31496633729</v>
      </c>
      <c r="BK64" s="4">
        <v>117293.58934859755</v>
      </c>
      <c r="BL64" s="4">
        <v>1523999.9999999995</v>
      </c>
      <c r="BM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" s="4">
        <v>294804.96027377353</v>
      </c>
      <c r="BO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" s="4">
        <f>(Base[[#This Row],['[SC']'[Mort_prématurée']Gains]]-Base[[#This Row],['[SC']'[Mort_prématurée']Coûts]])/Base[[#This Row],[Population_totale]]</f>
        <v>0</v>
      </c>
      <c r="BQ64" s="4">
        <f>IF(Base[[#This Row],[Pathologie]]&lt;&gt;"Mort prématurée",0,Base[[#This Row],[Risque]])</f>
        <v>0</v>
      </c>
      <c r="BR64" s="4">
        <v>2680</v>
      </c>
      <c r="BS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4" s="4">
        <f>Base[[#This Row],[Prévalence_prod]]*(1-Base[[#This Row],[Risque]])*Base[[#This Row],[Durée_arrêt]]*Base[[#This Row],[Population_emploi]]</f>
        <v>7527673.4170274343</v>
      </c>
      <c r="BV64" s="4">
        <f>Base[[#This Row],['[Prod']'[Absentéisme']Total_jours_absence_avant]]-Base[[#This Row],['[Prod']'[Absentéisme']Total_jours_absence_après]]</f>
        <v>3065538.5321049951</v>
      </c>
      <c r="BW64" s="4">
        <f>IF(AND(Base[[#This Row],[Pathologie]]&lt;&gt;"Dépendance",Base[[#This Row],[Pathologie]]&lt;&gt;"Mort prématurée",Base[[#This Row],[Pathologie]]&lt;&gt;"Migraine"),0.0619,0)</f>
        <v>6.1899999999999997E-2</v>
      </c>
      <c r="BX64" s="4">
        <v>254</v>
      </c>
      <c r="BY64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4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4" s="4">
        <f>Base[[#This Row],[Prévalence_prod]]*Base[[#This Row],[Présentéisme]]*Base[[#This Row],['[Prod']Jours_ouvrés]]</f>
        <v>1.0626852000000002</v>
      </c>
      <c r="CB64" s="4">
        <f>Base[[#This Row],[Prévalence_prod]]*(1-Base[[#This Row],[Risque]])*Base[[#This Row],[Présentéisme]]*Base[[#This Row],['[Prod']Jours_ouvrés]]</f>
        <v>0.75515784722532964</v>
      </c>
      <c r="CC64" s="4">
        <f>Base[[#This Row],['[Prod']'[Présentéisme']Jours_avant]]-Base[[#This Row],['[Prod']'[Présentéisme']Jours_après]]</f>
        <v>0.30752735277467058</v>
      </c>
      <c r="CD64" s="4">
        <f>Base[[#This Row],['[Prod']'[Présentéisme']Jours_gagnés]]/Base[[#This Row],['[Prod']Jours_ouvrés]]</f>
        <v>1.2107376093490967E-3</v>
      </c>
      <c r="CE64">
        <v>5.8333039429220801E-2</v>
      </c>
      <c r="CF64">
        <v>1.4658164114728258E-2</v>
      </c>
      <c r="CG64" s="4">
        <v>11</v>
      </c>
      <c r="CH64" s="4">
        <v>0.19346787829229528</v>
      </c>
      <c r="CI64" s="4">
        <v>2.8126549817953091E-2</v>
      </c>
      <c r="CJ64" s="4">
        <f>IF(Base[[#This Row],[Secteur]]&lt;&gt;"Moyenne",Base[[#This Row],['[Prod']'[Turnover']DMC_initiale]]*(1+Base[[#This Row],['[Prod']'[Turnover']Ecart_accidents]]*Base[[#This Row],['[Prod']Impact_motifs_turnover]]),CJ47*CI47+CJ48*CI48+CJ49*CI49+CJ50*CI50+CJ51*CI51+CJ52*CI52+CJ53*CI53+CJ54*CI54+CJ55*CI55+CJ56*CI56+CJ57*CI57+CJ58*CI58+CJ59*CI59+CJ60*CI60+CJ61*CI61+CJ62*CI62+CJ63*CI63)</f>
        <v>11.031194723020304</v>
      </c>
      <c r="CK64" s="4">
        <f>1/Base[[#This Row],['[Prod']'[Turnover']DMC_initiale]]</f>
        <v>9.0909090909090912E-2</v>
      </c>
      <c r="CL64" s="4">
        <f>1/Base[[#This Row],['[Prod']'[Turnover']DMC_finale]]</f>
        <v>9.065201232584201E-2</v>
      </c>
    </row>
    <row r="65" spans="2:90" x14ac:dyDescent="0.25">
      <c r="B65" s="4" t="s">
        <v>327</v>
      </c>
      <c r="C65">
        <v>7.5</v>
      </c>
      <c r="D65" t="s">
        <v>84</v>
      </c>
      <c r="E65" t="s">
        <v>4</v>
      </c>
      <c r="F65" s="3">
        <v>0.2893870666258177</v>
      </c>
      <c r="G65" s="3">
        <v>3.6700000000000003E-2</v>
      </c>
      <c r="H65" s="3">
        <v>3.6700000000000003E-2</v>
      </c>
      <c r="I65" s="3">
        <v>0.114</v>
      </c>
      <c r="J65" s="3">
        <v>10.311441509770701</v>
      </c>
      <c r="K65" s="3">
        <v>7.0000000000000007E-2</v>
      </c>
      <c r="L65" s="2">
        <f>Base[[#This Row],[Coût]]*Base[[#This Row],[Part_ménages_dépenses_santé]]</f>
        <v>0.72180090568394906</v>
      </c>
      <c r="M65" s="2">
        <v>0.99731334462301791</v>
      </c>
      <c r="N65" s="6">
        <v>27700000</v>
      </c>
      <c r="O65" s="7">
        <f>Base[[#This Row],[Coût_salarié]]*10^9*Base[[#This Row],[Risque]]*Base[[#This Row],[Prévalence]]*Base[[#This Row],[Part_coûts_salarié]]/Base[[#This Row],[Population_emploi]]</f>
        <v>0.27600342134882699</v>
      </c>
      <c r="P65">
        <v>50</v>
      </c>
      <c r="Q65">
        <v>50</v>
      </c>
      <c r="R65" s="2">
        <v>9.9999999999999978E-2</v>
      </c>
      <c r="S65" s="2">
        <v>0.33340000000000003</v>
      </c>
      <c r="T65" s="4">
        <v>3.6700000000000003E-2</v>
      </c>
      <c r="U65" s="4">
        <f>IF(Bases_annexes!$F$5=0,16.6587111018772,0.77*Bases_annexes!$F$5/(IF(OR(ISBLANK('Données_d''entrée'!$E$44),'Données_d''entrée'!$E$44=0),35,'Données_d''entrée'!$E$44)*52))</f>
        <v>16.658711101877199</v>
      </c>
      <c r="V65" s="4">
        <v>10.42033853287208</v>
      </c>
      <c r="W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5" s="4">
        <v>234.5</v>
      </c>
      <c r="Y65" s="4">
        <f>(Base[[#This Row],['[Maladies']Coûts_évités_par_salarié]]+Base[[#This Row],['[Travail']Coûts_évités_par_salarié]])/Base[[#This Row],[Budget_santé_salarié]]</f>
        <v>2.0939832741372771E-2</v>
      </c>
      <c r="Z65" s="4">
        <v>0.8</v>
      </c>
      <c r="AA65" s="4">
        <f>Base[[#This Row],[Coût]]*Base[[#This Row],[Part_société_dépenses_santé]]</f>
        <v>8.2491532078165601</v>
      </c>
      <c r="AB65" s="4">
        <v>67635124</v>
      </c>
      <c r="AC65" s="4">
        <v>82.297079063317852</v>
      </c>
      <c r="AD65" s="4">
        <v>3.6700000000000003E-2</v>
      </c>
      <c r="AE65" s="4">
        <f>Base[[#This Row],['[SC']Prévalence_travail]]*Base[[#This Row],[Population_emploi]]</f>
        <v>1016590.0000000001</v>
      </c>
      <c r="AF65" s="4">
        <f>Base[[#This Row],[Risque]]*Base[[#This Row],['[SC']Patients_en_emploi]]</f>
        <v>294187.99806114007</v>
      </c>
      <c r="AG65" s="4">
        <v>756671404.20000005</v>
      </c>
      <c r="AH65" s="4">
        <f>IFERROR(Base[[#This Row],['[SC']Prestations]]/Base[[#This Row],['[SC']Patients_en_emploi]],0)</f>
        <v>744.32308423258144</v>
      </c>
      <c r="AI65" s="4">
        <v>51.7</v>
      </c>
      <c r="AJ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5" s="4">
        <f>Base[[#This Row],['[SC']'[Travail']Coûts_évités]]/Base[[#This Row],[Population_emploi]]</f>
        <v>7.9050872946236987</v>
      </c>
      <c r="AL65" s="4">
        <f>Base[[#This Row],[Coût_société]]*10^9*Base[[#This Row],[Risque]]*Base[[#This Row],[Prévalence]]*Base[[#This Row],[Part_coûts_salarié]]/Base[[#This Row],[Population_emploi]]</f>
        <v>3.154324815415166</v>
      </c>
      <c r="AM65" s="4">
        <f>IF(Base[[#This Row],[Pathologie]]&lt;&gt;"Dépendance",0,14909.24243952)</f>
        <v>0</v>
      </c>
      <c r="AN65" s="4">
        <f>IF(Base[[#This Row],[Pathologie]]&lt;&gt;"Dépendance",0,1316000)</f>
        <v>0</v>
      </c>
      <c r="AO65" s="4">
        <f>IF(Base[[#This Row],[Pathologie]]&lt;&gt;"Dépendance",0,Base[[#This Row],['[SC']Coût_personne_dépendante]]*Base[[#This Row],['[SC']Nb_personnes_dépendantes]])</f>
        <v>0</v>
      </c>
      <c r="AP65" s="4">
        <f>IF(Base[[#This Row],[Pathologie]]&lt;&gt;"Dépendance",0,Base[[#This Row],['[SC']Coût_total_dépendance]]/Base[[#This Row],[Population_totale]])</f>
        <v>0</v>
      </c>
      <c r="AQ65" s="4">
        <f>IF(Base[[#This Row],[Pathologie]]&lt;&gt;"Dépendance",0,4.5)</f>
        <v>0</v>
      </c>
      <c r="AR65" s="4">
        <v>0.50393265050357905</v>
      </c>
      <c r="AS65" s="4">
        <f>Base[[#This Row],[Espérance_vie]]+Base[[#This Row],['[SC']Hausse_esp_de_vie]]-Base[[#This Row],['[SC']Durée_moyenne_dépendance_avt]]+Base[[#This Row],[Risque]]</f>
        <v>83.090398780447259</v>
      </c>
      <c r="AT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" s="4">
        <v>62.9</v>
      </c>
      <c r="AW65" s="4">
        <f t="shared" si="0"/>
        <v>336905600000</v>
      </c>
      <c r="AX65" s="4">
        <v>15049171</v>
      </c>
      <c r="AY65" s="4">
        <f>Base[[#This Row],['[SC']Budget_total_retraites]]/Base[[#This Row],['[SC']Nombre_de_retraités]]</f>
        <v>22386.987296509556</v>
      </c>
      <c r="AZ65" s="4">
        <f>Base[[#This Row],['[SC']Budget_par_retraité]]*Base[[#This Row],['[SC']Nb_personnes_dépendantes]]</f>
        <v>0</v>
      </c>
      <c r="BA65" s="4">
        <f>Base[[#This Row],['[SC']'[Dépendance']Coût_retraite_personnes_dépendantes]]/Base[[#This Row],[Population_totale]]</f>
        <v>0</v>
      </c>
      <c r="BB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" s="4">
        <f>Base[[#This Row],['[SC']'[Dépendance']Gains]]-Base[[#This Row],['[SC']'[Dépendance']Coûts]]</f>
        <v>0</v>
      </c>
      <c r="BD65" s="4">
        <f>IF(Base[[#This Row],[Pathologie]]&lt;&gt;"Mort prématurée",0,Base[[#This Row],[Risque]]*Base[[#This Row],[Prévalence]]*Base[[#This Row],[Population_totale]])</f>
        <v>0</v>
      </c>
      <c r="BE65" s="4">
        <v>52.74</v>
      </c>
      <c r="BF65" s="4">
        <f>Base[[#This Row],['[SC']Âge_moyen_retraite]]-Base[[#This Row],['[SC']'[Mort_prématurée']Âge_moyen_mort précoce]]</f>
        <v>10.159999999999997</v>
      </c>
      <c r="BG65" s="4">
        <f>Base[[#This Row],[Espérance_vie]]+Base[[#This Row],['[SC']Hausse_esp_de_vie]]-Base[[#This Row],['[SC']Âge_moyen_retraite]]</f>
        <v>19.90101171382144</v>
      </c>
      <c r="BH65" s="4">
        <v>106583.42676924677</v>
      </c>
      <c r="BI65" s="4">
        <v>97601.789429271477</v>
      </c>
      <c r="BJ65" s="4">
        <v>302038.31496633729</v>
      </c>
      <c r="BK65" s="4">
        <v>117293.58934859755</v>
      </c>
      <c r="BL65" s="4">
        <v>1523999.9999999995</v>
      </c>
      <c r="BM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5" s="4">
        <v>294804.96027377353</v>
      </c>
      <c r="BO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5" s="4">
        <f>(Base[[#This Row],['[SC']'[Mort_prématurée']Gains]]-Base[[#This Row],['[SC']'[Mort_prématurée']Coûts]])/Base[[#This Row],[Population_totale]]</f>
        <v>0</v>
      </c>
      <c r="BQ65" s="4">
        <f>IF(Base[[#This Row],[Pathologie]]&lt;&gt;"Mort prématurée",0,Base[[#This Row],[Risque]])</f>
        <v>0</v>
      </c>
      <c r="BR65" s="4">
        <v>2680</v>
      </c>
      <c r="BS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5" s="4">
        <f>Base[[#This Row],[Prévalence_prod]]*(1-Base[[#This Row],[Risque]])*Base[[#This Row],[Durée_arrêt]]*Base[[#This Row],[Population_emploi]]</f>
        <v>7527673.4170274343</v>
      </c>
      <c r="BV65" s="4">
        <f>Base[[#This Row],['[Prod']'[Absentéisme']Total_jours_absence_avant]]-Base[[#This Row],['[Prod']'[Absentéisme']Total_jours_absence_après]]</f>
        <v>3065538.5321049951</v>
      </c>
      <c r="BW65" s="4">
        <f>IF(AND(Base[[#This Row],[Pathologie]]&lt;&gt;"Dépendance",Base[[#This Row],[Pathologie]]&lt;&gt;"Mort prématurée",Base[[#This Row],[Pathologie]]&lt;&gt;"Migraine"),0.0619,0)</f>
        <v>6.1899999999999997E-2</v>
      </c>
      <c r="BX65" s="4">
        <v>254</v>
      </c>
      <c r="BY6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5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5" s="4">
        <f>Base[[#This Row],[Prévalence_prod]]*Base[[#This Row],[Présentéisme]]*Base[[#This Row],['[Prod']Jours_ouvrés]]</f>
        <v>1.0626852000000002</v>
      </c>
      <c r="CB65" s="4">
        <f>Base[[#This Row],[Prévalence_prod]]*(1-Base[[#This Row],[Risque]])*Base[[#This Row],[Présentéisme]]*Base[[#This Row],['[Prod']Jours_ouvrés]]</f>
        <v>0.75515784722532964</v>
      </c>
      <c r="CC65" s="4">
        <f>Base[[#This Row],['[Prod']'[Présentéisme']Jours_avant]]-Base[[#This Row],['[Prod']'[Présentéisme']Jours_après]]</f>
        <v>0.30752735277467058</v>
      </c>
      <c r="CD65" s="4">
        <f>Base[[#This Row],['[Prod']'[Présentéisme']Jours_gagnés]]/Base[[#This Row],['[Prod']Jours_ouvrés]]</f>
        <v>1.2107376093490967E-3</v>
      </c>
      <c r="CE65">
        <v>5.8333039429220801E-2</v>
      </c>
      <c r="CF65">
        <v>1.4658164114728258E-2</v>
      </c>
      <c r="CG65" s="4">
        <v>11</v>
      </c>
      <c r="CH65" s="4">
        <v>0.13729577077682142</v>
      </c>
      <c r="CI65" s="4">
        <v>1.373516710817578E-2</v>
      </c>
      <c r="CJ65" s="4">
        <f>IF(Base[[#This Row],[Secteur]]&lt;&gt;"Moyenne",Base[[#This Row],['[Prod']'[Turnover']DMC_initiale]]*(1+Base[[#This Row],['[Prod']'[Turnover']Ecart_accidents]]*Base[[#This Row],['[Prod']Impact_motifs_turnover]]),CJ48*CI48+CJ49*CI49+CJ50*CI50+CJ51*CI51+CJ52*CI52+CJ53*CI53+CJ54*CI54+CJ55*CI55+CJ56*CI56+CJ57*CI57+CJ58*CI58+CJ59*CI59+CJ60*CI60+CJ61*CI61+CJ62*CI62+CJ63*CI63+CJ64*CI64)</f>
        <v>11.022137543343351</v>
      </c>
      <c r="CK65" s="4">
        <f>1/Base[[#This Row],['[Prod']'[Turnover']DMC_initiale]]</f>
        <v>9.0909090909090912E-2</v>
      </c>
      <c r="CL65" s="4">
        <f>1/Base[[#This Row],['[Prod']'[Turnover']DMC_finale]]</f>
        <v>9.0726503463380792E-2</v>
      </c>
    </row>
    <row r="66" spans="2:90" x14ac:dyDescent="0.25">
      <c r="B66" s="4" t="s">
        <v>328</v>
      </c>
      <c r="C66">
        <v>7.5</v>
      </c>
      <c r="D66" t="s">
        <v>84</v>
      </c>
      <c r="E66" t="s">
        <v>4</v>
      </c>
      <c r="F66" s="3">
        <v>0.2893870666258177</v>
      </c>
      <c r="G66" s="3">
        <v>3.6700000000000003E-2</v>
      </c>
      <c r="H66" s="3">
        <v>3.6700000000000003E-2</v>
      </c>
      <c r="I66" s="3">
        <v>0.114</v>
      </c>
      <c r="J66" s="3">
        <v>10.311441509770701</v>
      </c>
      <c r="K66" s="3">
        <v>7.0000000000000007E-2</v>
      </c>
      <c r="L66" s="2">
        <f>Base[[#This Row],[Coût]]*Base[[#This Row],[Part_ménages_dépenses_santé]]</f>
        <v>0.72180090568394906</v>
      </c>
      <c r="M66" s="2">
        <v>0.99731334462301791</v>
      </c>
      <c r="N66" s="6">
        <v>27700000</v>
      </c>
      <c r="O66" s="7">
        <f>Base[[#This Row],[Coût_salarié]]*10^9*Base[[#This Row],[Risque]]*Base[[#This Row],[Prévalence]]*Base[[#This Row],[Part_coûts_salarié]]/Base[[#This Row],[Population_emploi]]</f>
        <v>0.27600342134882699</v>
      </c>
      <c r="P66">
        <v>50</v>
      </c>
      <c r="Q66">
        <v>50</v>
      </c>
      <c r="R66" s="2">
        <v>9.9999999999999978E-2</v>
      </c>
      <c r="S66" s="2">
        <v>0.33340000000000003</v>
      </c>
      <c r="T66" s="4">
        <v>3.6700000000000003E-2</v>
      </c>
      <c r="U66" s="4">
        <f>IF(Bases_annexes!$F$5=0,16.6587111018772,0.77*Bases_annexes!$F$5/(IF(OR(ISBLANK('Données_d''entrée'!$E$44),'Données_d''entrée'!$E$44=0),35,'Données_d''entrée'!$E$44)*52))</f>
        <v>16.658711101877199</v>
      </c>
      <c r="V66" s="4">
        <v>10.42033853287208</v>
      </c>
      <c r="W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6" s="4">
        <v>234.5</v>
      </c>
      <c r="Y66" s="4">
        <f>(Base[[#This Row],['[Maladies']Coûts_évités_par_salarié]]+Base[[#This Row],['[Travail']Coûts_évités_par_salarié]])/Base[[#This Row],[Budget_santé_salarié]]</f>
        <v>2.0939832741372771E-2</v>
      </c>
      <c r="Z66" s="4">
        <v>0.8</v>
      </c>
      <c r="AA66" s="4">
        <f>Base[[#This Row],[Coût]]*Base[[#This Row],[Part_société_dépenses_santé]]</f>
        <v>8.2491532078165601</v>
      </c>
      <c r="AB66" s="4">
        <v>67635124</v>
      </c>
      <c r="AC66" s="4">
        <v>82.297079063317852</v>
      </c>
      <c r="AD66" s="4">
        <v>3.6700000000000003E-2</v>
      </c>
      <c r="AE66" s="4">
        <f>Base[[#This Row],['[SC']Prévalence_travail]]*Base[[#This Row],[Population_emploi]]</f>
        <v>1016590.0000000001</v>
      </c>
      <c r="AF66" s="4">
        <f>Base[[#This Row],[Risque]]*Base[[#This Row],['[SC']Patients_en_emploi]]</f>
        <v>294187.99806114007</v>
      </c>
      <c r="AG66" s="4">
        <v>756671404.20000005</v>
      </c>
      <c r="AH66" s="4">
        <f>IFERROR(Base[[#This Row],['[SC']Prestations]]/Base[[#This Row],['[SC']Patients_en_emploi]],0)</f>
        <v>744.32308423258144</v>
      </c>
      <c r="AI66" s="4">
        <v>51.7</v>
      </c>
      <c r="AJ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6" s="4">
        <f>Base[[#This Row],['[SC']'[Travail']Coûts_évités]]/Base[[#This Row],[Population_emploi]]</f>
        <v>7.9050872946236987</v>
      </c>
      <c r="AL66" s="4">
        <f>Base[[#This Row],[Coût_société]]*10^9*Base[[#This Row],[Risque]]*Base[[#This Row],[Prévalence]]*Base[[#This Row],[Part_coûts_salarié]]/Base[[#This Row],[Population_emploi]]</f>
        <v>3.154324815415166</v>
      </c>
      <c r="AM66" s="4">
        <f>IF(Base[[#This Row],[Pathologie]]&lt;&gt;"Dépendance",0,14909.24243952)</f>
        <v>0</v>
      </c>
      <c r="AN66" s="4">
        <f>IF(Base[[#This Row],[Pathologie]]&lt;&gt;"Dépendance",0,1316000)</f>
        <v>0</v>
      </c>
      <c r="AO66" s="4">
        <f>IF(Base[[#This Row],[Pathologie]]&lt;&gt;"Dépendance",0,Base[[#This Row],['[SC']Coût_personne_dépendante]]*Base[[#This Row],['[SC']Nb_personnes_dépendantes]])</f>
        <v>0</v>
      </c>
      <c r="AP66" s="4">
        <f>IF(Base[[#This Row],[Pathologie]]&lt;&gt;"Dépendance",0,Base[[#This Row],['[SC']Coût_total_dépendance]]/Base[[#This Row],[Population_totale]])</f>
        <v>0</v>
      </c>
      <c r="AQ66" s="4">
        <f>IF(Base[[#This Row],[Pathologie]]&lt;&gt;"Dépendance",0,4.5)</f>
        <v>0</v>
      </c>
      <c r="AR66" s="4">
        <v>0.50393265050357905</v>
      </c>
      <c r="AS66" s="4">
        <f>Base[[#This Row],[Espérance_vie]]+Base[[#This Row],['[SC']Hausse_esp_de_vie]]-Base[[#This Row],['[SC']Durée_moyenne_dépendance_avt]]+Base[[#This Row],[Risque]]</f>
        <v>83.090398780447259</v>
      </c>
      <c r="AT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" s="4">
        <v>62.9</v>
      </c>
      <c r="AW66" s="4">
        <f t="shared" si="0"/>
        <v>336905600000</v>
      </c>
      <c r="AX66" s="4">
        <v>15049171</v>
      </c>
      <c r="AY66" s="4">
        <f>Base[[#This Row],['[SC']Budget_total_retraites]]/Base[[#This Row],['[SC']Nombre_de_retraités]]</f>
        <v>22386.987296509556</v>
      </c>
      <c r="AZ66" s="4">
        <f>Base[[#This Row],['[SC']Budget_par_retraité]]*Base[[#This Row],['[SC']Nb_personnes_dépendantes]]</f>
        <v>0</v>
      </c>
      <c r="BA66" s="4">
        <f>Base[[#This Row],['[SC']'[Dépendance']Coût_retraite_personnes_dépendantes]]/Base[[#This Row],[Population_totale]]</f>
        <v>0</v>
      </c>
      <c r="BB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" s="4">
        <f>Base[[#This Row],['[SC']'[Dépendance']Gains]]-Base[[#This Row],['[SC']'[Dépendance']Coûts]]</f>
        <v>0</v>
      </c>
      <c r="BD66" s="4">
        <f>IF(Base[[#This Row],[Pathologie]]&lt;&gt;"Mort prématurée",0,Base[[#This Row],[Risque]]*Base[[#This Row],[Prévalence]]*Base[[#This Row],[Population_totale]])</f>
        <v>0</v>
      </c>
      <c r="BE66" s="4">
        <v>52.74</v>
      </c>
      <c r="BF66" s="4">
        <f>Base[[#This Row],['[SC']Âge_moyen_retraite]]-Base[[#This Row],['[SC']'[Mort_prématurée']Âge_moyen_mort précoce]]</f>
        <v>10.159999999999997</v>
      </c>
      <c r="BG66" s="4">
        <f>Base[[#This Row],[Espérance_vie]]+Base[[#This Row],['[SC']Hausse_esp_de_vie]]-Base[[#This Row],['[SC']Âge_moyen_retraite]]</f>
        <v>19.90101171382144</v>
      </c>
      <c r="BH66" s="4">
        <v>106583.42676924677</v>
      </c>
      <c r="BI66" s="4">
        <v>97601.789429271477</v>
      </c>
      <c r="BJ66" s="4">
        <v>302038.31496633729</v>
      </c>
      <c r="BK66" s="4">
        <v>117293.58934859755</v>
      </c>
      <c r="BL66" s="4">
        <v>1523999.9999999995</v>
      </c>
      <c r="BM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" s="4">
        <v>294804.96027377353</v>
      </c>
      <c r="BO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" s="4">
        <f>(Base[[#This Row],['[SC']'[Mort_prématurée']Gains]]-Base[[#This Row],['[SC']'[Mort_prématurée']Coûts]])/Base[[#This Row],[Population_totale]]</f>
        <v>0</v>
      </c>
      <c r="BQ66" s="4">
        <f>IF(Base[[#This Row],[Pathologie]]&lt;&gt;"Mort prématurée",0,Base[[#This Row],[Risque]])</f>
        <v>0</v>
      </c>
      <c r="BR66" s="4">
        <v>2680</v>
      </c>
      <c r="BS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6" s="4">
        <f>Base[[#This Row],[Prévalence_prod]]*(1-Base[[#This Row],[Risque]])*Base[[#This Row],[Durée_arrêt]]*Base[[#This Row],[Population_emploi]]</f>
        <v>7527673.4170274343</v>
      </c>
      <c r="BV66" s="4">
        <f>Base[[#This Row],['[Prod']'[Absentéisme']Total_jours_absence_avant]]-Base[[#This Row],['[Prod']'[Absentéisme']Total_jours_absence_après]]</f>
        <v>3065538.5321049951</v>
      </c>
      <c r="BW66" s="4">
        <f>IF(AND(Base[[#This Row],[Pathologie]]&lt;&gt;"Dépendance",Base[[#This Row],[Pathologie]]&lt;&gt;"Mort prématurée",Base[[#This Row],[Pathologie]]&lt;&gt;"Migraine"),0.0619,0)</f>
        <v>6.1899999999999997E-2</v>
      </c>
      <c r="BX66" s="4">
        <v>254</v>
      </c>
      <c r="BY6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6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6" s="4">
        <f>Base[[#This Row],[Prévalence_prod]]*Base[[#This Row],[Présentéisme]]*Base[[#This Row],['[Prod']Jours_ouvrés]]</f>
        <v>1.0626852000000002</v>
      </c>
      <c r="CB66" s="4">
        <f>Base[[#This Row],[Prévalence_prod]]*(1-Base[[#This Row],[Risque]])*Base[[#This Row],[Présentéisme]]*Base[[#This Row],['[Prod']Jours_ouvrés]]</f>
        <v>0.75515784722532964</v>
      </c>
      <c r="CC66" s="4">
        <f>Base[[#This Row],['[Prod']'[Présentéisme']Jours_avant]]-Base[[#This Row],['[Prod']'[Présentéisme']Jours_après]]</f>
        <v>0.30752735277467058</v>
      </c>
      <c r="CD66" s="4">
        <f>Base[[#This Row],['[Prod']'[Présentéisme']Jours_gagnés]]/Base[[#This Row],['[Prod']Jours_ouvrés]]</f>
        <v>1.2107376093490967E-3</v>
      </c>
      <c r="CE66">
        <v>5.8333039429220801E-2</v>
      </c>
      <c r="CF66">
        <v>1.4658164114728258E-2</v>
      </c>
      <c r="CG66" s="4">
        <v>11</v>
      </c>
      <c r="CH66" s="4">
        <v>0.60922528771817497</v>
      </c>
      <c r="CI66" s="4">
        <v>3.8601807163334179E-3</v>
      </c>
      <c r="CJ66" s="4">
        <f>IF(Base[[#This Row],[Secteur]]&lt;&gt;"Moyenne",Base[[#This Row],['[Prod']'[Turnover']DMC_initiale]]*(1+Base[[#This Row],['[Prod']'[Turnover']Ecart_accidents]]*Base[[#This Row],['[Prod']Impact_motifs_turnover]]),CJ49*CI49+CJ50*CI50+CJ51*CI51+CJ52*CI52+CJ53*CI53+CJ54*CI54+CJ55*CI55+CJ56*CI56+CJ57*CI57+CJ58*CI58+CJ59*CI59+CJ60*CI60+CJ61*CI61+CJ62*CI62+CJ63*CI63+CJ64*CI64+CJ65*CI65)</f>
        <v>11.098231366752371</v>
      </c>
      <c r="CK66" s="4">
        <f>1/Base[[#This Row],['[Prod']'[Turnover']DMC_initiale]]</f>
        <v>9.0909090909090912E-2</v>
      </c>
      <c r="CL66" s="4">
        <f>1/Base[[#This Row],['[Prod']'[Turnover']DMC_finale]]</f>
        <v>9.0104447001867274E-2</v>
      </c>
    </row>
    <row r="67" spans="2:90" x14ac:dyDescent="0.25">
      <c r="B67" s="4" t="s">
        <v>329</v>
      </c>
      <c r="C67">
        <v>7.5</v>
      </c>
      <c r="D67" t="s">
        <v>84</v>
      </c>
      <c r="E67" t="s">
        <v>4</v>
      </c>
      <c r="F67" s="3">
        <v>0.2893870666258177</v>
      </c>
      <c r="G67" s="3">
        <v>3.6700000000000003E-2</v>
      </c>
      <c r="H67" s="3">
        <v>3.6700000000000003E-2</v>
      </c>
      <c r="I67" s="3">
        <v>0.114</v>
      </c>
      <c r="J67" s="3">
        <v>10.311441509770701</v>
      </c>
      <c r="K67" s="3">
        <v>7.0000000000000007E-2</v>
      </c>
      <c r="L67" s="2">
        <f>Base[[#This Row],[Coût]]*Base[[#This Row],[Part_ménages_dépenses_santé]]</f>
        <v>0.72180090568394906</v>
      </c>
      <c r="M67" s="2">
        <v>0.99731334462301791</v>
      </c>
      <c r="N67" s="6">
        <v>27700000</v>
      </c>
      <c r="O67" s="7">
        <f>Base[[#This Row],[Coût_salarié]]*10^9*Base[[#This Row],[Risque]]*Base[[#This Row],[Prévalence]]*Base[[#This Row],[Part_coûts_salarié]]/Base[[#This Row],[Population_emploi]]</f>
        <v>0.27600342134882699</v>
      </c>
      <c r="P67">
        <v>50</v>
      </c>
      <c r="Q67">
        <v>50</v>
      </c>
      <c r="R67" s="2">
        <v>9.9999999999999978E-2</v>
      </c>
      <c r="S67" s="2">
        <v>0.33340000000000003</v>
      </c>
      <c r="T67" s="4">
        <v>3.6700000000000003E-2</v>
      </c>
      <c r="U67" s="4">
        <f>IF(Bases_annexes!$F$5=0,16.6587111018772,0.77*Bases_annexes!$F$5/(IF(OR(ISBLANK('Données_d''entrée'!$E$44),'Données_d''entrée'!$E$44=0),35,'Données_d''entrée'!$E$44)*52))</f>
        <v>16.658711101877199</v>
      </c>
      <c r="V67" s="4">
        <v>10.42033853287208</v>
      </c>
      <c r="W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7" s="4">
        <v>234.5</v>
      </c>
      <c r="Y67" s="4">
        <f>(Base[[#This Row],['[Maladies']Coûts_évités_par_salarié]]+Base[[#This Row],['[Travail']Coûts_évités_par_salarié]])/Base[[#This Row],[Budget_santé_salarié]]</f>
        <v>2.0939832741372771E-2</v>
      </c>
      <c r="Z67" s="4">
        <v>0.8</v>
      </c>
      <c r="AA67" s="4">
        <f>Base[[#This Row],[Coût]]*Base[[#This Row],[Part_société_dépenses_santé]]</f>
        <v>8.2491532078165601</v>
      </c>
      <c r="AB67" s="4">
        <v>67635124</v>
      </c>
      <c r="AC67" s="4">
        <v>82.297079063317852</v>
      </c>
      <c r="AD67" s="4">
        <v>3.6700000000000003E-2</v>
      </c>
      <c r="AE67" s="4">
        <f>Base[[#This Row],['[SC']Prévalence_travail]]*Base[[#This Row],[Population_emploi]]</f>
        <v>1016590.0000000001</v>
      </c>
      <c r="AF67" s="4">
        <f>Base[[#This Row],[Risque]]*Base[[#This Row],['[SC']Patients_en_emploi]]</f>
        <v>294187.99806114007</v>
      </c>
      <c r="AG67" s="4">
        <v>756671404.20000005</v>
      </c>
      <c r="AH67" s="4">
        <f>IFERROR(Base[[#This Row],['[SC']Prestations]]/Base[[#This Row],['[SC']Patients_en_emploi]],0)</f>
        <v>744.32308423258144</v>
      </c>
      <c r="AI67" s="4">
        <v>51.7</v>
      </c>
      <c r="AJ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7" s="4">
        <f>Base[[#This Row],['[SC']'[Travail']Coûts_évités]]/Base[[#This Row],[Population_emploi]]</f>
        <v>7.9050872946236987</v>
      </c>
      <c r="AL67" s="4">
        <f>Base[[#This Row],[Coût_société]]*10^9*Base[[#This Row],[Risque]]*Base[[#This Row],[Prévalence]]*Base[[#This Row],[Part_coûts_salarié]]/Base[[#This Row],[Population_emploi]]</f>
        <v>3.154324815415166</v>
      </c>
      <c r="AM67" s="4">
        <f>IF(Base[[#This Row],[Pathologie]]&lt;&gt;"Dépendance",0,14909.24243952)</f>
        <v>0</v>
      </c>
      <c r="AN67" s="4">
        <f>IF(Base[[#This Row],[Pathologie]]&lt;&gt;"Dépendance",0,1316000)</f>
        <v>0</v>
      </c>
      <c r="AO67" s="4">
        <f>IF(Base[[#This Row],[Pathologie]]&lt;&gt;"Dépendance",0,Base[[#This Row],['[SC']Coût_personne_dépendante]]*Base[[#This Row],['[SC']Nb_personnes_dépendantes]])</f>
        <v>0</v>
      </c>
      <c r="AP67" s="4">
        <f>IF(Base[[#This Row],[Pathologie]]&lt;&gt;"Dépendance",0,Base[[#This Row],['[SC']Coût_total_dépendance]]/Base[[#This Row],[Population_totale]])</f>
        <v>0</v>
      </c>
      <c r="AQ67" s="4">
        <f>IF(Base[[#This Row],[Pathologie]]&lt;&gt;"Dépendance",0,4.5)</f>
        <v>0</v>
      </c>
      <c r="AR67" s="4">
        <v>0.50393265050357905</v>
      </c>
      <c r="AS67" s="4">
        <f>Base[[#This Row],[Espérance_vie]]+Base[[#This Row],['[SC']Hausse_esp_de_vie]]-Base[[#This Row],['[SC']Durée_moyenne_dépendance_avt]]+Base[[#This Row],[Risque]]</f>
        <v>83.090398780447259</v>
      </c>
      <c r="AT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" s="4">
        <v>62.9</v>
      </c>
      <c r="AW67" s="4">
        <f t="shared" si="0"/>
        <v>336905600000</v>
      </c>
      <c r="AX67" s="4">
        <v>15049171</v>
      </c>
      <c r="AY67" s="4">
        <f>Base[[#This Row],['[SC']Budget_total_retraites]]/Base[[#This Row],['[SC']Nombre_de_retraités]]</f>
        <v>22386.987296509556</v>
      </c>
      <c r="AZ67" s="4">
        <f>Base[[#This Row],['[SC']Budget_par_retraité]]*Base[[#This Row],['[SC']Nb_personnes_dépendantes]]</f>
        <v>0</v>
      </c>
      <c r="BA67" s="4">
        <f>Base[[#This Row],['[SC']'[Dépendance']Coût_retraite_personnes_dépendantes]]/Base[[#This Row],[Population_totale]]</f>
        <v>0</v>
      </c>
      <c r="BB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" s="4">
        <f>Base[[#This Row],['[SC']'[Dépendance']Gains]]-Base[[#This Row],['[SC']'[Dépendance']Coûts]]</f>
        <v>0</v>
      </c>
      <c r="BD67" s="4">
        <f>IF(Base[[#This Row],[Pathologie]]&lt;&gt;"Mort prématurée",0,Base[[#This Row],[Risque]]*Base[[#This Row],[Prévalence]]*Base[[#This Row],[Population_totale]])</f>
        <v>0</v>
      </c>
      <c r="BE67" s="4">
        <v>52.74</v>
      </c>
      <c r="BF67" s="4">
        <f>Base[[#This Row],['[SC']Âge_moyen_retraite]]-Base[[#This Row],['[SC']'[Mort_prématurée']Âge_moyen_mort précoce]]</f>
        <v>10.159999999999997</v>
      </c>
      <c r="BG67" s="4">
        <f>Base[[#This Row],[Espérance_vie]]+Base[[#This Row],['[SC']Hausse_esp_de_vie]]-Base[[#This Row],['[SC']Âge_moyen_retraite]]</f>
        <v>19.90101171382144</v>
      </c>
      <c r="BH67" s="4">
        <v>106583.42676924677</v>
      </c>
      <c r="BI67" s="4">
        <v>97601.789429271477</v>
      </c>
      <c r="BJ67" s="4">
        <v>302038.31496633729</v>
      </c>
      <c r="BK67" s="4">
        <v>117293.58934859755</v>
      </c>
      <c r="BL67" s="4">
        <v>1523999.9999999995</v>
      </c>
      <c r="BM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" s="4">
        <v>294804.96027377353</v>
      </c>
      <c r="BO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" s="4">
        <f>(Base[[#This Row],['[SC']'[Mort_prématurée']Gains]]-Base[[#This Row],['[SC']'[Mort_prématurée']Coûts]])/Base[[#This Row],[Population_totale]]</f>
        <v>0</v>
      </c>
      <c r="BQ67" s="4">
        <f>IF(Base[[#This Row],[Pathologie]]&lt;&gt;"Mort prématurée",0,Base[[#This Row],[Risque]])</f>
        <v>0</v>
      </c>
      <c r="BR67" s="4">
        <v>2680</v>
      </c>
      <c r="BS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7" s="4">
        <f>Base[[#This Row],[Prévalence_prod]]*(1-Base[[#This Row],[Risque]])*Base[[#This Row],[Durée_arrêt]]*Base[[#This Row],[Population_emploi]]</f>
        <v>7527673.4170274343</v>
      </c>
      <c r="BV67" s="4">
        <f>Base[[#This Row],['[Prod']'[Absentéisme']Total_jours_absence_avant]]-Base[[#This Row],['[Prod']'[Absentéisme']Total_jours_absence_après]]</f>
        <v>3065538.5321049951</v>
      </c>
      <c r="BW67" s="4">
        <f>IF(AND(Base[[#This Row],[Pathologie]]&lt;&gt;"Dépendance",Base[[#This Row],[Pathologie]]&lt;&gt;"Mort prématurée",Base[[#This Row],[Pathologie]]&lt;&gt;"Migraine"),0.0619,0)</f>
        <v>6.1899999999999997E-2</v>
      </c>
      <c r="BX67" s="4">
        <v>254</v>
      </c>
      <c r="BY67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7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7" s="4">
        <f>Base[[#This Row],[Prévalence_prod]]*Base[[#This Row],[Présentéisme]]*Base[[#This Row],['[Prod']Jours_ouvrés]]</f>
        <v>1.0626852000000002</v>
      </c>
      <c r="CB67" s="4">
        <f>Base[[#This Row],[Prévalence_prod]]*(1-Base[[#This Row],[Risque]])*Base[[#This Row],[Présentéisme]]*Base[[#This Row],['[Prod']Jours_ouvrés]]</f>
        <v>0.75515784722532964</v>
      </c>
      <c r="CC67" s="4">
        <f>Base[[#This Row],['[Prod']'[Présentéisme']Jours_avant]]-Base[[#This Row],['[Prod']'[Présentéisme']Jours_après]]</f>
        <v>0.30752735277467058</v>
      </c>
      <c r="CD67" s="4">
        <f>Base[[#This Row],['[Prod']'[Présentéisme']Jours_gagnés]]/Base[[#This Row],['[Prod']Jours_ouvrés]]</f>
        <v>1.2107376093490967E-3</v>
      </c>
      <c r="CE67">
        <v>5.8333039429220801E-2</v>
      </c>
      <c r="CF67">
        <v>1.4658164114728258E-2</v>
      </c>
      <c r="CG67" s="4">
        <v>11</v>
      </c>
      <c r="CH67" s="4">
        <v>0.78414927716175975</v>
      </c>
      <c r="CI67" s="4">
        <v>0.12835819090128339</v>
      </c>
      <c r="CJ67" s="4">
        <f>IF(Base[[#This Row],[Secteur]]&lt;&gt;"Moyenne",Base[[#This Row],['[Prod']'[Turnover']DMC_initiale]]*(1+Base[[#This Row],['[Prod']'[Turnover']Ecart_accidents]]*Base[[#This Row],['[Prod']Impact_motifs_turnover]]),CJ50*CI50+CJ51*CI51+CJ52*CI52+CJ53*CI53+CJ54*CI54+CJ55*CI55+CJ56*CI56+CJ57*CI57+CJ58*CI58+CJ59*CI59+CJ60*CI60+CJ61*CI61+CJ62*CI62+CJ63*CI63+CJ64*CI64+CJ65*CI65+CJ66*CI66)</f>
        <v>11.126436076745907</v>
      </c>
      <c r="CK67" s="4">
        <f>1/Base[[#This Row],['[Prod']'[Turnover']DMC_initiale]]</f>
        <v>9.0909090909090912E-2</v>
      </c>
      <c r="CL67" s="4">
        <f>1/Base[[#This Row],['[Prod']'[Turnover']DMC_finale]]</f>
        <v>8.9876038751526707E-2</v>
      </c>
    </row>
    <row r="68" spans="2:90" x14ac:dyDescent="0.25">
      <c r="B68" s="4" t="s">
        <v>330</v>
      </c>
      <c r="C68">
        <v>7.5</v>
      </c>
      <c r="D68" t="s">
        <v>84</v>
      </c>
      <c r="E68" t="s">
        <v>4</v>
      </c>
      <c r="F68" s="3">
        <v>0.2893870666258177</v>
      </c>
      <c r="G68" s="3">
        <v>3.6700000000000003E-2</v>
      </c>
      <c r="H68" s="3">
        <v>3.6700000000000003E-2</v>
      </c>
      <c r="I68" s="3">
        <v>0.114</v>
      </c>
      <c r="J68" s="3">
        <v>10.311441509770701</v>
      </c>
      <c r="K68" s="3">
        <v>7.0000000000000007E-2</v>
      </c>
      <c r="L68" s="2">
        <f>Base[[#This Row],[Coût]]*Base[[#This Row],[Part_ménages_dépenses_santé]]</f>
        <v>0.72180090568394906</v>
      </c>
      <c r="M68" s="2">
        <v>0.99731334462301791</v>
      </c>
      <c r="N68" s="6">
        <v>27700000</v>
      </c>
      <c r="O68" s="7">
        <f>Base[[#This Row],[Coût_salarié]]*10^9*Base[[#This Row],[Risque]]*Base[[#This Row],[Prévalence]]*Base[[#This Row],[Part_coûts_salarié]]/Base[[#This Row],[Population_emploi]]</f>
        <v>0.27600342134882699</v>
      </c>
      <c r="P68">
        <v>50</v>
      </c>
      <c r="Q68">
        <v>50</v>
      </c>
      <c r="R68" s="2">
        <v>9.9999999999999978E-2</v>
      </c>
      <c r="S68" s="2">
        <v>0.33340000000000003</v>
      </c>
      <c r="T68" s="4">
        <v>3.6700000000000003E-2</v>
      </c>
      <c r="U68" s="4">
        <f>IF(Bases_annexes!$F$5=0,16.6587111018772,0.77*Bases_annexes!$F$5/(IF(OR(ISBLANK('Données_d''entrée'!$E$44),'Données_d''entrée'!$E$44=0),35,'Données_d''entrée'!$E$44)*52))</f>
        <v>16.658711101877199</v>
      </c>
      <c r="V68" s="4">
        <v>10.42033853287208</v>
      </c>
      <c r="W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8" s="4">
        <v>234.5</v>
      </c>
      <c r="Y68" s="4">
        <f>(Base[[#This Row],['[Maladies']Coûts_évités_par_salarié]]+Base[[#This Row],['[Travail']Coûts_évités_par_salarié]])/Base[[#This Row],[Budget_santé_salarié]]</f>
        <v>2.0939832741372771E-2</v>
      </c>
      <c r="Z68" s="4">
        <v>0.8</v>
      </c>
      <c r="AA68" s="4">
        <f>Base[[#This Row],[Coût]]*Base[[#This Row],[Part_société_dépenses_santé]]</f>
        <v>8.2491532078165601</v>
      </c>
      <c r="AB68" s="4">
        <v>67635124</v>
      </c>
      <c r="AC68" s="4">
        <v>82.297079063317852</v>
      </c>
      <c r="AD68" s="4">
        <v>3.6700000000000003E-2</v>
      </c>
      <c r="AE68" s="4">
        <f>Base[[#This Row],['[SC']Prévalence_travail]]*Base[[#This Row],[Population_emploi]]</f>
        <v>1016590.0000000001</v>
      </c>
      <c r="AF68" s="4">
        <f>Base[[#This Row],[Risque]]*Base[[#This Row],['[SC']Patients_en_emploi]]</f>
        <v>294187.99806114007</v>
      </c>
      <c r="AG68" s="4">
        <v>756671404.20000005</v>
      </c>
      <c r="AH68" s="4">
        <f>IFERROR(Base[[#This Row],['[SC']Prestations]]/Base[[#This Row],['[SC']Patients_en_emploi]],0)</f>
        <v>744.32308423258144</v>
      </c>
      <c r="AI68" s="4">
        <v>51.7</v>
      </c>
      <c r="AJ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8" s="4">
        <f>Base[[#This Row],['[SC']'[Travail']Coûts_évités]]/Base[[#This Row],[Population_emploi]]</f>
        <v>7.9050872946236987</v>
      </c>
      <c r="AL68" s="4">
        <f>Base[[#This Row],[Coût_société]]*10^9*Base[[#This Row],[Risque]]*Base[[#This Row],[Prévalence]]*Base[[#This Row],[Part_coûts_salarié]]/Base[[#This Row],[Population_emploi]]</f>
        <v>3.154324815415166</v>
      </c>
      <c r="AM68" s="4">
        <f>IF(Base[[#This Row],[Pathologie]]&lt;&gt;"Dépendance",0,14909.24243952)</f>
        <v>0</v>
      </c>
      <c r="AN68" s="4">
        <f>IF(Base[[#This Row],[Pathologie]]&lt;&gt;"Dépendance",0,1316000)</f>
        <v>0</v>
      </c>
      <c r="AO68" s="4">
        <f>IF(Base[[#This Row],[Pathologie]]&lt;&gt;"Dépendance",0,Base[[#This Row],['[SC']Coût_personne_dépendante]]*Base[[#This Row],['[SC']Nb_personnes_dépendantes]])</f>
        <v>0</v>
      </c>
      <c r="AP68" s="4">
        <f>IF(Base[[#This Row],[Pathologie]]&lt;&gt;"Dépendance",0,Base[[#This Row],['[SC']Coût_total_dépendance]]/Base[[#This Row],[Population_totale]])</f>
        <v>0</v>
      </c>
      <c r="AQ68" s="4">
        <f>IF(Base[[#This Row],[Pathologie]]&lt;&gt;"Dépendance",0,4.5)</f>
        <v>0</v>
      </c>
      <c r="AR68" s="4">
        <v>0.50393265050357905</v>
      </c>
      <c r="AS68" s="4">
        <f>Base[[#This Row],[Espérance_vie]]+Base[[#This Row],['[SC']Hausse_esp_de_vie]]-Base[[#This Row],['[SC']Durée_moyenne_dépendance_avt]]+Base[[#This Row],[Risque]]</f>
        <v>83.090398780447259</v>
      </c>
      <c r="AT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8" s="4">
        <v>62.9</v>
      </c>
      <c r="AW68" s="4">
        <f t="shared" si="0"/>
        <v>336905600000</v>
      </c>
      <c r="AX68" s="4">
        <v>15049171</v>
      </c>
      <c r="AY68" s="4">
        <f>Base[[#This Row],['[SC']Budget_total_retraites]]/Base[[#This Row],['[SC']Nombre_de_retraités]]</f>
        <v>22386.987296509556</v>
      </c>
      <c r="AZ68" s="4">
        <f>Base[[#This Row],['[SC']Budget_par_retraité]]*Base[[#This Row],['[SC']Nb_personnes_dépendantes]]</f>
        <v>0</v>
      </c>
      <c r="BA68" s="4">
        <f>Base[[#This Row],['[SC']'[Dépendance']Coût_retraite_personnes_dépendantes]]/Base[[#This Row],[Population_totale]]</f>
        <v>0</v>
      </c>
      <c r="BB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8" s="4">
        <f>Base[[#This Row],['[SC']'[Dépendance']Gains]]-Base[[#This Row],['[SC']'[Dépendance']Coûts]]</f>
        <v>0</v>
      </c>
      <c r="BD68" s="4">
        <f>IF(Base[[#This Row],[Pathologie]]&lt;&gt;"Mort prématurée",0,Base[[#This Row],[Risque]]*Base[[#This Row],[Prévalence]]*Base[[#This Row],[Population_totale]])</f>
        <v>0</v>
      </c>
      <c r="BE68" s="4">
        <v>52.74</v>
      </c>
      <c r="BF68" s="4">
        <f>Base[[#This Row],['[SC']Âge_moyen_retraite]]-Base[[#This Row],['[SC']'[Mort_prématurée']Âge_moyen_mort précoce]]</f>
        <v>10.159999999999997</v>
      </c>
      <c r="BG68" s="4">
        <f>Base[[#This Row],[Espérance_vie]]+Base[[#This Row],['[SC']Hausse_esp_de_vie]]-Base[[#This Row],['[SC']Âge_moyen_retraite]]</f>
        <v>19.90101171382144</v>
      </c>
      <c r="BH68" s="4">
        <v>106583.42676924677</v>
      </c>
      <c r="BI68" s="4">
        <v>97601.789429271477</v>
      </c>
      <c r="BJ68" s="4">
        <v>302038.31496633729</v>
      </c>
      <c r="BK68" s="4">
        <v>117293.58934859755</v>
      </c>
      <c r="BL68" s="4">
        <v>1523999.9999999995</v>
      </c>
      <c r="BM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8" s="4">
        <v>294804.96027377353</v>
      </c>
      <c r="BO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8" s="4">
        <f>(Base[[#This Row],['[SC']'[Mort_prématurée']Gains]]-Base[[#This Row],['[SC']'[Mort_prématurée']Coûts]])/Base[[#This Row],[Population_totale]]</f>
        <v>0</v>
      </c>
      <c r="BQ68" s="4">
        <f>IF(Base[[#This Row],[Pathologie]]&lt;&gt;"Mort prématurée",0,Base[[#This Row],[Risque]])</f>
        <v>0</v>
      </c>
      <c r="BR68" s="4">
        <v>2680</v>
      </c>
      <c r="BS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8" s="4">
        <f>Base[[#This Row],[Prévalence_prod]]*(1-Base[[#This Row],[Risque]])*Base[[#This Row],[Durée_arrêt]]*Base[[#This Row],[Population_emploi]]</f>
        <v>7527673.4170274343</v>
      </c>
      <c r="BV68" s="4">
        <f>Base[[#This Row],['[Prod']'[Absentéisme']Total_jours_absence_avant]]-Base[[#This Row],['[Prod']'[Absentéisme']Total_jours_absence_après]]</f>
        <v>3065538.5321049951</v>
      </c>
      <c r="BW68" s="4">
        <f>IF(AND(Base[[#This Row],[Pathologie]]&lt;&gt;"Dépendance",Base[[#This Row],[Pathologie]]&lt;&gt;"Mort prématurée",Base[[#This Row],[Pathologie]]&lt;&gt;"Migraine"),0.0619,0)</f>
        <v>6.1899999999999997E-2</v>
      </c>
      <c r="BX68" s="4">
        <v>254</v>
      </c>
      <c r="BY68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8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8" s="4">
        <f>Base[[#This Row],[Prévalence_prod]]*Base[[#This Row],[Présentéisme]]*Base[[#This Row],['[Prod']Jours_ouvrés]]</f>
        <v>1.0626852000000002</v>
      </c>
      <c r="CB68" s="4">
        <f>Base[[#This Row],[Prévalence_prod]]*(1-Base[[#This Row],[Risque]])*Base[[#This Row],[Présentéisme]]*Base[[#This Row],['[Prod']Jours_ouvrés]]</f>
        <v>0.75515784722532964</v>
      </c>
      <c r="CC68" s="4">
        <f>Base[[#This Row],['[Prod']'[Présentéisme']Jours_avant]]-Base[[#This Row],['[Prod']'[Présentéisme']Jours_après]]</f>
        <v>0.30752735277467058</v>
      </c>
      <c r="CD68" s="4">
        <f>Base[[#This Row],['[Prod']'[Présentéisme']Jours_gagnés]]/Base[[#This Row],['[Prod']Jours_ouvrés]]</f>
        <v>1.2107376093490967E-3</v>
      </c>
      <c r="CE68">
        <v>5.8333039429220801E-2</v>
      </c>
      <c r="CF68">
        <v>1.4658164114728258E-2</v>
      </c>
      <c r="CG68" s="4">
        <v>11</v>
      </c>
      <c r="CH68" s="4">
        <v>0.99648427619813984</v>
      </c>
      <c r="CI68" s="4">
        <v>0.42377466100567313</v>
      </c>
      <c r="CJ68" s="4">
        <f>IF(Base[[#This Row],[Secteur]]&lt;&gt;"Moyenne",Base[[#This Row],['[Prod']'[Turnover']DMC_initiale]]*(1+Base[[#This Row],['[Prod']'[Turnover']Ecart_accidents]]*Base[[#This Row],['[Prod']Impact_motifs_turnover]]),CJ51*CI51+CJ52*CI52+CJ53*CI53+CJ54*CI54+CJ55*CI55+CJ56*CI56+CJ57*CI57+CJ58*CI58+CJ59*CI59+CJ60*CI60+CJ61*CI61+CJ62*CI62+CJ63*CI63+CJ64*CI64+CJ65*CI65+CJ66*CI66+CJ67*CI67)</f>
        <v>11.160672930640844</v>
      </c>
      <c r="CK68" s="4">
        <f>1/Base[[#This Row],['[Prod']'[Turnover']DMC_initiale]]</f>
        <v>9.0909090909090912E-2</v>
      </c>
      <c r="CL68" s="4">
        <f>1/Base[[#This Row],['[Prod']'[Turnover']DMC_finale]]</f>
        <v>8.9600332006376626E-2</v>
      </c>
    </row>
    <row r="69" spans="2:90" x14ac:dyDescent="0.25">
      <c r="B69" s="4" t="s">
        <v>331</v>
      </c>
      <c r="C69">
        <v>7.5</v>
      </c>
      <c r="D69" t="s">
        <v>84</v>
      </c>
      <c r="E69" t="s">
        <v>4</v>
      </c>
      <c r="F69" s="3">
        <v>0.2893870666258177</v>
      </c>
      <c r="G69" s="3">
        <v>3.6700000000000003E-2</v>
      </c>
      <c r="H69" s="3">
        <v>3.6700000000000003E-2</v>
      </c>
      <c r="I69" s="3">
        <v>0.114</v>
      </c>
      <c r="J69" s="3">
        <v>10.311441509770701</v>
      </c>
      <c r="K69" s="3">
        <v>7.0000000000000007E-2</v>
      </c>
      <c r="L69" s="2">
        <f>Base[[#This Row],[Coût]]*Base[[#This Row],[Part_ménages_dépenses_santé]]</f>
        <v>0.72180090568394906</v>
      </c>
      <c r="M69" s="2">
        <v>0.99731334462301791</v>
      </c>
      <c r="N69" s="6">
        <v>27700000</v>
      </c>
      <c r="O69" s="7">
        <f>Base[[#This Row],[Coût_salarié]]*10^9*Base[[#This Row],[Risque]]*Base[[#This Row],[Prévalence]]*Base[[#This Row],[Part_coûts_salarié]]/Base[[#This Row],[Population_emploi]]</f>
        <v>0.27600342134882699</v>
      </c>
      <c r="P69">
        <v>50</v>
      </c>
      <c r="Q69">
        <v>50</v>
      </c>
      <c r="R69" s="2">
        <v>9.9999999999999978E-2</v>
      </c>
      <c r="S69" s="2">
        <v>0.33340000000000003</v>
      </c>
      <c r="T69" s="4">
        <v>3.6700000000000003E-2</v>
      </c>
      <c r="U69" s="4">
        <f>IF(Bases_annexes!$F$5=0,16.6587111018772,0.77*Bases_annexes!$F$5/(IF(OR(ISBLANK('Données_d''entrée'!$E$44),'Données_d''entrée'!$E$44=0),35,'Données_d''entrée'!$E$44)*52))</f>
        <v>16.658711101877199</v>
      </c>
      <c r="V69" s="4">
        <v>10.42033853287208</v>
      </c>
      <c r="W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69" s="4">
        <v>234.5</v>
      </c>
      <c r="Y69" s="4">
        <f>(Base[[#This Row],['[Maladies']Coûts_évités_par_salarié]]+Base[[#This Row],['[Travail']Coûts_évités_par_salarié]])/Base[[#This Row],[Budget_santé_salarié]]</f>
        <v>2.0939832741372771E-2</v>
      </c>
      <c r="Z69" s="4">
        <v>0.8</v>
      </c>
      <c r="AA69" s="4">
        <f>Base[[#This Row],[Coût]]*Base[[#This Row],[Part_société_dépenses_santé]]</f>
        <v>8.2491532078165601</v>
      </c>
      <c r="AB69" s="4">
        <v>67635124</v>
      </c>
      <c r="AC69" s="4">
        <v>82.297079063317852</v>
      </c>
      <c r="AD69" s="4">
        <v>3.6700000000000003E-2</v>
      </c>
      <c r="AE69" s="4">
        <f>Base[[#This Row],['[SC']Prévalence_travail]]*Base[[#This Row],[Population_emploi]]</f>
        <v>1016590.0000000001</v>
      </c>
      <c r="AF69" s="4">
        <f>Base[[#This Row],[Risque]]*Base[[#This Row],['[SC']Patients_en_emploi]]</f>
        <v>294187.99806114007</v>
      </c>
      <c r="AG69" s="4">
        <v>756671404.20000005</v>
      </c>
      <c r="AH69" s="4">
        <f>IFERROR(Base[[#This Row],['[SC']Prestations]]/Base[[#This Row],['[SC']Patients_en_emploi]],0)</f>
        <v>744.32308423258144</v>
      </c>
      <c r="AI69" s="4">
        <v>51.7</v>
      </c>
      <c r="AJ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69" s="4">
        <f>Base[[#This Row],['[SC']'[Travail']Coûts_évités]]/Base[[#This Row],[Population_emploi]]</f>
        <v>7.9050872946236987</v>
      </c>
      <c r="AL69" s="4">
        <f>Base[[#This Row],[Coût_société]]*10^9*Base[[#This Row],[Risque]]*Base[[#This Row],[Prévalence]]*Base[[#This Row],[Part_coûts_salarié]]/Base[[#This Row],[Population_emploi]]</f>
        <v>3.154324815415166</v>
      </c>
      <c r="AM69" s="4">
        <f>IF(Base[[#This Row],[Pathologie]]&lt;&gt;"Dépendance",0,14909.24243952)</f>
        <v>0</v>
      </c>
      <c r="AN69" s="4">
        <f>IF(Base[[#This Row],[Pathologie]]&lt;&gt;"Dépendance",0,1316000)</f>
        <v>0</v>
      </c>
      <c r="AO69" s="4">
        <f>IF(Base[[#This Row],[Pathologie]]&lt;&gt;"Dépendance",0,Base[[#This Row],['[SC']Coût_personne_dépendante]]*Base[[#This Row],['[SC']Nb_personnes_dépendantes]])</f>
        <v>0</v>
      </c>
      <c r="AP69" s="4">
        <f>IF(Base[[#This Row],[Pathologie]]&lt;&gt;"Dépendance",0,Base[[#This Row],['[SC']Coût_total_dépendance]]/Base[[#This Row],[Population_totale]])</f>
        <v>0</v>
      </c>
      <c r="AQ69" s="4">
        <f>IF(Base[[#This Row],[Pathologie]]&lt;&gt;"Dépendance",0,4.5)</f>
        <v>0</v>
      </c>
      <c r="AR69" s="4">
        <v>0.50393265050357905</v>
      </c>
      <c r="AS69" s="4">
        <f>Base[[#This Row],[Espérance_vie]]+Base[[#This Row],['[SC']Hausse_esp_de_vie]]-Base[[#This Row],['[SC']Durée_moyenne_dépendance_avt]]+Base[[#This Row],[Risque]]</f>
        <v>83.090398780447259</v>
      </c>
      <c r="AT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9" s="4">
        <v>62.9</v>
      </c>
      <c r="AW69" s="4">
        <f t="shared" si="0"/>
        <v>336905600000</v>
      </c>
      <c r="AX69" s="4">
        <v>15049171</v>
      </c>
      <c r="AY69" s="4">
        <f>Base[[#This Row],['[SC']Budget_total_retraites]]/Base[[#This Row],['[SC']Nombre_de_retraités]]</f>
        <v>22386.987296509556</v>
      </c>
      <c r="AZ69" s="4">
        <f>Base[[#This Row],['[SC']Budget_par_retraité]]*Base[[#This Row],['[SC']Nb_personnes_dépendantes]]</f>
        <v>0</v>
      </c>
      <c r="BA69" s="4">
        <f>Base[[#This Row],['[SC']'[Dépendance']Coût_retraite_personnes_dépendantes]]/Base[[#This Row],[Population_totale]]</f>
        <v>0</v>
      </c>
      <c r="BB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9" s="4">
        <f>Base[[#This Row],['[SC']'[Dépendance']Gains]]-Base[[#This Row],['[SC']'[Dépendance']Coûts]]</f>
        <v>0</v>
      </c>
      <c r="BD69" s="4">
        <f>IF(Base[[#This Row],[Pathologie]]&lt;&gt;"Mort prématurée",0,Base[[#This Row],[Risque]]*Base[[#This Row],[Prévalence]]*Base[[#This Row],[Population_totale]])</f>
        <v>0</v>
      </c>
      <c r="BE69" s="4">
        <v>52.74</v>
      </c>
      <c r="BF69" s="4">
        <f>Base[[#This Row],['[SC']Âge_moyen_retraite]]-Base[[#This Row],['[SC']'[Mort_prématurée']Âge_moyen_mort précoce]]</f>
        <v>10.159999999999997</v>
      </c>
      <c r="BG69" s="4">
        <f>Base[[#This Row],[Espérance_vie]]+Base[[#This Row],['[SC']Hausse_esp_de_vie]]-Base[[#This Row],['[SC']Âge_moyen_retraite]]</f>
        <v>19.90101171382144</v>
      </c>
      <c r="BH69" s="4">
        <v>106583.42676924677</v>
      </c>
      <c r="BI69" s="4">
        <v>97601.789429271477</v>
      </c>
      <c r="BJ69" s="4">
        <v>302038.31496633729</v>
      </c>
      <c r="BK69" s="4">
        <v>117293.58934859755</v>
      </c>
      <c r="BL69" s="4">
        <v>1523999.9999999995</v>
      </c>
      <c r="BM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9" s="4">
        <v>294804.96027377353</v>
      </c>
      <c r="BO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9" s="4">
        <f>(Base[[#This Row],['[SC']'[Mort_prématurée']Gains]]-Base[[#This Row],['[SC']'[Mort_prématurée']Coûts]])/Base[[#This Row],[Population_totale]]</f>
        <v>0</v>
      </c>
      <c r="BQ69" s="4">
        <f>IF(Base[[#This Row],[Pathologie]]&lt;&gt;"Mort prématurée",0,Base[[#This Row],[Risque]])</f>
        <v>0</v>
      </c>
      <c r="BR69" s="4">
        <v>2680</v>
      </c>
      <c r="BS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69" s="4">
        <f>Base[[#This Row],[Prévalence_prod]]*(1-Base[[#This Row],[Risque]])*Base[[#This Row],[Durée_arrêt]]*Base[[#This Row],[Population_emploi]]</f>
        <v>7527673.4170274343</v>
      </c>
      <c r="BV69" s="4">
        <f>Base[[#This Row],['[Prod']'[Absentéisme']Total_jours_absence_avant]]-Base[[#This Row],['[Prod']'[Absentéisme']Total_jours_absence_après]]</f>
        <v>3065538.5321049951</v>
      </c>
      <c r="BW69" s="4">
        <f>IF(AND(Base[[#This Row],[Pathologie]]&lt;&gt;"Dépendance",Base[[#This Row],[Pathologie]]&lt;&gt;"Mort prématurée",Base[[#This Row],[Pathologie]]&lt;&gt;"Migraine"),0.0619,0)</f>
        <v>6.1899999999999997E-2</v>
      </c>
      <c r="BX69" s="4">
        <v>254</v>
      </c>
      <c r="BY6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69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69" s="4">
        <f>Base[[#This Row],[Prévalence_prod]]*Base[[#This Row],[Présentéisme]]*Base[[#This Row],['[Prod']Jours_ouvrés]]</f>
        <v>1.0626852000000002</v>
      </c>
      <c r="CB69" s="4">
        <f>Base[[#This Row],[Prévalence_prod]]*(1-Base[[#This Row],[Risque]])*Base[[#This Row],[Présentéisme]]*Base[[#This Row],['[Prod']Jours_ouvrés]]</f>
        <v>0.75515784722532964</v>
      </c>
      <c r="CC69" s="4">
        <f>Base[[#This Row],['[Prod']'[Présentéisme']Jours_avant]]-Base[[#This Row],['[Prod']'[Présentéisme']Jours_après]]</f>
        <v>0.30752735277467058</v>
      </c>
      <c r="CD69" s="4">
        <f>Base[[#This Row],['[Prod']'[Présentéisme']Jours_gagnés]]/Base[[#This Row],['[Prod']Jours_ouvrés]]</f>
        <v>1.2107376093490967E-3</v>
      </c>
      <c r="CE69">
        <v>5.8333039429220801E-2</v>
      </c>
      <c r="CF69">
        <v>1.4658164114728258E-2</v>
      </c>
      <c r="CG69" s="4">
        <v>11</v>
      </c>
      <c r="CH69" s="4">
        <v>1.1593596509901765</v>
      </c>
      <c r="CI69" s="4">
        <v>4.0741311947357597E-2</v>
      </c>
      <c r="CJ69" s="4">
        <f>IF(Base[[#This Row],[Secteur]]&lt;&gt;"Moyenne",Base[[#This Row],['[Prod']'[Turnover']DMC_initiale]]*(1+Base[[#This Row],['[Prod']'[Turnover']Ecart_accidents]]*Base[[#This Row],['[Prod']Impact_motifs_turnover]]),CJ52*CI52+CJ53*CI53+CJ54*CI54+CJ55*CI55+CJ56*CI56+CJ57*CI57+CJ58*CI58+CJ59*CI59+CJ60*CI60+CJ61*CI61+CJ62*CI62+CJ63*CI63+CJ64*CI64+CJ65*CI65+CJ66*CI66+CJ67*CI67+CJ68*CI68)</f>
        <v>11.186934924354288</v>
      </c>
      <c r="CK69" s="4">
        <f>1/Base[[#This Row],['[Prod']'[Turnover']DMC_initiale]]</f>
        <v>9.0909090909090912E-2</v>
      </c>
      <c r="CL69" s="4">
        <f>1/Base[[#This Row],['[Prod']'[Turnover']DMC_finale]]</f>
        <v>8.9389989908940148E-2</v>
      </c>
    </row>
    <row r="70" spans="2:90" x14ac:dyDescent="0.25">
      <c r="B70" s="4" t="s">
        <v>332</v>
      </c>
      <c r="C70">
        <v>7.5</v>
      </c>
      <c r="D70" t="s">
        <v>84</v>
      </c>
      <c r="E70" t="s">
        <v>4</v>
      </c>
      <c r="F70" s="3">
        <v>0.2893870666258177</v>
      </c>
      <c r="G70" s="3">
        <v>3.6700000000000003E-2</v>
      </c>
      <c r="H70" s="3">
        <v>3.6700000000000003E-2</v>
      </c>
      <c r="I70" s="3">
        <v>0.114</v>
      </c>
      <c r="J70" s="3">
        <v>10.311441509770701</v>
      </c>
      <c r="K70" s="3">
        <v>7.0000000000000007E-2</v>
      </c>
      <c r="L70" s="2">
        <f>Base[[#This Row],[Coût]]*Base[[#This Row],[Part_ménages_dépenses_santé]]</f>
        <v>0.72180090568394906</v>
      </c>
      <c r="M70" s="2">
        <v>0.99731334462301791</v>
      </c>
      <c r="N70" s="6">
        <v>27700000</v>
      </c>
      <c r="O70" s="7">
        <f>Base[[#This Row],[Coût_salarié]]*10^9*Base[[#This Row],[Risque]]*Base[[#This Row],[Prévalence]]*Base[[#This Row],[Part_coûts_salarié]]/Base[[#This Row],[Population_emploi]]</f>
        <v>0.27600342134882699</v>
      </c>
      <c r="P70">
        <v>50</v>
      </c>
      <c r="Q70">
        <v>50</v>
      </c>
      <c r="R70" s="2">
        <v>9.9999999999999978E-2</v>
      </c>
      <c r="S70" s="2">
        <v>0.33340000000000003</v>
      </c>
      <c r="T70" s="4">
        <v>3.6700000000000003E-2</v>
      </c>
      <c r="U70" s="4">
        <f>IF(Bases_annexes!$F$5=0,16.6587111018772,0.77*Bases_annexes!$F$5/(IF(OR(ISBLANK('Données_d''entrée'!$E$44),'Données_d''entrée'!$E$44=0),35,'Données_d''entrée'!$E$44)*52))</f>
        <v>16.658711101877199</v>
      </c>
      <c r="V70" s="4">
        <v>10.42033853287208</v>
      </c>
      <c r="W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4.6343873565030878</v>
      </c>
      <c r="X70" s="4">
        <v>234.5</v>
      </c>
      <c r="Y70" s="4">
        <f>(Base[[#This Row],['[Maladies']Coûts_évités_par_salarié]]+Base[[#This Row],['[Travail']Coûts_évités_par_salarié]])/Base[[#This Row],[Budget_santé_salarié]]</f>
        <v>2.0939832741372771E-2</v>
      </c>
      <c r="Z70" s="4">
        <v>0.8</v>
      </c>
      <c r="AA70" s="4">
        <f>Base[[#This Row],[Coût]]*Base[[#This Row],[Part_société_dépenses_santé]]</f>
        <v>8.2491532078165601</v>
      </c>
      <c r="AB70" s="4">
        <v>67635124</v>
      </c>
      <c r="AC70" s="4">
        <v>82.297079063317852</v>
      </c>
      <c r="AD70" s="4">
        <v>3.6700000000000003E-2</v>
      </c>
      <c r="AE70" s="4">
        <f>Base[[#This Row],['[SC']Prévalence_travail]]*Base[[#This Row],[Population_emploi]]</f>
        <v>1016590.0000000001</v>
      </c>
      <c r="AF70" s="4">
        <f>Base[[#This Row],[Risque]]*Base[[#This Row],['[SC']Patients_en_emploi]]</f>
        <v>294187.99806114007</v>
      </c>
      <c r="AG70" s="4">
        <v>756671404.20000005</v>
      </c>
      <c r="AH70" s="4">
        <f>IFERROR(Base[[#This Row],['[SC']Prestations]]/Base[[#This Row],['[SC']Patients_en_emploi]],0)</f>
        <v>744.32308423258144</v>
      </c>
      <c r="AI70" s="4">
        <v>51.7</v>
      </c>
      <c r="AJ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218970918.06107646</v>
      </c>
      <c r="AK70" s="4">
        <f>Base[[#This Row],['[SC']'[Travail']Coûts_évités]]/Base[[#This Row],[Population_emploi]]</f>
        <v>7.9050872946236987</v>
      </c>
      <c r="AL70" s="4">
        <f>Base[[#This Row],[Coût_société]]*10^9*Base[[#This Row],[Risque]]*Base[[#This Row],[Prévalence]]*Base[[#This Row],[Part_coûts_salarié]]/Base[[#This Row],[Population_emploi]]</f>
        <v>3.154324815415166</v>
      </c>
      <c r="AM70" s="4">
        <f>IF(Base[[#This Row],[Pathologie]]&lt;&gt;"Dépendance",0,14909.24243952)</f>
        <v>0</v>
      </c>
      <c r="AN70" s="4">
        <f>IF(Base[[#This Row],[Pathologie]]&lt;&gt;"Dépendance",0,1316000)</f>
        <v>0</v>
      </c>
      <c r="AO70" s="4">
        <f>IF(Base[[#This Row],[Pathologie]]&lt;&gt;"Dépendance",0,Base[[#This Row],['[SC']Coût_personne_dépendante]]*Base[[#This Row],['[SC']Nb_personnes_dépendantes]])</f>
        <v>0</v>
      </c>
      <c r="AP70" s="4">
        <f>IF(Base[[#This Row],[Pathologie]]&lt;&gt;"Dépendance",0,Base[[#This Row],['[SC']Coût_total_dépendance]]/Base[[#This Row],[Population_totale]])</f>
        <v>0</v>
      </c>
      <c r="AQ70" s="4">
        <f>IF(Base[[#This Row],[Pathologie]]&lt;&gt;"Dépendance",0,4.5)</f>
        <v>0</v>
      </c>
      <c r="AR70" s="4">
        <v>0.50393265050357905</v>
      </c>
      <c r="AS70" s="4">
        <f>Base[[#This Row],[Espérance_vie]]+Base[[#This Row],['[SC']Hausse_esp_de_vie]]-Base[[#This Row],['[SC']Durée_moyenne_dépendance_avt]]+Base[[#This Row],[Risque]]</f>
        <v>83.090398780447259</v>
      </c>
      <c r="AT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0" s="4">
        <v>62.9</v>
      </c>
      <c r="AW70" s="4">
        <f t="shared" si="0"/>
        <v>336905600000</v>
      </c>
      <c r="AX70" s="4">
        <v>15049171</v>
      </c>
      <c r="AY70" s="4">
        <f>Base[[#This Row],['[SC']Budget_total_retraites]]/Base[[#This Row],['[SC']Nombre_de_retraités]]</f>
        <v>22386.987296509556</v>
      </c>
      <c r="AZ70" s="4">
        <f>Base[[#This Row],['[SC']Budget_par_retraité]]*Base[[#This Row],['[SC']Nb_personnes_dépendantes]]</f>
        <v>0</v>
      </c>
      <c r="BA70" s="4">
        <f>Base[[#This Row],['[SC']'[Dépendance']Coût_retraite_personnes_dépendantes]]/Base[[#This Row],[Population_totale]]</f>
        <v>0</v>
      </c>
      <c r="BB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0" s="4">
        <f>Base[[#This Row],['[SC']'[Dépendance']Gains]]-Base[[#This Row],['[SC']'[Dépendance']Coûts]]</f>
        <v>0</v>
      </c>
      <c r="BD70" s="4">
        <f>IF(Base[[#This Row],[Pathologie]]&lt;&gt;"Mort prématurée",0,Base[[#This Row],[Risque]]*Base[[#This Row],[Prévalence]]*Base[[#This Row],[Population_totale]])</f>
        <v>0</v>
      </c>
      <c r="BE70" s="4">
        <v>52.74</v>
      </c>
      <c r="BF70" s="4">
        <f>Base[[#This Row],['[SC']Âge_moyen_retraite]]-Base[[#This Row],['[SC']'[Mort_prématurée']Âge_moyen_mort précoce]]</f>
        <v>10.159999999999997</v>
      </c>
      <c r="BG70" s="4">
        <f>Base[[#This Row],[Espérance_vie]]+Base[[#This Row],['[SC']Hausse_esp_de_vie]]-Base[[#This Row],['[SC']Âge_moyen_retraite]]</f>
        <v>19.90101171382144</v>
      </c>
      <c r="BH70" s="4">
        <v>106583.42676924677</v>
      </c>
      <c r="BI70" s="4">
        <v>97601.789429271477</v>
      </c>
      <c r="BJ70" s="4">
        <v>302038.31496633729</v>
      </c>
      <c r="BK70" s="4">
        <v>117293.58934859755</v>
      </c>
      <c r="BL70" s="4">
        <v>1523999.9999999995</v>
      </c>
      <c r="BM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0" s="4">
        <v>294804.96027377353</v>
      </c>
      <c r="BO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0" s="4">
        <f>(Base[[#This Row],['[SC']'[Mort_prématurée']Gains]]-Base[[#This Row],['[SC']'[Mort_prématurée']Coûts]])/Base[[#This Row],[Population_totale]]</f>
        <v>0</v>
      </c>
      <c r="BQ70" s="4">
        <f>IF(Base[[#This Row],[Pathologie]]&lt;&gt;"Mort prématurée",0,Base[[#This Row],[Risque]])</f>
        <v>0</v>
      </c>
      <c r="BR70" s="4">
        <v>2680</v>
      </c>
      <c r="BS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4.1266463097159945E-3</v>
      </c>
      <c r="BT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70" s="4">
        <f>Base[[#This Row],[Prévalence_prod]]*(1-Base[[#This Row],[Risque]])*Base[[#This Row],[Durée_arrêt]]*Base[[#This Row],[Population_emploi]]</f>
        <v>7527673.4170274343</v>
      </c>
      <c r="BV70" s="4">
        <f>Base[[#This Row],['[Prod']'[Absentéisme']Total_jours_absence_avant]]-Base[[#This Row],['[Prod']'[Absentéisme']Total_jours_absence_après]]</f>
        <v>3065538.5321049951</v>
      </c>
      <c r="BW70" s="4">
        <f>IF(AND(Base[[#This Row],[Pathologie]]&lt;&gt;"Dépendance",Base[[#This Row],[Pathologie]]&lt;&gt;"Mort prématurée",Base[[#This Row],[Pathologie]]&lt;&gt;"Migraine"),0.0619,0)</f>
        <v>6.1899999999999997E-2</v>
      </c>
      <c r="BX70" s="4">
        <v>254</v>
      </c>
      <c r="BY7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70" s="4">
        <f>(Base[[#This Row],['[Prod']'[Absentéisme']Jours_théoriques]]-Base[[#This Row],['[Prod']'[Absentéisme']Total_jours_absence_évités]])/(Base[[#This Row],[Population_emploi]]*Base[[#This Row],['[Prod']Jours_ouvrés]])</f>
        <v>2.6712186938397499E-3</v>
      </c>
      <c r="CA70" s="4">
        <f>Base[[#This Row],[Prévalence_prod]]*Base[[#This Row],[Présentéisme]]*Base[[#This Row],['[Prod']Jours_ouvrés]]</f>
        <v>1.0626852000000002</v>
      </c>
      <c r="CB70" s="4">
        <f>Base[[#This Row],[Prévalence_prod]]*(1-Base[[#This Row],[Risque]])*Base[[#This Row],[Présentéisme]]*Base[[#This Row],['[Prod']Jours_ouvrés]]</f>
        <v>0.75515784722532964</v>
      </c>
      <c r="CC70" s="4">
        <f>Base[[#This Row],['[Prod']'[Présentéisme']Jours_avant]]-Base[[#This Row],['[Prod']'[Présentéisme']Jours_après]]</f>
        <v>0.30752735277467058</v>
      </c>
      <c r="CD70" s="4">
        <f>Base[[#This Row],['[Prod']'[Présentéisme']Jours_gagnés]]/Base[[#This Row],['[Prod']Jours_ouvrés]]</f>
        <v>1.2107376093490967E-3</v>
      </c>
      <c r="CE70">
        <v>5.8333039429220801E-2</v>
      </c>
      <c r="CF70">
        <v>1.4658164114728258E-2</v>
      </c>
      <c r="CG70" s="4">
        <v>11</v>
      </c>
      <c r="CH70" s="4">
        <v>0.85076983926913452</v>
      </c>
      <c r="CI70" s="4">
        <v>0</v>
      </c>
      <c r="CJ70" s="4">
        <f>IF(Base[[#This Row],[Secteur]]&lt;&gt;"Moyenne",Base[[#This Row],['[Prod']'[Turnover']DMC_initiale]]*(1+Base[[#This Row],['[Prod']'[Turnover']Ecart_accidents]]*Base[[#This Row],['[Prod']Impact_motifs_turnover]]),CJ53*CI53+CJ54*CI54+CJ55*CI55+CJ56*CI56+CJ57*CI57+CJ58*CI58+CJ59*CI59+CJ60*CI60+CJ61*CI61+CJ62*CI62+CJ63*CI63+CJ64*CI64+CJ65*CI65+CJ66*CI66+CJ67*CI67+CJ68*CI68+CJ69*CI69)</f>
        <v>11.137177963206547</v>
      </c>
      <c r="CK70" s="4">
        <f>1/Base[[#This Row],['[Prod']'[Turnover']DMC_initiale]]</f>
        <v>9.0909090909090912E-2</v>
      </c>
      <c r="CL70" s="4">
        <f>1/Base[[#This Row],['[Prod']'[Turnover']DMC_finale]]</f>
        <v>8.9789352680154741E-2</v>
      </c>
    </row>
    <row r="71" spans="2:90" x14ac:dyDescent="0.25">
      <c r="B71" s="4" t="s">
        <v>315</v>
      </c>
      <c r="C71">
        <v>7.5</v>
      </c>
      <c r="D71" t="s">
        <v>84</v>
      </c>
      <c r="E71" t="s">
        <v>5</v>
      </c>
      <c r="F71" s="3">
        <v>0.21454558387776099</v>
      </c>
      <c r="G71" s="3">
        <v>6.593568911523901E-4</v>
      </c>
      <c r="H71" s="3">
        <v>6.593568911523901E-4</v>
      </c>
      <c r="I71" s="3">
        <v>0</v>
      </c>
      <c r="J71" s="3">
        <v>4.7304000000000004</v>
      </c>
      <c r="K71" s="3">
        <v>7.0000000000000007E-2</v>
      </c>
      <c r="L71" s="2">
        <f>Base[[#This Row],[Coût]]*Base[[#This Row],[Part_ménages_dépenses_santé]]</f>
        <v>0.33112800000000003</v>
      </c>
      <c r="M71" s="2">
        <v>1</v>
      </c>
      <c r="N71" s="6">
        <v>27700000</v>
      </c>
      <c r="O71" s="7">
        <f>Base[[#This Row],[Coût_salarié]]*10^9*Base[[#This Row],[Risque]]*Base[[#This Row],[Prévalence]]*Base[[#This Row],[Part_coûts_salarié]]/Base[[#This Row],[Population_emploi]]</f>
        <v>1.6910492885881272E-3</v>
      </c>
      <c r="P71">
        <v>50</v>
      </c>
      <c r="Q71">
        <v>50</v>
      </c>
      <c r="R71" s="2">
        <v>9.9999999999999978E-2</v>
      </c>
      <c r="S71" s="2">
        <v>0.33340000000000003</v>
      </c>
      <c r="T71" s="4">
        <v>6.593568911523901E-4</v>
      </c>
      <c r="U71" s="4">
        <f>IF(Bases_annexes!$F$5=0,16.6587111018772,0.77*Bases_annexes!$F$5/(IF(OR(ISBLANK('Données_d''entrée'!$E$44),'Données_d''entrée'!$E$44=0),35,'Données_d''entrée'!$E$44)*52))</f>
        <v>16.658711101877199</v>
      </c>
      <c r="V71" s="4">
        <v>45.453421187287603</v>
      </c>
      <c r="W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1" s="4">
        <v>234.5</v>
      </c>
      <c r="Y71" s="4">
        <f>(Base[[#This Row],['[Maladies']Coûts_évités_par_salarié]]+Base[[#This Row],['[Travail']Coûts_évités_par_salarié]])/Base[[#This Row],[Budget_santé_salarié]]</f>
        <v>5.16888978556442E-4</v>
      </c>
      <c r="Z71" s="4">
        <v>0.8</v>
      </c>
      <c r="AA71" s="4">
        <f>Base[[#This Row],[Coût]]*Base[[#This Row],[Part_société_dépenses_santé]]</f>
        <v>3.7843200000000006</v>
      </c>
      <c r="AB71" s="4">
        <v>67635124</v>
      </c>
      <c r="AC71" s="4">
        <v>82.297079063317852</v>
      </c>
      <c r="AD71" s="4">
        <v>6.593568911523901E-4</v>
      </c>
      <c r="AE71" s="4">
        <f>Base[[#This Row],['[SC']Prévalence_travail]]*Base[[#This Row],[Population_emploi]]</f>
        <v>18264.185884921208</v>
      </c>
      <c r="AF71" s="4">
        <f>Base[[#This Row],[Risque]]*Base[[#This Row],['[SC']Patients_en_emploi]]</f>
        <v>3918.5004247323814</v>
      </c>
      <c r="AG71" s="4">
        <v>60180000</v>
      </c>
      <c r="AH71" s="4">
        <f>IFERROR(Base[[#This Row],['[SC']Prestations]]/Base[[#This Row],['[SC']Patients_en_emploi]],0)</f>
        <v>3294.9730351619019</v>
      </c>
      <c r="AI71" s="4">
        <v>51.7</v>
      </c>
      <c r="AJ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1" s="4">
        <f>Base[[#This Row],['[SC']'[Travail']Coûts_évités]]/Base[[#This Row],[Population_emploi]]</f>
        <v>0.46611383529832695</v>
      </c>
      <c r="AL71" s="4">
        <f>Base[[#This Row],[Coût_société]]*10^9*Base[[#This Row],[Risque]]*Base[[#This Row],[Prévalence]]*Base[[#This Row],[Part_coûts_salarié]]/Base[[#This Row],[Population_emploi]]</f>
        <v>1.9326277583864307E-2</v>
      </c>
      <c r="AM71" s="4">
        <f>IF(Base[[#This Row],[Pathologie]]&lt;&gt;"Dépendance",0,14909.24243952)</f>
        <v>0</v>
      </c>
      <c r="AN71" s="4">
        <f>IF(Base[[#This Row],[Pathologie]]&lt;&gt;"Dépendance",0,1316000)</f>
        <v>0</v>
      </c>
      <c r="AO71" s="4">
        <f>IF(Base[[#This Row],[Pathologie]]&lt;&gt;"Dépendance",0,Base[[#This Row],['[SC']Coût_personne_dépendante]]*Base[[#This Row],['[SC']Nb_personnes_dépendantes]])</f>
        <v>0</v>
      </c>
      <c r="AP71" s="4">
        <f>IF(Base[[#This Row],[Pathologie]]&lt;&gt;"Dépendance",0,Base[[#This Row],['[SC']Coût_total_dépendance]]/Base[[#This Row],[Population_totale]])</f>
        <v>0</v>
      </c>
      <c r="AQ71" s="4">
        <f>IF(Base[[#This Row],[Pathologie]]&lt;&gt;"Dépendance",0,4.5)</f>
        <v>0</v>
      </c>
      <c r="AR71" s="4">
        <v>0.50393265050357905</v>
      </c>
      <c r="AS71" s="4">
        <f>Base[[#This Row],[Espérance_vie]]+Base[[#This Row],['[SC']Hausse_esp_de_vie]]-Base[[#This Row],['[SC']Durée_moyenne_dépendance_avt]]+Base[[#This Row],[Risque]]</f>
        <v>83.015557297699203</v>
      </c>
      <c r="AT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1" s="4">
        <v>62.9</v>
      </c>
      <c r="AW71" s="4">
        <f t="shared" si="0"/>
        <v>336905600000</v>
      </c>
      <c r="AX71" s="4">
        <v>15049171</v>
      </c>
      <c r="AY71" s="4">
        <f>Base[[#This Row],['[SC']Budget_total_retraites]]/Base[[#This Row],['[SC']Nombre_de_retraités]]</f>
        <v>22386.987296509556</v>
      </c>
      <c r="AZ71" s="4">
        <f>Base[[#This Row],['[SC']Budget_par_retraité]]*Base[[#This Row],['[SC']Nb_personnes_dépendantes]]</f>
        <v>0</v>
      </c>
      <c r="BA71" s="4">
        <f>Base[[#This Row],['[SC']'[Dépendance']Coût_retraite_personnes_dépendantes]]/Base[[#This Row],[Population_totale]]</f>
        <v>0</v>
      </c>
      <c r="BB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1" s="4">
        <f>Base[[#This Row],['[SC']'[Dépendance']Gains]]-Base[[#This Row],['[SC']'[Dépendance']Coûts]]</f>
        <v>0</v>
      </c>
      <c r="BD71" s="4">
        <f>IF(Base[[#This Row],[Pathologie]]&lt;&gt;"Mort prématurée",0,Base[[#This Row],[Risque]]*Base[[#This Row],[Prévalence]]*Base[[#This Row],[Population_totale]])</f>
        <v>0</v>
      </c>
      <c r="BE71" s="4">
        <v>52.74</v>
      </c>
      <c r="BF71" s="4">
        <f>Base[[#This Row],['[SC']Âge_moyen_retraite]]-Base[[#This Row],['[SC']'[Mort_prématurée']Âge_moyen_mort précoce]]</f>
        <v>10.159999999999997</v>
      </c>
      <c r="BG71" s="4">
        <f>Base[[#This Row],[Espérance_vie]]+Base[[#This Row],['[SC']Hausse_esp_de_vie]]-Base[[#This Row],['[SC']Âge_moyen_retraite]]</f>
        <v>19.90101171382144</v>
      </c>
      <c r="BH71" s="4">
        <v>106583.42676924677</v>
      </c>
      <c r="BI71" s="4">
        <v>97601.789429271477</v>
      </c>
      <c r="BJ71" s="4">
        <v>302038.31496633729</v>
      </c>
      <c r="BK71" s="4">
        <v>117293.58934859755</v>
      </c>
      <c r="BL71" s="4">
        <v>1523999.9999999995</v>
      </c>
      <c r="BM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1" s="4">
        <v>294804.96027377353</v>
      </c>
      <c r="BO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1" s="4">
        <f>(Base[[#This Row],['[SC']'[Mort_prématurée']Gains]]-Base[[#This Row],['[SC']'[Mort_prématurée']Coûts]])/Base[[#This Row],[Population_totale]]</f>
        <v>0</v>
      </c>
      <c r="BQ71" s="4">
        <f>IF(Base[[#This Row],[Pathologie]]&lt;&gt;"Mort prématurée",0,Base[[#This Row],[Risque]])</f>
        <v>0</v>
      </c>
      <c r="BR71" s="4">
        <v>2680</v>
      </c>
      <c r="BS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1" s="4">
        <f>Base[[#This Row],[Prévalence_prod]]*(1-Base[[#This Row],[Risque]])*Base[[#This Row],[Durée_arrêt]]*Base[[#This Row],[Population_emploi]]</f>
        <v>652060.48344231036</v>
      </c>
      <c r="BV71" s="4">
        <f>Base[[#This Row],['[Prod']'[Absentéisme']Total_jours_absence_avant]]-Base[[#This Row],['[Prod']'[Absentéisme']Total_jours_absence_après]]</f>
        <v>178109.2502279263</v>
      </c>
      <c r="BW71" s="4">
        <f>IF(AND(Base[[#This Row],[Pathologie]]&lt;&gt;"Dépendance",Base[[#This Row],[Pathologie]]&lt;&gt;"Mort prématurée",Base[[#This Row],[Pathologie]]&lt;&gt;"Migraine"),0.0619,0)</f>
        <v>6.1899999999999997E-2</v>
      </c>
      <c r="BX71" s="4">
        <v>254</v>
      </c>
      <c r="BY71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1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1" s="4">
        <f>Base[[#This Row],[Prévalence_prod]]*Base[[#This Row],[Présentéisme]]*Base[[#This Row],['[Prod']Jours_ouvrés]]</f>
        <v>0</v>
      </c>
      <c r="CB71" s="4">
        <f>Base[[#This Row],[Prévalence_prod]]*(1-Base[[#This Row],[Risque]])*Base[[#This Row],[Présentéisme]]*Base[[#This Row],['[Prod']Jours_ouvrés]]</f>
        <v>0</v>
      </c>
      <c r="CC71" s="4">
        <f>Base[[#This Row],['[Prod']'[Présentéisme']Jours_avant]]-Base[[#This Row],['[Prod']'[Présentéisme']Jours_après]]</f>
        <v>0</v>
      </c>
      <c r="CD71" s="4">
        <f>Base[[#This Row],['[Prod']'[Présentéisme']Jours_gagnés]]/Base[[#This Row],['[Prod']Jours_ouvrés]]</f>
        <v>0</v>
      </c>
      <c r="CE71">
        <v>5.8333039429220801E-2</v>
      </c>
      <c r="CF71">
        <v>1.4658164114728258E-2</v>
      </c>
      <c r="CG71" s="4">
        <v>11</v>
      </c>
      <c r="CH71" s="4">
        <v>1.3966184516047948</v>
      </c>
      <c r="CI71" s="4">
        <v>1.4392894727292521E-2</v>
      </c>
      <c r="CJ71" s="4">
        <f>IF(Base[[#This Row],[Secteur]]&lt;&gt;"Moyenne",Base[[#This Row],['[Prod']'[Turnover']DMC_initiale]]*(1+Base[[#This Row],['[Prod']'[Turnover']Ecart_accidents]]*Base[[#This Row],['[Prod']Impact_motifs_turnover]]),CJ54*CI54+CJ55*CI55+CJ56*CI56+CJ57*CI57+CJ58*CI58+CJ59*CI59+CJ60*CI60+CJ61*CI61+CJ62*CI62+CJ63*CI63+CJ64*CI64+CJ65*CI65+CJ66*CI66+CJ67*CI67+CJ68*CI68+CJ69*CI69+CJ70*CI70)</f>
        <v>11.225190487162088</v>
      </c>
      <c r="CK71" s="4">
        <f>1/Base[[#This Row],['[Prod']'[Turnover']DMC_initiale]]</f>
        <v>9.0909090909090912E-2</v>
      </c>
      <c r="CL71" s="4">
        <f>1/Base[[#This Row],['[Prod']'[Turnover']DMC_finale]]</f>
        <v>8.9085347918475846E-2</v>
      </c>
    </row>
    <row r="72" spans="2:90" x14ac:dyDescent="0.25">
      <c r="B72" s="4" t="s">
        <v>316</v>
      </c>
      <c r="C72">
        <v>7.5</v>
      </c>
      <c r="D72" t="s">
        <v>84</v>
      </c>
      <c r="E72" t="s">
        <v>5</v>
      </c>
      <c r="F72" s="3">
        <v>0.21454558387776099</v>
      </c>
      <c r="G72" s="3">
        <v>6.593568911523901E-4</v>
      </c>
      <c r="H72" s="3">
        <v>6.593568911523901E-4</v>
      </c>
      <c r="I72" s="3">
        <v>0</v>
      </c>
      <c r="J72" s="3">
        <v>4.7304000000000004</v>
      </c>
      <c r="K72" s="3">
        <v>7.0000000000000007E-2</v>
      </c>
      <c r="L72" s="2">
        <f>Base[[#This Row],[Coût]]*Base[[#This Row],[Part_ménages_dépenses_santé]]</f>
        <v>0.33112800000000003</v>
      </c>
      <c r="M72" s="2">
        <v>1</v>
      </c>
      <c r="N72" s="6">
        <v>27700000</v>
      </c>
      <c r="O72" s="7">
        <f>Base[[#This Row],[Coût_salarié]]*10^9*Base[[#This Row],[Risque]]*Base[[#This Row],[Prévalence]]*Base[[#This Row],[Part_coûts_salarié]]/Base[[#This Row],[Population_emploi]]</f>
        <v>1.6910492885881272E-3</v>
      </c>
      <c r="P72">
        <v>50</v>
      </c>
      <c r="Q72">
        <v>50</v>
      </c>
      <c r="R72" s="2">
        <v>9.9999999999999978E-2</v>
      </c>
      <c r="S72" s="2">
        <v>0.33340000000000003</v>
      </c>
      <c r="T72" s="4">
        <v>6.593568911523901E-4</v>
      </c>
      <c r="U72" s="4">
        <f>IF(Bases_annexes!$F$5=0,16.6587111018772,0.77*Bases_annexes!$F$5/(IF(OR(ISBLANK('Données_d''entrée'!$E$44),'Données_d''entrée'!$E$44=0),35,'Données_d''entrée'!$E$44)*52))</f>
        <v>16.658711101877199</v>
      </c>
      <c r="V72" s="4">
        <v>45.453421187287603</v>
      </c>
      <c r="W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2" s="4">
        <v>234.5</v>
      </c>
      <c r="Y72" s="4">
        <f>(Base[[#This Row],['[Maladies']Coûts_évités_par_salarié]]+Base[[#This Row],['[Travail']Coûts_évités_par_salarié]])/Base[[#This Row],[Budget_santé_salarié]]</f>
        <v>5.16888978556442E-4</v>
      </c>
      <c r="Z72" s="4">
        <v>0.8</v>
      </c>
      <c r="AA72" s="4">
        <f>Base[[#This Row],[Coût]]*Base[[#This Row],[Part_société_dépenses_santé]]</f>
        <v>3.7843200000000006</v>
      </c>
      <c r="AB72" s="4">
        <v>67635124</v>
      </c>
      <c r="AC72" s="4">
        <v>82.297079063317852</v>
      </c>
      <c r="AD72" s="4">
        <v>6.593568911523901E-4</v>
      </c>
      <c r="AE72" s="4">
        <f>Base[[#This Row],['[SC']Prévalence_travail]]*Base[[#This Row],[Population_emploi]]</f>
        <v>18264.185884921208</v>
      </c>
      <c r="AF72" s="4">
        <f>Base[[#This Row],[Risque]]*Base[[#This Row],['[SC']Patients_en_emploi]]</f>
        <v>3918.5004247323814</v>
      </c>
      <c r="AG72" s="4">
        <v>60180000</v>
      </c>
      <c r="AH72" s="4">
        <f>IFERROR(Base[[#This Row],['[SC']Prestations]]/Base[[#This Row],['[SC']Patients_en_emploi]],0)</f>
        <v>3294.9730351619019</v>
      </c>
      <c r="AI72" s="4">
        <v>51.7</v>
      </c>
      <c r="AJ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2" s="4">
        <f>Base[[#This Row],['[SC']'[Travail']Coûts_évités]]/Base[[#This Row],[Population_emploi]]</f>
        <v>0.46611383529832695</v>
      </c>
      <c r="AL72" s="4">
        <f>Base[[#This Row],[Coût_société]]*10^9*Base[[#This Row],[Risque]]*Base[[#This Row],[Prévalence]]*Base[[#This Row],[Part_coûts_salarié]]/Base[[#This Row],[Population_emploi]]</f>
        <v>1.9326277583864307E-2</v>
      </c>
      <c r="AM72" s="4">
        <f>IF(Base[[#This Row],[Pathologie]]&lt;&gt;"Dépendance",0,14909.24243952)</f>
        <v>0</v>
      </c>
      <c r="AN72" s="4">
        <f>IF(Base[[#This Row],[Pathologie]]&lt;&gt;"Dépendance",0,1316000)</f>
        <v>0</v>
      </c>
      <c r="AO72" s="4">
        <f>IF(Base[[#This Row],[Pathologie]]&lt;&gt;"Dépendance",0,Base[[#This Row],['[SC']Coût_personne_dépendante]]*Base[[#This Row],['[SC']Nb_personnes_dépendantes]])</f>
        <v>0</v>
      </c>
      <c r="AP72" s="4">
        <f>IF(Base[[#This Row],[Pathologie]]&lt;&gt;"Dépendance",0,Base[[#This Row],['[SC']Coût_total_dépendance]]/Base[[#This Row],[Population_totale]])</f>
        <v>0</v>
      </c>
      <c r="AQ72" s="4">
        <f>IF(Base[[#This Row],[Pathologie]]&lt;&gt;"Dépendance",0,4.5)</f>
        <v>0</v>
      </c>
      <c r="AR72" s="4">
        <v>0.50393265050357905</v>
      </c>
      <c r="AS72" s="4">
        <f>Base[[#This Row],[Espérance_vie]]+Base[[#This Row],['[SC']Hausse_esp_de_vie]]-Base[[#This Row],['[SC']Durée_moyenne_dépendance_avt]]+Base[[#This Row],[Risque]]</f>
        <v>83.015557297699203</v>
      </c>
      <c r="AT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2" s="4">
        <v>62.9</v>
      </c>
      <c r="AW72" s="4">
        <f t="shared" si="0"/>
        <v>336905600000</v>
      </c>
      <c r="AX72" s="4">
        <v>15049171</v>
      </c>
      <c r="AY72" s="4">
        <f>Base[[#This Row],['[SC']Budget_total_retraites]]/Base[[#This Row],['[SC']Nombre_de_retraités]]</f>
        <v>22386.987296509556</v>
      </c>
      <c r="AZ72" s="4">
        <f>Base[[#This Row],['[SC']Budget_par_retraité]]*Base[[#This Row],['[SC']Nb_personnes_dépendantes]]</f>
        <v>0</v>
      </c>
      <c r="BA72" s="4">
        <f>Base[[#This Row],['[SC']'[Dépendance']Coût_retraite_personnes_dépendantes]]/Base[[#This Row],[Population_totale]]</f>
        <v>0</v>
      </c>
      <c r="BB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2" s="4">
        <f>Base[[#This Row],['[SC']'[Dépendance']Gains]]-Base[[#This Row],['[SC']'[Dépendance']Coûts]]</f>
        <v>0</v>
      </c>
      <c r="BD72" s="4">
        <f>IF(Base[[#This Row],[Pathologie]]&lt;&gt;"Mort prématurée",0,Base[[#This Row],[Risque]]*Base[[#This Row],[Prévalence]]*Base[[#This Row],[Population_totale]])</f>
        <v>0</v>
      </c>
      <c r="BE72" s="4">
        <v>52.74</v>
      </c>
      <c r="BF72" s="4">
        <f>Base[[#This Row],['[SC']Âge_moyen_retraite]]-Base[[#This Row],['[SC']'[Mort_prématurée']Âge_moyen_mort précoce]]</f>
        <v>10.159999999999997</v>
      </c>
      <c r="BG72" s="4">
        <f>Base[[#This Row],[Espérance_vie]]+Base[[#This Row],['[SC']Hausse_esp_de_vie]]-Base[[#This Row],['[SC']Âge_moyen_retraite]]</f>
        <v>19.90101171382144</v>
      </c>
      <c r="BH72" s="4">
        <v>106583.42676924677</v>
      </c>
      <c r="BI72" s="4">
        <v>97601.789429271477</v>
      </c>
      <c r="BJ72" s="4">
        <v>302038.31496633729</v>
      </c>
      <c r="BK72" s="4">
        <v>117293.58934859755</v>
      </c>
      <c r="BL72" s="4">
        <v>1523999.9999999995</v>
      </c>
      <c r="BM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2" s="4">
        <v>294804.96027377353</v>
      </c>
      <c r="BO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2" s="4">
        <f>(Base[[#This Row],['[SC']'[Mort_prématurée']Gains]]-Base[[#This Row],['[SC']'[Mort_prématurée']Coûts]])/Base[[#This Row],[Population_totale]]</f>
        <v>0</v>
      </c>
      <c r="BQ72" s="4">
        <f>IF(Base[[#This Row],[Pathologie]]&lt;&gt;"Mort prématurée",0,Base[[#This Row],[Risque]])</f>
        <v>0</v>
      </c>
      <c r="BR72" s="4">
        <v>2680</v>
      </c>
      <c r="BS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2" s="4">
        <f>Base[[#This Row],[Prévalence_prod]]*(1-Base[[#This Row],[Risque]])*Base[[#This Row],[Durée_arrêt]]*Base[[#This Row],[Population_emploi]]</f>
        <v>652060.48344231036</v>
      </c>
      <c r="BV72" s="4">
        <f>Base[[#This Row],['[Prod']'[Absentéisme']Total_jours_absence_avant]]-Base[[#This Row],['[Prod']'[Absentéisme']Total_jours_absence_après]]</f>
        <v>178109.2502279263</v>
      </c>
      <c r="BW72" s="4">
        <f>IF(AND(Base[[#This Row],[Pathologie]]&lt;&gt;"Dépendance",Base[[#This Row],[Pathologie]]&lt;&gt;"Mort prématurée",Base[[#This Row],[Pathologie]]&lt;&gt;"Migraine"),0.0619,0)</f>
        <v>6.1899999999999997E-2</v>
      </c>
      <c r="BX72" s="4">
        <v>254</v>
      </c>
      <c r="BY72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2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2" s="4">
        <f>Base[[#This Row],[Prévalence_prod]]*Base[[#This Row],[Présentéisme]]*Base[[#This Row],['[Prod']Jours_ouvrés]]</f>
        <v>0</v>
      </c>
      <c r="CB72" s="4">
        <f>Base[[#This Row],[Prévalence_prod]]*(1-Base[[#This Row],[Risque]])*Base[[#This Row],[Présentéisme]]*Base[[#This Row],['[Prod']Jours_ouvrés]]</f>
        <v>0</v>
      </c>
      <c r="CC72" s="4">
        <f>Base[[#This Row],['[Prod']'[Présentéisme']Jours_avant]]-Base[[#This Row],['[Prod']'[Présentéisme']Jours_après]]</f>
        <v>0</v>
      </c>
      <c r="CD72" s="4">
        <f>Base[[#This Row],['[Prod']'[Présentéisme']Jours_gagnés]]/Base[[#This Row],['[Prod']Jours_ouvrés]]</f>
        <v>0</v>
      </c>
      <c r="CE72">
        <v>5.8333039429220801E-2</v>
      </c>
      <c r="CF72">
        <v>1.4658164114728258E-2</v>
      </c>
      <c r="CG72" s="4">
        <v>11</v>
      </c>
      <c r="CH72" s="4">
        <v>0.68054183762612652</v>
      </c>
      <c r="CI72" s="4">
        <v>1.2135452577082654E-2</v>
      </c>
      <c r="CJ72" s="4">
        <f>IF(Base[[#This Row],[Secteur]]&lt;&gt;"Moyenne",Base[[#This Row],['[Prod']'[Turnover']DMC_initiale]]*(1+Base[[#This Row],['[Prod']'[Turnover']Ecart_accidents]]*Base[[#This Row],['[Prod']Impact_motifs_turnover]]),CJ55*CI55+CJ56*CI56+CJ57*CI57+CJ58*CI58+CJ59*CI59+CJ60*CI60+CJ61*CI61+CJ62*CI62+CJ63*CI63+CJ64*CI64+CJ65*CI65+CJ66*CI66+CJ67*CI67+CJ68*CI68+CJ69*CI69+CJ70*CI70+CJ71*CI71)</f>
        <v>11.109730433371487</v>
      </c>
      <c r="CK72" s="4">
        <f>1/Base[[#This Row],['[Prod']'[Turnover']DMC_initiale]]</f>
        <v>9.0909090909090912E-2</v>
      </c>
      <c r="CL72" s="4">
        <f>1/Base[[#This Row],['[Prod']'[Turnover']DMC_finale]]</f>
        <v>9.001118487953523E-2</v>
      </c>
    </row>
    <row r="73" spans="2:90" x14ac:dyDescent="0.25">
      <c r="B73" s="4" t="s">
        <v>317</v>
      </c>
      <c r="C73">
        <v>7.5</v>
      </c>
      <c r="D73" t="s">
        <v>84</v>
      </c>
      <c r="E73" t="s">
        <v>5</v>
      </c>
      <c r="F73" s="3">
        <v>0.21454558387776099</v>
      </c>
      <c r="G73" s="3">
        <v>6.593568911523901E-4</v>
      </c>
      <c r="H73" s="3">
        <v>6.593568911523901E-4</v>
      </c>
      <c r="I73" s="3">
        <v>0</v>
      </c>
      <c r="J73" s="3">
        <v>4.7304000000000004</v>
      </c>
      <c r="K73" s="3">
        <v>7.0000000000000007E-2</v>
      </c>
      <c r="L73" s="2">
        <f>Base[[#This Row],[Coût]]*Base[[#This Row],[Part_ménages_dépenses_santé]]</f>
        <v>0.33112800000000003</v>
      </c>
      <c r="M73" s="2">
        <v>1</v>
      </c>
      <c r="N73" s="6">
        <v>27700000</v>
      </c>
      <c r="O73" s="7">
        <f>Base[[#This Row],[Coût_salarié]]*10^9*Base[[#This Row],[Risque]]*Base[[#This Row],[Prévalence]]*Base[[#This Row],[Part_coûts_salarié]]/Base[[#This Row],[Population_emploi]]</f>
        <v>1.6910492885881272E-3</v>
      </c>
      <c r="P73">
        <v>50</v>
      </c>
      <c r="Q73">
        <v>50</v>
      </c>
      <c r="R73" s="2">
        <v>9.9999999999999978E-2</v>
      </c>
      <c r="S73" s="2">
        <v>0.33340000000000003</v>
      </c>
      <c r="T73" s="4">
        <v>6.593568911523901E-4</v>
      </c>
      <c r="U73" s="4">
        <f>IF(Bases_annexes!$F$5=0,16.6587111018772,0.77*Bases_annexes!$F$5/(IF(OR(ISBLANK('Données_d''entrée'!$E$44),'Données_d''entrée'!$E$44=0),35,'Données_d''entrée'!$E$44)*52))</f>
        <v>16.658711101877199</v>
      </c>
      <c r="V73" s="4">
        <v>45.453421187287603</v>
      </c>
      <c r="W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3" s="4">
        <v>234.5</v>
      </c>
      <c r="Y73" s="4">
        <f>(Base[[#This Row],['[Maladies']Coûts_évités_par_salarié]]+Base[[#This Row],['[Travail']Coûts_évités_par_salarié]])/Base[[#This Row],[Budget_santé_salarié]]</f>
        <v>5.16888978556442E-4</v>
      </c>
      <c r="Z73" s="4">
        <v>0.8</v>
      </c>
      <c r="AA73" s="4">
        <f>Base[[#This Row],[Coût]]*Base[[#This Row],[Part_société_dépenses_santé]]</f>
        <v>3.7843200000000006</v>
      </c>
      <c r="AB73" s="4">
        <v>67635124</v>
      </c>
      <c r="AC73" s="4">
        <v>82.297079063317852</v>
      </c>
      <c r="AD73" s="4">
        <v>6.593568911523901E-4</v>
      </c>
      <c r="AE73" s="4">
        <f>Base[[#This Row],['[SC']Prévalence_travail]]*Base[[#This Row],[Population_emploi]]</f>
        <v>18264.185884921208</v>
      </c>
      <c r="AF73" s="4">
        <f>Base[[#This Row],[Risque]]*Base[[#This Row],['[SC']Patients_en_emploi]]</f>
        <v>3918.5004247323814</v>
      </c>
      <c r="AG73" s="4">
        <v>60180000</v>
      </c>
      <c r="AH73" s="4">
        <f>IFERROR(Base[[#This Row],['[SC']Prestations]]/Base[[#This Row],['[SC']Patients_en_emploi]],0)</f>
        <v>3294.9730351619019</v>
      </c>
      <c r="AI73" s="4">
        <v>51.7</v>
      </c>
      <c r="AJ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3" s="4">
        <f>Base[[#This Row],['[SC']'[Travail']Coûts_évités]]/Base[[#This Row],[Population_emploi]]</f>
        <v>0.46611383529832695</v>
      </c>
      <c r="AL73" s="4">
        <f>Base[[#This Row],[Coût_société]]*10^9*Base[[#This Row],[Risque]]*Base[[#This Row],[Prévalence]]*Base[[#This Row],[Part_coûts_salarié]]/Base[[#This Row],[Population_emploi]]</f>
        <v>1.9326277583864307E-2</v>
      </c>
      <c r="AM73" s="4">
        <f>IF(Base[[#This Row],[Pathologie]]&lt;&gt;"Dépendance",0,14909.24243952)</f>
        <v>0</v>
      </c>
      <c r="AN73" s="4">
        <f>IF(Base[[#This Row],[Pathologie]]&lt;&gt;"Dépendance",0,1316000)</f>
        <v>0</v>
      </c>
      <c r="AO73" s="4">
        <f>IF(Base[[#This Row],[Pathologie]]&lt;&gt;"Dépendance",0,Base[[#This Row],['[SC']Coût_personne_dépendante]]*Base[[#This Row],['[SC']Nb_personnes_dépendantes]])</f>
        <v>0</v>
      </c>
      <c r="AP73" s="4">
        <f>IF(Base[[#This Row],[Pathologie]]&lt;&gt;"Dépendance",0,Base[[#This Row],['[SC']Coût_total_dépendance]]/Base[[#This Row],[Population_totale]])</f>
        <v>0</v>
      </c>
      <c r="AQ73" s="4">
        <f>IF(Base[[#This Row],[Pathologie]]&lt;&gt;"Dépendance",0,4.5)</f>
        <v>0</v>
      </c>
      <c r="AR73" s="4">
        <v>0.50393265050357905</v>
      </c>
      <c r="AS73" s="4">
        <f>Base[[#This Row],[Espérance_vie]]+Base[[#This Row],['[SC']Hausse_esp_de_vie]]-Base[[#This Row],['[SC']Durée_moyenne_dépendance_avt]]+Base[[#This Row],[Risque]]</f>
        <v>83.015557297699203</v>
      </c>
      <c r="AT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3" s="4">
        <v>62.9</v>
      </c>
      <c r="AW73" s="4">
        <f t="shared" si="0"/>
        <v>336905600000</v>
      </c>
      <c r="AX73" s="4">
        <v>15049171</v>
      </c>
      <c r="AY73" s="4">
        <f>Base[[#This Row],['[SC']Budget_total_retraites]]/Base[[#This Row],['[SC']Nombre_de_retraités]]</f>
        <v>22386.987296509556</v>
      </c>
      <c r="AZ73" s="4">
        <f>Base[[#This Row],['[SC']Budget_par_retraité]]*Base[[#This Row],['[SC']Nb_personnes_dépendantes]]</f>
        <v>0</v>
      </c>
      <c r="BA73" s="4">
        <f>Base[[#This Row],['[SC']'[Dépendance']Coût_retraite_personnes_dépendantes]]/Base[[#This Row],[Population_totale]]</f>
        <v>0</v>
      </c>
      <c r="BB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3" s="4">
        <f>Base[[#This Row],['[SC']'[Dépendance']Gains]]-Base[[#This Row],['[SC']'[Dépendance']Coûts]]</f>
        <v>0</v>
      </c>
      <c r="BD73" s="4">
        <f>IF(Base[[#This Row],[Pathologie]]&lt;&gt;"Mort prématurée",0,Base[[#This Row],[Risque]]*Base[[#This Row],[Prévalence]]*Base[[#This Row],[Population_totale]])</f>
        <v>0</v>
      </c>
      <c r="BE73" s="4">
        <v>52.74</v>
      </c>
      <c r="BF73" s="4">
        <f>Base[[#This Row],['[SC']Âge_moyen_retraite]]-Base[[#This Row],['[SC']'[Mort_prématurée']Âge_moyen_mort précoce]]</f>
        <v>10.159999999999997</v>
      </c>
      <c r="BG73" s="4">
        <f>Base[[#This Row],[Espérance_vie]]+Base[[#This Row],['[SC']Hausse_esp_de_vie]]-Base[[#This Row],['[SC']Âge_moyen_retraite]]</f>
        <v>19.90101171382144</v>
      </c>
      <c r="BH73" s="4">
        <v>106583.42676924677</v>
      </c>
      <c r="BI73" s="4">
        <v>97601.789429271477</v>
      </c>
      <c r="BJ73" s="4">
        <v>302038.31496633729</v>
      </c>
      <c r="BK73" s="4">
        <v>117293.58934859755</v>
      </c>
      <c r="BL73" s="4">
        <v>1523999.9999999995</v>
      </c>
      <c r="BM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3" s="4">
        <v>294804.96027377353</v>
      </c>
      <c r="BO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3" s="4">
        <f>(Base[[#This Row],['[SC']'[Mort_prématurée']Gains]]-Base[[#This Row],['[SC']'[Mort_prématurée']Coûts]])/Base[[#This Row],[Population_totale]]</f>
        <v>0</v>
      </c>
      <c r="BQ73" s="4">
        <f>IF(Base[[#This Row],[Pathologie]]&lt;&gt;"Mort prématurée",0,Base[[#This Row],[Risque]])</f>
        <v>0</v>
      </c>
      <c r="BR73" s="4">
        <v>2680</v>
      </c>
      <c r="BS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3" s="4">
        <f>Base[[#This Row],[Prévalence_prod]]*(1-Base[[#This Row],[Risque]])*Base[[#This Row],[Durée_arrêt]]*Base[[#This Row],[Population_emploi]]</f>
        <v>652060.48344231036</v>
      </c>
      <c r="BV73" s="4">
        <f>Base[[#This Row],['[Prod']'[Absentéisme']Total_jours_absence_avant]]-Base[[#This Row],['[Prod']'[Absentéisme']Total_jours_absence_après]]</f>
        <v>178109.2502279263</v>
      </c>
      <c r="BW73" s="4">
        <f>IF(AND(Base[[#This Row],[Pathologie]]&lt;&gt;"Dépendance",Base[[#This Row],[Pathologie]]&lt;&gt;"Mort prématurée",Base[[#This Row],[Pathologie]]&lt;&gt;"Migraine"),0.0619,0)</f>
        <v>6.1899999999999997E-2</v>
      </c>
      <c r="BX73" s="4">
        <v>254</v>
      </c>
      <c r="BY7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3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3" s="4">
        <f>Base[[#This Row],[Prévalence_prod]]*Base[[#This Row],[Présentéisme]]*Base[[#This Row],['[Prod']Jours_ouvrés]]</f>
        <v>0</v>
      </c>
      <c r="CB73" s="4">
        <f>Base[[#This Row],[Prévalence_prod]]*(1-Base[[#This Row],[Risque]])*Base[[#This Row],[Présentéisme]]*Base[[#This Row],['[Prod']Jours_ouvrés]]</f>
        <v>0</v>
      </c>
      <c r="CC73" s="4">
        <f>Base[[#This Row],['[Prod']'[Présentéisme']Jours_avant]]-Base[[#This Row],['[Prod']'[Présentéisme']Jours_après]]</f>
        <v>0</v>
      </c>
      <c r="CD73" s="4">
        <f>Base[[#This Row],['[Prod']'[Présentéisme']Jours_gagnés]]/Base[[#This Row],['[Prod']Jours_ouvrés]]</f>
        <v>0</v>
      </c>
      <c r="CE73">
        <v>5.8333039429220801E-2</v>
      </c>
      <c r="CF73">
        <v>1.4658164114728258E-2</v>
      </c>
      <c r="CG73" s="4">
        <v>11</v>
      </c>
      <c r="CH73" s="4">
        <v>0.31563677172153043</v>
      </c>
      <c r="CI73" s="4">
        <v>1.3003350630813707E-4</v>
      </c>
      <c r="CJ73" s="4">
        <f>IF(Base[[#This Row],[Secteur]]&lt;&gt;"Moyenne",Base[[#This Row],['[Prod']'[Turnover']DMC_initiale]]*(1+Base[[#This Row],['[Prod']'[Turnover']Ecart_accidents]]*Base[[#This Row],['[Prod']Impact_motifs_turnover]]),CJ56*CI56+CJ57*CI57+CJ58*CI58+CJ59*CI59+CJ60*CI60+CJ61*CI61+CJ62*CI62+CJ63*CI63+CJ64*CI64+CJ65*CI65+CJ66*CI66+CJ67*CI67+CJ68*CI68+CJ69*CI69+CJ70*CI70+CJ71*CI71+CJ72*CI72)</f>
        <v>11.05089321160591</v>
      </c>
      <c r="CK73" s="4">
        <f>1/Base[[#This Row],['[Prod']'[Turnover']DMC_initiale]]</f>
        <v>9.0909090909090912E-2</v>
      </c>
      <c r="CL73" s="4">
        <f>1/Base[[#This Row],['[Prod']'[Turnover']DMC_finale]]</f>
        <v>9.0490422887244654E-2</v>
      </c>
    </row>
    <row r="74" spans="2:90" x14ac:dyDescent="0.25">
      <c r="B74" s="4" t="s">
        <v>318</v>
      </c>
      <c r="C74">
        <v>7.5</v>
      </c>
      <c r="D74" t="s">
        <v>84</v>
      </c>
      <c r="E74" t="s">
        <v>5</v>
      </c>
      <c r="F74" s="3">
        <v>0.21454558387776099</v>
      </c>
      <c r="G74" s="3">
        <v>6.593568911523901E-4</v>
      </c>
      <c r="H74" s="3">
        <v>6.593568911523901E-4</v>
      </c>
      <c r="I74" s="3">
        <v>0</v>
      </c>
      <c r="J74" s="3">
        <v>4.7304000000000004</v>
      </c>
      <c r="K74" s="3">
        <v>7.0000000000000007E-2</v>
      </c>
      <c r="L74" s="2">
        <f>Base[[#This Row],[Coût]]*Base[[#This Row],[Part_ménages_dépenses_santé]]</f>
        <v>0.33112800000000003</v>
      </c>
      <c r="M74" s="2">
        <v>1</v>
      </c>
      <c r="N74" s="6">
        <v>27700000</v>
      </c>
      <c r="O74" s="7">
        <f>Base[[#This Row],[Coût_salarié]]*10^9*Base[[#This Row],[Risque]]*Base[[#This Row],[Prévalence]]*Base[[#This Row],[Part_coûts_salarié]]/Base[[#This Row],[Population_emploi]]</f>
        <v>1.6910492885881272E-3</v>
      </c>
      <c r="P74">
        <v>50</v>
      </c>
      <c r="Q74">
        <v>50</v>
      </c>
      <c r="R74" s="2">
        <v>9.9999999999999978E-2</v>
      </c>
      <c r="S74" s="2">
        <v>0.33340000000000003</v>
      </c>
      <c r="T74" s="4">
        <v>6.593568911523901E-4</v>
      </c>
      <c r="U74" s="4">
        <f>IF(Bases_annexes!$F$5=0,16.6587111018772,0.77*Bases_annexes!$F$5/(IF(OR(ISBLANK('Données_d''entrée'!$E$44),'Données_d''entrée'!$E$44=0),35,'Données_d''entrée'!$E$44)*52))</f>
        <v>16.658711101877199</v>
      </c>
      <c r="V74" s="4">
        <v>45.453421187287603</v>
      </c>
      <c r="W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4" s="4">
        <v>234.5</v>
      </c>
      <c r="Y74" s="4">
        <f>(Base[[#This Row],['[Maladies']Coûts_évités_par_salarié]]+Base[[#This Row],['[Travail']Coûts_évités_par_salarié]])/Base[[#This Row],[Budget_santé_salarié]]</f>
        <v>5.16888978556442E-4</v>
      </c>
      <c r="Z74" s="4">
        <v>0.8</v>
      </c>
      <c r="AA74" s="4">
        <f>Base[[#This Row],[Coût]]*Base[[#This Row],[Part_société_dépenses_santé]]</f>
        <v>3.7843200000000006</v>
      </c>
      <c r="AB74" s="4">
        <v>67635124</v>
      </c>
      <c r="AC74" s="4">
        <v>82.297079063317852</v>
      </c>
      <c r="AD74" s="4">
        <v>6.593568911523901E-4</v>
      </c>
      <c r="AE74" s="4">
        <f>Base[[#This Row],['[SC']Prévalence_travail]]*Base[[#This Row],[Population_emploi]]</f>
        <v>18264.185884921208</v>
      </c>
      <c r="AF74" s="4">
        <f>Base[[#This Row],[Risque]]*Base[[#This Row],['[SC']Patients_en_emploi]]</f>
        <v>3918.5004247323814</v>
      </c>
      <c r="AG74" s="4">
        <v>60180000</v>
      </c>
      <c r="AH74" s="4">
        <f>IFERROR(Base[[#This Row],['[SC']Prestations]]/Base[[#This Row],['[SC']Patients_en_emploi]],0)</f>
        <v>3294.9730351619019</v>
      </c>
      <c r="AI74" s="4">
        <v>51.7</v>
      </c>
      <c r="AJ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4" s="4">
        <f>Base[[#This Row],['[SC']'[Travail']Coûts_évités]]/Base[[#This Row],[Population_emploi]]</f>
        <v>0.46611383529832695</v>
      </c>
      <c r="AL74" s="4">
        <f>Base[[#This Row],[Coût_société]]*10^9*Base[[#This Row],[Risque]]*Base[[#This Row],[Prévalence]]*Base[[#This Row],[Part_coûts_salarié]]/Base[[#This Row],[Population_emploi]]</f>
        <v>1.9326277583864307E-2</v>
      </c>
      <c r="AM74" s="4">
        <f>IF(Base[[#This Row],[Pathologie]]&lt;&gt;"Dépendance",0,14909.24243952)</f>
        <v>0</v>
      </c>
      <c r="AN74" s="4">
        <f>IF(Base[[#This Row],[Pathologie]]&lt;&gt;"Dépendance",0,1316000)</f>
        <v>0</v>
      </c>
      <c r="AO74" s="4">
        <f>IF(Base[[#This Row],[Pathologie]]&lt;&gt;"Dépendance",0,Base[[#This Row],['[SC']Coût_personne_dépendante]]*Base[[#This Row],['[SC']Nb_personnes_dépendantes]])</f>
        <v>0</v>
      </c>
      <c r="AP74" s="4">
        <f>IF(Base[[#This Row],[Pathologie]]&lt;&gt;"Dépendance",0,Base[[#This Row],['[SC']Coût_total_dépendance]]/Base[[#This Row],[Population_totale]])</f>
        <v>0</v>
      </c>
      <c r="AQ74" s="4">
        <f>IF(Base[[#This Row],[Pathologie]]&lt;&gt;"Dépendance",0,4.5)</f>
        <v>0</v>
      </c>
      <c r="AR74" s="4">
        <v>0.50393265050357905</v>
      </c>
      <c r="AS74" s="4">
        <f>Base[[#This Row],[Espérance_vie]]+Base[[#This Row],['[SC']Hausse_esp_de_vie]]-Base[[#This Row],['[SC']Durée_moyenne_dépendance_avt]]+Base[[#This Row],[Risque]]</f>
        <v>83.015557297699203</v>
      </c>
      <c r="AT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4" s="4">
        <v>62.9</v>
      </c>
      <c r="AW74" s="4">
        <f t="shared" si="0"/>
        <v>336905600000</v>
      </c>
      <c r="AX74" s="4">
        <v>15049171</v>
      </c>
      <c r="AY74" s="4">
        <f>Base[[#This Row],['[SC']Budget_total_retraites]]/Base[[#This Row],['[SC']Nombre_de_retraités]]</f>
        <v>22386.987296509556</v>
      </c>
      <c r="AZ74" s="4">
        <f>Base[[#This Row],['[SC']Budget_par_retraité]]*Base[[#This Row],['[SC']Nb_personnes_dépendantes]]</f>
        <v>0</v>
      </c>
      <c r="BA74" s="4">
        <f>Base[[#This Row],['[SC']'[Dépendance']Coût_retraite_personnes_dépendantes]]/Base[[#This Row],[Population_totale]]</f>
        <v>0</v>
      </c>
      <c r="BB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4" s="4">
        <f>Base[[#This Row],['[SC']'[Dépendance']Gains]]-Base[[#This Row],['[SC']'[Dépendance']Coûts]]</f>
        <v>0</v>
      </c>
      <c r="BD74" s="4">
        <f>IF(Base[[#This Row],[Pathologie]]&lt;&gt;"Mort prématurée",0,Base[[#This Row],[Risque]]*Base[[#This Row],[Prévalence]]*Base[[#This Row],[Population_totale]])</f>
        <v>0</v>
      </c>
      <c r="BE74" s="4">
        <v>52.74</v>
      </c>
      <c r="BF74" s="4">
        <f>Base[[#This Row],['[SC']Âge_moyen_retraite]]-Base[[#This Row],['[SC']'[Mort_prématurée']Âge_moyen_mort précoce]]</f>
        <v>10.159999999999997</v>
      </c>
      <c r="BG74" s="4">
        <f>Base[[#This Row],[Espérance_vie]]+Base[[#This Row],['[SC']Hausse_esp_de_vie]]-Base[[#This Row],['[SC']Âge_moyen_retraite]]</f>
        <v>19.90101171382144</v>
      </c>
      <c r="BH74" s="4">
        <v>106583.42676924677</v>
      </c>
      <c r="BI74" s="4">
        <v>97601.789429271477</v>
      </c>
      <c r="BJ74" s="4">
        <v>302038.31496633729</v>
      </c>
      <c r="BK74" s="4">
        <v>117293.58934859755</v>
      </c>
      <c r="BL74" s="4">
        <v>1523999.9999999995</v>
      </c>
      <c r="BM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4" s="4">
        <v>294804.96027377353</v>
      </c>
      <c r="BO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4" s="4">
        <f>(Base[[#This Row],['[SC']'[Mort_prématurée']Gains]]-Base[[#This Row],['[SC']'[Mort_prématurée']Coûts]])/Base[[#This Row],[Population_totale]]</f>
        <v>0</v>
      </c>
      <c r="BQ74" s="4">
        <f>IF(Base[[#This Row],[Pathologie]]&lt;&gt;"Mort prématurée",0,Base[[#This Row],[Risque]])</f>
        <v>0</v>
      </c>
      <c r="BR74" s="4">
        <v>2680</v>
      </c>
      <c r="BS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4" s="4">
        <f>Base[[#This Row],[Prévalence_prod]]*(1-Base[[#This Row],[Risque]])*Base[[#This Row],[Durée_arrêt]]*Base[[#This Row],[Population_emploi]]</f>
        <v>652060.48344231036</v>
      </c>
      <c r="BV74" s="4">
        <f>Base[[#This Row],['[Prod']'[Absentéisme']Total_jours_absence_avant]]-Base[[#This Row],['[Prod']'[Absentéisme']Total_jours_absence_après]]</f>
        <v>178109.2502279263</v>
      </c>
      <c r="BW74" s="4">
        <f>IF(AND(Base[[#This Row],[Pathologie]]&lt;&gt;"Dépendance",Base[[#This Row],[Pathologie]]&lt;&gt;"Mort prématurée",Base[[#This Row],[Pathologie]]&lt;&gt;"Migraine"),0.0619,0)</f>
        <v>6.1899999999999997E-2</v>
      </c>
      <c r="BX74" s="4">
        <v>254</v>
      </c>
      <c r="BY7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4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4" s="4">
        <f>Base[[#This Row],[Prévalence_prod]]*Base[[#This Row],[Présentéisme]]*Base[[#This Row],['[Prod']Jours_ouvrés]]</f>
        <v>0</v>
      </c>
      <c r="CB74" s="4">
        <f>Base[[#This Row],[Prévalence_prod]]*(1-Base[[#This Row],[Risque]])*Base[[#This Row],[Présentéisme]]*Base[[#This Row],['[Prod']Jours_ouvrés]]</f>
        <v>0</v>
      </c>
      <c r="CC74" s="4">
        <f>Base[[#This Row],['[Prod']'[Présentéisme']Jours_avant]]-Base[[#This Row],['[Prod']'[Présentéisme']Jours_après]]</f>
        <v>0</v>
      </c>
      <c r="CD74" s="4">
        <f>Base[[#This Row],['[Prod']'[Présentéisme']Jours_gagnés]]/Base[[#This Row],['[Prod']Jours_ouvrés]]</f>
        <v>0</v>
      </c>
      <c r="CE74">
        <v>5.8333039429220801E-2</v>
      </c>
      <c r="CF74">
        <v>1.4658164114728258E-2</v>
      </c>
      <c r="CG74" s="4">
        <v>11</v>
      </c>
      <c r="CH74" s="4">
        <v>1.1688035738877327</v>
      </c>
      <c r="CI74" s="4">
        <v>9.6557438521367826E-3</v>
      </c>
      <c r="CJ74" s="4">
        <f>IF(Base[[#This Row],[Secteur]]&lt;&gt;"Moyenne",Base[[#This Row],['[Prod']'[Turnover']DMC_initiale]]*(1+Base[[#This Row],['[Prod']'[Turnover']Ecart_accidents]]*Base[[#This Row],['[Prod']Impact_motifs_turnover]]),CJ57*CI57+CJ58*CI58+CJ59*CI59+CJ60*CI60+CJ61*CI61+CJ62*CI62+CJ63*CI63+CJ64*CI64+CJ65*CI65+CJ66*CI66+CJ67*CI67+CJ68*CI68+CJ69*CI69+CJ70*CI70+CJ71*CI71+CJ72*CI72+CJ73*CI73)</f>
        <v>11.188457660643202</v>
      </c>
      <c r="CK74" s="4">
        <f>1/Base[[#This Row],['[Prod']'[Turnover']DMC_initiale]]</f>
        <v>9.0909090909090912E-2</v>
      </c>
      <c r="CL74" s="4">
        <f>1/Base[[#This Row],['[Prod']'[Turnover']DMC_finale]]</f>
        <v>8.9377824033568531E-2</v>
      </c>
    </row>
    <row r="75" spans="2:90" x14ac:dyDescent="0.25">
      <c r="B75" s="4" t="s">
        <v>319</v>
      </c>
      <c r="C75">
        <v>7.5</v>
      </c>
      <c r="D75" t="s">
        <v>84</v>
      </c>
      <c r="E75" t="s">
        <v>5</v>
      </c>
      <c r="F75" s="3">
        <v>0.21454558387776099</v>
      </c>
      <c r="G75" s="3">
        <v>6.593568911523901E-4</v>
      </c>
      <c r="H75" s="3">
        <v>6.593568911523901E-4</v>
      </c>
      <c r="I75" s="3">
        <v>0</v>
      </c>
      <c r="J75" s="3">
        <v>4.7304000000000004</v>
      </c>
      <c r="K75" s="3">
        <v>7.0000000000000007E-2</v>
      </c>
      <c r="L75" s="2">
        <f>Base[[#This Row],[Coût]]*Base[[#This Row],[Part_ménages_dépenses_santé]]</f>
        <v>0.33112800000000003</v>
      </c>
      <c r="M75" s="2">
        <v>1</v>
      </c>
      <c r="N75" s="6">
        <v>27700000</v>
      </c>
      <c r="O75" s="7">
        <f>Base[[#This Row],[Coût_salarié]]*10^9*Base[[#This Row],[Risque]]*Base[[#This Row],[Prévalence]]*Base[[#This Row],[Part_coûts_salarié]]/Base[[#This Row],[Population_emploi]]</f>
        <v>1.6910492885881272E-3</v>
      </c>
      <c r="P75">
        <v>50</v>
      </c>
      <c r="Q75">
        <v>50</v>
      </c>
      <c r="R75" s="2">
        <v>9.9999999999999978E-2</v>
      </c>
      <c r="S75" s="2">
        <v>0.33340000000000003</v>
      </c>
      <c r="T75" s="4">
        <v>6.593568911523901E-4</v>
      </c>
      <c r="U75" s="4">
        <f>IF(Bases_annexes!$F$5=0,16.6587111018772,0.77*Bases_annexes!$F$5/(IF(OR(ISBLANK('Données_d''entrée'!$E$44),'Données_d''entrée'!$E$44=0),35,'Données_d''entrée'!$E$44)*52))</f>
        <v>16.658711101877199</v>
      </c>
      <c r="V75" s="4">
        <v>45.453421187287603</v>
      </c>
      <c r="W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5" s="4">
        <v>234.5</v>
      </c>
      <c r="Y75" s="4">
        <f>(Base[[#This Row],['[Maladies']Coûts_évités_par_salarié]]+Base[[#This Row],['[Travail']Coûts_évités_par_salarié]])/Base[[#This Row],[Budget_santé_salarié]]</f>
        <v>5.16888978556442E-4</v>
      </c>
      <c r="Z75" s="4">
        <v>0.8</v>
      </c>
      <c r="AA75" s="4">
        <f>Base[[#This Row],[Coût]]*Base[[#This Row],[Part_société_dépenses_santé]]</f>
        <v>3.7843200000000006</v>
      </c>
      <c r="AB75" s="4">
        <v>67635124</v>
      </c>
      <c r="AC75" s="4">
        <v>82.297079063317852</v>
      </c>
      <c r="AD75" s="4">
        <v>6.593568911523901E-4</v>
      </c>
      <c r="AE75" s="4">
        <f>Base[[#This Row],['[SC']Prévalence_travail]]*Base[[#This Row],[Population_emploi]]</f>
        <v>18264.185884921208</v>
      </c>
      <c r="AF75" s="4">
        <f>Base[[#This Row],[Risque]]*Base[[#This Row],['[SC']Patients_en_emploi]]</f>
        <v>3918.5004247323814</v>
      </c>
      <c r="AG75" s="4">
        <v>60180000</v>
      </c>
      <c r="AH75" s="4">
        <f>IFERROR(Base[[#This Row],['[SC']Prestations]]/Base[[#This Row],['[SC']Patients_en_emploi]],0)</f>
        <v>3294.9730351619019</v>
      </c>
      <c r="AI75" s="4">
        <v>51.7</v>
      </c>
      <c r="AJ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5" s="4">
        <f>Base[[#This Row],['[SC']'[Travail']Coûts_évités]]/Base[[#This Row],[Population_emploi]]</f>
        <v>0.46611383529832695</v>
      </c>
      <c r="AL75" s="4">
        <f>Base[[#This Row],[Coût_société]]*10^9*Base[[#This Row],[Risque]]*Base[[#This Row],[Prévalence]]*Base[[#This Row],[Part_coûts_salarié]]/Base[[#This Row],[Population_emploi]]</f>
        <v>1.9326277583864307E-2</v>
      </c>
      <c r="AM75" s="4">
        <f>IF(Base[[#This Row],[Pathologie]]&lt;&gt;"Dépendance",0,14909.24243952)</f>
        <v>0</v>
      </c>
      <c r="AN75" s="4">
        <f>IF(Base[[#This Row],[Pathologie]]&lt;&gt;"Dépendance",0,1316000)</f>
        <v>0</v>
      </c>
      <c r="AO75" s="4">
        <f>IF(Base[[#This Row],[Pathologie]]&lt;&gt;"Dépendance",0,Base[[#This Row],['[SC']Coût_personne_dépendante]]*Base[[#This Row],['[SC']Nb_personnes_dépendantes]])</f>
        <v>0</v>
      </c>
      <c r="AP75" s="4">
        <f>IF(Base[[#This Row],[Pathologie]]&lt;&gt;"Dépendance",0,Base[[#This Row],['[SC']Coût_total_dépendance]]/Base[[#This Row],[Population_totale]])</f>
        <v>0</v>
      </c>
      <c r="AQ75" s="4">
        <f>IF(Base[[#This Row],[Pathologie]]&lt;&gt;"Dépendance",0,4.5)</f>
        <v>0</v>
      </c>
      <c r="AR75" s="4">
        <v>0.50393265050357905</v>
      </c>
      <c r="AS75" s="4">
        <f>Base[[#This Row],[Espérance_vie]]+Base[[#This Row],['[SC']Hausse_esp_de_vie]]-Base[[#This Row],['[SC']Durée_moyenne_dépendance_avt]]+Base[[#This Row],[Risque]]</f>
        <v>83.015557297699203</v>
      </c>
      <c r="AT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5" s="4">
        <v>62.9</v>
      </c>
      <c r="AW75" s="4">
        <f t="shared" si="0"/>
        <v>336905600000</v>
      </c>
      <c r="AX75" s="4">
        <v>15049171</v>
      </c>
      <c r="AY75" s="4">
        <f>Base[[#This Row],['[SC']Budget_total_retraites]]/Base[[#This Row],['[SC']Nombre_de_retraités]]</f>
        <v>22386.987296509556</v>
      </c>
      <c r="AZ75" s="4">
        <f>Base[[#This Row],['[SC']Budget_par_retraité]]*Base[[#This Row],['[SC']Nb_personnes_dépendantes]]</f>
        <v>0</v>
      </c>
      <c r="BA75" s="4">
        <f>Base[[#This Row],['[SC']'[Dépendance']Coût_retraite_personnes_dépendantes]]/Base[[#This Row],[Population_totale]]</f>
        <v>0</v>
      </c>
      <c r="BB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5" s="4">
        <f>Base[[#This Row],['[SC']'[Dépendance']Gains]]-Base[[#This Row],['[SC']'[Dépendance']Coûts]]</f>
        <v>0</v>
      </c>
      <c r="BD75" s="4">
        <f>IF(Base[[#This Row],[Pathologie]]&lt;&gt;"Mort prématurée",0,Base[[#This Row],[Risque]]*Base[[#This Row],[Prévalence]]*Base[[#This Row],[Population_totale]])</f>
        <v>0</v>
      </c>
      <c r="BE75" s="4">
        <v>52.74</v>
      </c>
      <c r="BF75" s="4">
        <f>Base[[#This Row],['[SC']Âge_moyen_retraite]]-Base[[#This Row],['[SC']'[Mort_prématurée']Âge_moyen_mort précoce]]</f>
        <v>10.159999999999997</v>
      </c>
      <c r="BG75" s="4">
        <f>Base[[#This Row],[Espérance_vie]]+Base[[#This Row],['[SC']Hausse_esp_de_vie]]-Base[[#This Row],['[SC']Âge_moyen_retraite]]</f>
        <v>19.90101171382144</v>
      </c>
      <c r="BH75" s="4">
        <v>106583.42676924677</v>
      </c>
      <c r="BI75" s="4">
        <v>97601.789429271477</v>
      </c>
      <c r="BJ75" s="4">
        <v>302038.31496633729</v>
      </c>
      <c r="BK75" s="4">
        <v>117293.58934859755</v>
      </c>
      <c r="BL75" s="4">
        <v>1523999.9999999995</v>
      </c>
      <c r="BM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5" s="4">
        <v>294804.96027377353</v>
      </c>
      <c r="BO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5" s="4">
        <f>(Base[[#This Row],['[SC']'[Mort_prématurée']Gains]]-Base[[#This Row],['[SC']'[Mort_prématurée']Coûts]])/Base[[#This Row],[Population_totale]]</f>
        <v>0</v>
      </c>
      <c r="BQ75" s="4">
        <f>IF(Base[[#This Row],[Pathologie]]&lt;&gt;"Mort prématurée",0,Base[[#This Row],[Risque]])</f>
        <v>0</v>
      </c>
      <c r="BR75" s="4">
        <v>2680</v>
      </c>
      <c r="BS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5" s="4">
        <f>Base[[#This Row],[Prévalence_prod]]*(1-Base[[#This Row],[Risque]])*Base[[#This Row],[Durée_arrêt]]*Base[[#This Row],[Population_emploi]]</f>
        <v>652060.48344231036</v>
      </c>
      <c r="BV75" s="4">
        <f>Base[[#This Row],['[Prod']'[Absentéisme']Total_jours_absence_avant]]-Base[[#This Row],['[Prod']'[Absentéisme']Total_jours_absence_après]]</f>
        <v>178109.2502279263</v>
      </c>
      <c r="BW75" s="4">
        <f>IF(AND(Base[[#This Row],[Pathologie]]&lt;&gt;"Dépendance",Base[[#This Row],[Pathologie]]&lt;&gt;"Mort prématurée",Base[[#This Row],[Pathologie]]&lt;&gt;"Migraine"),0.0619,0)</f>
        <v>6.1899999999999997E-2</v>
      </c>
      <c r="BX75" s="4">
        <v>254</v>
      </c>
      <c r="BY75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5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5" s="4">
        <f>Base[[#This Row],[Prévalence_prod]]*Base[[#This Row],[Présentéisme]]*Base[[#This Row],['[Prod']Jours_ouvrés]]</f>
        <v>0</v>
      </c>
      <c r="CB75" s="4">
        <f>Base[[#This Row],[Prévalence_prod]]*(1-Base[[#This Row],[Risque]])*Base[[#This Row],[Présentéisme]]*Base[[#This Row],['[Prod']Jours_ouvrés]]</f>
        <v>0</v>
      </c>
      <c r="CC75" s="4">
        <f>Base[[#This Row],['[Prod']'[Présentéisme']Jours_avant]]-Base[[#This Row],['[Prod']'[Présentéisme']Jours_après]]</f>
        <v>0</v>
      </c>
      <c r="CD75" s="4">
        <f>Base[[#This Row],['[Prod']'[Présentéisme']Jours_gagnés]]/Base[[#This Row],['[Prod']Jours_ouvrés]]</f>
        <v>0</v>
      </c>
      <c r="CE75">
        <v>5.8333039429220801E-2</v>
      </c>
      <c r="CF75">
        <v>1.4658164114728258E-2</v>
      </c>
      <c r="CG75" s="4">
        <v>11</v>
      </c>
      <c r="CH75" s="4">
        <v>0.52204401140486179</v>
      </c>
      <c r="CI75" s="4">
        <v>1.2443904150185675E-2</v>
      </c>
      <c r="CJ75" s="4">
        <f>IF(Base[[#This Row],[Secteur]]&lt;&gt;"Moyenne",Base[[#This Row],['[Prod']'[Turnover']DMC_initiale]]*(1+Base[[#This Row],['[Prod']'[Turnover']Ecart_accidents]]*Base[[#This Row],['[Prod']Impact_motifs_turnover]]),CJ58*CI58+CJ59*CI59+CJ60*CI60+CJ61*CI61+CJ62*CI62+CJ63*CI63+CJ64*CI64+CJ65*CI65+CJ66*CI66+CJ67*CI67+CJ68*CI68+CJ69*CI69+CJ70*CI70+CJ71*CI71+CJ72*CI72+CJ73*CI73+CJ74*CI74)</f>
        <v>11.084174274737117</v>
      </c>
      <c r="CK75" s="4">
        <f>1/Base[[#This Row],['[Prod']'[Turnover']DMC_initiale]]</f>
        <v>9.0909090909090912E-2</v>
      </c>
      <c r="CL75" s="4">
        <f>1/Base[[#This Row],['[Prod']'[Turnover']DMC_finale]]</f>
        <v>9.0218718617514418E-2</v>
      </c>
    </row>
    <row r="76" spans="2:90" x14ac:dyDescent="0.25">
      <c r="B76" s="4" t="s">
        <v>320</v>
      </c>
      <c r="C76">
        <v>7.5</v>
      </c>
      <c r="D76" t="s">
        <v>84</v>
      </c>
      <c r="E76" t="s">
        <v>5</v>
      </c>
      <c r="F76" s="3">
        <v>0.21454558387776099</v>
      </c>
      <c r="G76" s="3">
        <v>6.593568911523901E-4</v>
      </c>
      <c r="H76" s="3">
        <v>6.593568911523901E-4</v>
      </c>
      <c r="I76" s="3">
        <v>0</v>
      </c>
      <c r="J76" s="3">
        <v>4.7304000000000004</v>
      </c>
      <c r="K76" s="3">
        <v>7.0000000000000007E-2</v>
      </c>
      <c r="L76" s="2">
        <f>Base[[#This Row],[Coût]]*Base[[#This Row],[Part_ménages_dépenses_santé]]</f>
        <v>0.33112800000000003</v>
      </c>
      <c r="M76" s="2">
        <v>1</v>
      </c>
      <c r="N76" s="6">
        <v>27700000</v>
      </c>
      <c r="O76" s="7">
        <f>Base[[#This Row],[Coût_salarié]]*10^9*Base[[#This Row],[Risque]]*Base[[#This Row],[Prévalence]]*Base[[#This Row],[Part_coûts_salarié]]/Base[[#This Row],[Population_emploi]]</f>
        <v>1.6910492885881272E-3</v>
      </c>
      <c r="P76">
        <v>50</v>
      </c>
      <c r="Q76">
        <v>50</v>
      </c>
      <c r="R76" s="2">
        <v>9.9999999999999978E-2</v>
      </c>
      <c r="S76" s="2">
        <v>0.33340000000000003</v>
      </c>
      <c r="T76" s="4">
        <v>6.593568911523901E-4</v>
      </c>
      <c r="U76" s="4">
        <f>IF(Bases_annexes!$F$5=0,16.6587111018772,0.77*Bases_annexes!$F$5/(IF(OR(ISBLANK('Données_d''entrée'!$E$44),'Données_d''entrée'!$E$44=0),35,'Données_d''entrée'!$E$44)*52))</f>
        <v>16.658711101877199</v>
      </c>
      <c r="V76" s="4">
        <v>45.453421187287603</v>
      </c>
      <c r="W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6" s="4">
        <v>234.5</v>
      </c>
      <c r="Y76" s="4">
        <f>(Base[[#This Row],['[Maladies']Coûts_évités_par_salarié]]+Base[[#This Row],['[Travail']Coûts_évités_par_salarié]])/Base[[#This Row],[Budget_santé_salarié]]</f>
        <v>5.16888978556442E-4</v>
      </c>
      <c r="Z76" s="4">
        <v>0.8</v>
      </c>
      <c r="AA76" s="4">
        <f>Base[[#This Row],[Coût]]*Base[[#This Row],[Part_société_dépenses_santé]]</f>
        <v>3.7843200000000006</v>
      </c>
      <c r="AB76" s="4">
        <v>67635124</v>
      </c>
      <c r="AC76" s="4">
        <v>82.297079063317852</v>
      </c>
      <c r="AD76" s="4">
        <v>6.593568911523901E-4</v>
      </c>
      <c r="AE76" s="4">
        <f>Base[[#This Row],['[SC']Prévalence_travail]]*Base[[#This Row],[Population_emploi]]</f>
        <v>18264.185884921208</v>
      </c>
      <c r="AF76" s="4">
        <f>Base[[#This Row],[Risque]]*Base[[#This Row],['[SC']Patients_en_emploi]]</f>
        <v>3918.5004247323814</v>
      </c>
      <c r="AG76" s="4">
        <v>60180000</v>
      </c>
      <c r="AH76" s="4">
        <f>IFERROR(Base[[#This Row],['[SC']Prestations]]/Base[[#This Row],['[SC']Patients_en_emploi]],0)</f>
        <v>3294.9730351619019</v>
      </c>
      <c r="AI76" s="4">
        <v>51.7</v>
      </c>
      <c r="AJ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6" s="4">
        <f>Base[[#This Row],['[SC']'[Travail']Coûts_évités]]/Base[[#This Row],[Population_emploi]]</f>
        <v>0.46611383529832695</v>
      </c>
      <c r="AL76" s="4">
        <f>Base[[#This Row],[Coût_société]]*10^9*Base[[#This Row],[Risque]]*Base[[#This Row],[Prévalence]]*Base[[#This Row],[Part_coûts_salarié]]/Base[[#This Row],[Population_emploi]]</f>
        <v>1.9326277583864307E-2</v>
      </c>
      <c r="AM76" s="4">
        <f>IF(Base[[#This Row],[Pathologie]]&lt;&gt;"Dépendance",0,14909.24243952)</f>
        <v>0</v>
      </c>
      <c r="AN76" s="4">
        <f>IF(Base[[#This Row],[Pathologie]]&lt;&gt;"Dépendance",0,1316000)</f>
        <v>0</v>
      </c>
      <c r="AO76" s="4">
        <f>IF(Base[[#This Row],[Pathologie]]&lt;&gt;"Dépendance",0,Base[[#This Row],['[SC']Coût_personne_dépendante]]*Base[[#This Row],['[SC']Nb_personnes_dépendantes]])</f>
        <v>0</v>
      </c>
      <c r="AP76" s="4">
        <f>IF(Base[[#This Row],[Pathologie]]&lt;&gt;"Dépendance",0,Base[[#This Row],['[SC']Coût_total_dépendance]]/Base[[#This Row],[Population_totale]])</f>
        <v>0</v>
      </c>
      <c r="AQ76" s="4">
        <f>IF(Base[[#This Row],[Pathologie]]&lt;&gt;"Dépendance",0,4.5)</f>
        <v>0</v>
      </c>
      <c r="AR76" s="4">
        <v>0.50393265050357905</v>
      </c>
      <c r="AS76" s="4">
        <f>Base[[#This Row],[Espérance_vie]]+Base[[#This Row],['[SC']Hausse_esp_de_vie]]-Base[[#This Row],['[SC']Durée_moyenne_dépendance_avt]]+Base[[#This Row],[Risque]]</f>
        <v>83.015557297699203</v>
      </c>
      <c r="AT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6" s="4">
        <v>62.9</v>
      </c>
      <c r="AW76" s="4">
        <f t="shared" si="0"/>
        <v>336905600000</v>
      </c>
      <c r="AX76" s="4">
        <v>15049171</v>
      </c>
      <c r="AY76" s="4">
        <f>Base[[#This Row],['[SC']Budget_total_retraites]]/Base[[#This Row],['[SC']Nombre_de_retraités]]</f>
        <v>22386.987296509556</v>
      </c>
      <c r="AZ76" s="4">
        <f>Base[[#This Row],['[SC']Budget_par_retraité]]*Base[[#This Row],['[SC']Nb_personnes_dépendantes]]</f>
        <v>0</v>
      </c>
      <c r="BA76" s="4">
        <f>Base[[#This Row],['[SC']'[Dépendance']Coût_retraite_personnes_dépendantes]]/Base[[#This Row],[Population_totale]]</f>
        <v>0</v>
      </c>
      <c r="BB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6" s="4">
        <f>Base[[#This Row],['[SC']'[Dépendance']Gains]]-Base[[#This Row],['[SC']'[Dépendance']Coûts]]</f>
        <v>0</v>
      </c>
      <c r="BD76" s="4">
        <f>IF(Base[[#This Row],[Pathologie]]&lt;&gt;"Mort prématurée",0,Base[[#This Row],[Risque]]*Base[[#This Row],[Prévalence]]*Base[[#This Row],[Population_totale]])</f>
        <v>0</v>
      </c>
      <c r="BE76" s="4">
        <v>52.74</v>
      </c>
      <c r="BF76" s="4">
        <f>Base[[#This Row],['[SC']Âge_moyen_retraite]]-Base[[#This Row],['[SC']'[Mort_prématurée']Âge_moyen_mort précoce]]</f>
        <v>10.159999999999997</v>
      </c>
      <c r="BG76" s="4">
        <f>Base[[#This Row],[Espérance_vie]]+Base[[#This Row],['[SC']Hausse_esp_de_vie]]-Base[[#This Row],['[SC']Âge_moyen_retraite]]</f>
        <v>19.90101171382144</v>
      </c>
      <c r="BH76" s="4">
        <v>106583.42676924677</v>
      </c>
      <c r="BI76" s="4">
        <v>97601.789429271477</v>
      </c>
      <c r="BJ76" s="4">
        <v>302038.31496633729</v>
      </c>
      <c r="BK76" s="4">
        <v>117293.58934859755</v>
      </c>
      <c r="BL76" s="4">
        <v>1523999.9999999995</v>
      </c>
      <c r="BM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6" s="4">
        <v>294804.96027377353</v>
      </c>
      <c r="BO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6" s="4">
        <f>(Base[[#This Row],['[SC']'[Mort_prématurée']Gains]]-Base[[#This Row],['[SC']'[Mort_prématurée']Coûts]])/Base[[#This Row],[Population_totale]]</f>
        <v>0</v>
      </c>
      <c r="BQ76" s="4">
        <f>IF(Base[[#This Row],[Pathologie]]&lt;&gt;"Mort prématurée",0,Base[[#This Row],[Risque]])</f>
        <v>0</v>
      </c>
      <c r="BR76" s="4">
        <v>2680</v>
      </c>
      <c r="BS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6" s="4">
        <f>Base[[#This Row],[Prévalence_prod]]*(1-Base[[#This Row],[Risque]])*Base[[#This Row],[Durée_arrêt]]*Base[[#This Row],[Population_emploi]]</f>
        <v>652060.48344231036</v>
      </c>
      <c r="BV76" s="4">
        <f>Base[[#This Row],['[Prod']'[Absentéisme']Total_jours_absence_avant]]-Base[[#This Row],['[Prod']'[Absentéisme']Total_jours_absence_après]]</f>
        <v>178109.2502279263</v>
      </c>
      <c r="BW76" s="4">
        <f>IF(AND(Base[[#This Row],[Pathologie]]&lt;&gt;"Dépendance",Base[[#This Row],[Pathologie]]&lt;&gt;"Mort prématurée",Base[[#This Row],[Pathologie]]&lt;&gt;"Migraine"),0.0619,0)</f>
        <v>6.1899999999999997E-2</v>
      </c>
      <c r="BX76" s="4">
        <v>254</v>
      </c>
      <c r="BY76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6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6" s="4">
        <f>Base[[#This Row],[Prévalence_prod]]*Base[[#This Row],[Présentéisme]]*Base[[#This Row],['[Prod']Jours_ouvrés]]</f>
        <v>0</v>
      </c>
      <c r="CB76" s="4">
        <f>Base[[#This Row],[Prévalence_prod]]*(1-Base[[#This Row],[Risque]])*Base[[#This Row],[Présentéisme]]*Base[[#This Row],['[Prod']Jours_ouvrés]]</f>
        <v>0</v>
      </c>
      <c r="CC76" s="4">
        <f>Base[[#This Row],['[Prod']'[Présentéisme']Jours_avant]]-Base[[#This Row],['[Prod']'[Présentéisme']Jours_après]]</f>
        <v>0</v>
      </c>
      <c r="CD76" s="4">
        <f>Base[[#This Row],['[Prod']'[Présentéisme']Jours_gagnés]]/Base[[#This Row],['[Prod']Jours_ouvrés]]</f>
        <v>0</v>
      </c>
      <c r="CE76">
        <v>5.8333039429220801E-2</v>
      </c>
      <c r="CF76">
        <v>1.4658164114728258E-2</v>
      </c>
      <c r="CG76" s="4">
        <v>11</v>
      </c>
      <c r="CH76" s="4">
        <v>0.49446424657188709</v>
      </c>
      <c r="CI76" s="4">
        <v>1.0795805058605798E-2</v>
      </c>
      <c r="CJ76" s="4">
        <f>IF(Base[[#This Row],[Secteur]]&lt;&gt;"Moyenne",Base[[#This Row],['[Prod']'[Turnover']DMC_initiale]]*(1+Base[[#This Row],['[Prod']'[Turnover']Ecart_accidents]]*Base[[#This Row],['[Prod']Impact_motifs_turnover]]),CJ59*CI59+CJ60*CI60+CJ61*CI61+CJ62*CI62+CJ63*CI63+CJ64*CI64+CJ65*CI65+CJ66*CI66+CJ67*CI67+CJ68*CI68+CJ69*CI69+CJ70*CI70+CJ71*CI71+CJ72*CI72+CJ73*CI73+CJ74*CI74+CJ75*CI75)</f>
        <v>11.079727318826279</v>
      </c>
      <c r="CK76" s="4">
        <f>1/Base[[#This Row],['[Prod']'[Turnover']DMC_initiale]]</f>
        <v>9.0909090909090912E-2</v>
      </c>
      <c r="CL76" s="4">
        <f>1/Base[[#This Row],['[Prod']'[Turnover']DMC_finale]]</f>
        <v>9.025492877436031E-2</v>
      </c>
    </row>
    <row r="77" spans="2:90" x14ac:dyDescent="0.25">
      <c r="B77" s="4" t="s">
        <v>321</v>
      </c>
      <c r="C77">
        <v>7.5</v>
      </c>
      <c r="D77" t="s">
        <v>84</v>
      </c>
      <c r="E77" t="s">
        <v>5</v>
      </c>
      <c r="F77" s="3">
        <v>0.21454558387776099</v>
      </c>
      <c r="G77" s="3">
        <v>6.593568911523901E-4</v>
      </c>
      <c r="H77" s="3">
        <v>6.593568911523901E-4</v>
      </c>
      <c r="I77" s="3">
        <v>0</v>
      </c>
      <c r="J77" s="3">
        <v>4.7304000000000004</v>
      </c>
      <c r="K77" s="3">
        <v>7.0000000000000007E-2</v>
      </c>
      <c r="L77" s="2">
        <f>Base[[#This Row],[Coût]]*Base[[#This Row],[Part_ménages_dépenses_santé]]</f>
        <v>0.33112800000000003</v>
      </c>
      <c r="M77" s="2">
        <v>1</v>
      </c>
      <c r="N77" s="6">
        <v>27700000</v>
      </c>
      <c r="O77" s="7">
        <f>Base[[#This Row],[Coût_salarié]]*10^9*Base[[#This Row],[Risque]]*Base[[#This Row],[Prévalence]]*Base[[#This Row],[Part_coûts_salarié]]/Base[[#This Row],[Population_emploi]]</f>
        <v>1.6910492885881272E-3</v>
      </c>
      <c r="P77">
        <v>50</v>
      </c>
      <c r="Q77">
        <v>50</v>
      </c>
      <c r="R77" s="2">
        <v>9.9999999999999978E-2</v>
      </c>
      <c r="S77" s="2">
        <v>0.33340000000000003</v>
      </c>
      <c r="T77" s="4">
        <v>6.593568911523901E-4</v>
      </c>
      <c r="U77" s="4">
        <f>IF(Bases_annexes!$F$5=0,16.6587111018772,0.77*Bases_annexes!$F$5/(IF(OR(ISBLANK('Données_d''entrée'!$E$44),'Données_d''entrée'!$E$44=0),35,'Données_d''entrée'!$E$44)*52))</f>
        <v>16.658711101877199</v>
      </c>
      <c r="V77" s="4">
        <v>45.453421187287603</v>
      </c>
      <c r="W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7" s="4">
        <v>234.5</v>
      </c>
      <c r="Y77" s="4">
        <f>(Base[[#This Row],['[Maladies']Coûts_évités_par_salarié]]+Base[[#This Row],['[Travail']Coûts_évités_par_salarié]])/Base[[#This Row],[Budget_santé_salarié]]</f>
        <v>5.16888978556442E-4</v>
      </c>
      <c r="Z77" s="4">
        <v>0.8</v>
      </c>
      <c r="AA77" s="4">
        <f>Base[[#This Row],[Coût]]*Base[[#This Row],[Part_société_dépenses_santé]]</f>
        <v>3.7843200000000006</v>
      </c>
      <c r="AB77" s="4">
        <v>67635124</v>
      </c>
      <c r="AC77" s="4">
        <v>82.297079063317852</v>
      </c>
      <c r="AD77" s="4">
        <v>6.593568911523901E-4</v>
      </c>
      <c r="AE77" s="4">
        <f>Base[[#This Row],['[SC']Prévalence_travail]]*Base[[#This Row],[Population_emploi]]</f>
        <v>18264.185884921208</v>
      </c>
      <c r="AF77" s="4">
        <f>Base[[#This Row],[Risque]]*Base[[#This Row],['[SC']Patients_en_emploi]]</f>
        <v>3918.5004247323814</v>
      </c>
      <c r="AG77" s="4">
        <v>60180000</v>
      </c>
      <c r="AH77" s="4">
        <f>IFERROR(Base[[#This Row],['[SC']Prestations]]/Base[[#This Row],['[SC']Patients_en_emploi]],0)</f>
        <v>3294.9730351619019</v>
      </c>
      <c r="AI77" s="4">
        <v>51.7</v>
      </c>
      <c r="AJ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7" s="4">
        <f>Base[[#This Row],['[SC']'[Travail']Coûts_évités]]/Base[[#This Row],[Population_emploi]]</f>
        <v>0.46611383529832695</v>
      </c>
      <c r="AL77" s="4">
        <f>Base[[#This Row],[Coût_société]]*10^9*Base[[#This Row],[Risque]]*Base[[#This Row],[Prévalence]]*Base[[#This Row],[Part_coûts_salarié]]/Base[[#This Row],[Population_emploi]]</f>
        <v>1.9326277583864307E-2</v>
      </c>
      <c r="AM77" s="4">
        <f>IF(Base[[#This Row],[Pathologie]]&lt;&gt;"Dépendance",0,14909.24243952)</f>
        <v>0</v>
      </c>
      <c r="AN77" s="4">
        <f>IF(Base[[#This Row],[Pathologie]]&lt;&gt;"Dépendance",0,1316000)</f>
        <v>0</v>
      </c>
      <c r="AO77" s="4">
        <f>IF(Base[[#This Row],[Pathologie]]&lt;&gt;"Dépendance",0,Base[[#This Row],['[SC']Coût_personne_dépendante]]*Base[[#This Row],['[SC']Nb_personnes_dépendantes]])</f>
        <v>0</v>
      </c>
      <c r="AP77" s="4">
        <f>IF(Base[[#This Row],[Pathologie]]&lt;&gt;"Dépendance",0,Base[[#This Row],['[SC']Coût_total_dépendance]]/Base[[#This Row],[Population_totale]])</f>
        <v>0</v>
      </c>
      <c r="AQ77" s="4">
        <f>IF(Base[[#This Row],[Pathologie]]&lt;&gt;"Dépendance",0,4.5)</f>
        <v>0</v>
      </c>
      <c r="AR77" s="4">
        <v>0.50393265050357905</v>
      </c>
      <c r="AS77" s="4">
        <f>Base[[#This Row],[Espérance_vie]]+Base[[#This Row],['[SC']Hausse_esp_de_vie]]-Base[[#This Row],['[SC']Durée_moyenne_dépendance_avt]]+Base[[#This Row],[Risque]]</f>
        <v>83.015557297699203</v>
      </c>
      <c r="AT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7" s="4">
        <v>62.9</v>
      </c>
      <c r="AW77" s="4">
        <f t="shared" si="0"/>
        <v>336905600000</v>
      </c>
      <c r="AX77" s="4">
        <v>15049171</v>
      </c>
      <c r="AY77" s="4">
        <f>Base[[#This Row],['[SC']Budget_total_retraites]]/Base[[#This Row],['[SC']Nombre_de_retraités]]</f>
        <v>22386.987296509556</v>
      </c>
      <c r="AZ77" s="4">
        <f>Base[[#This Row],['[SC']Budget_par_retraité]]*Base[[#This Row],['[SC']Nb_personnes_dépendantes]]</f>
        <v>0</v>
      </c>
      <c r="BA77" s="4">
        <f>Base[[#This Row],['[SC']'[Dépendance']Coût_retraite_personnes_dépendantes]]/Base[[#This Row],[Population_totale]]</f>
        <v>0</v>
      </c>
      <c r="BB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7" s="4">
        <f>Base[[#This Row],['[SC']'[Dépendance']Gains]]-Base[[#This Row],['[SC']'[Dépendance']Coûts]]</f>
        <v>0</v>
      </c>
      <c r="BD77" s="4">
        <f>IF(Base[[#This Row],[Pathologie]]&lt;&gt;"Mort prématurée",0,Base[[#This Row],[Risque]]*Base[[#This Row],[Prévalence]]*Base[[#This Row],[Population_totale]])</f>
        <v>0</v>
      </c>
      <c r="BE77" s="4">
        <v>52.74</v>
      </c>
      <c r="BF77" s="4">
        <f>Base[[#This Row],['[SC']Âge_moyen_retraite]]-Base[[#This Row],['[SC']'[Mort_prématurée']Âge_moyen_mort précoce]]</f>
        <v>10.159999999999997</v>
      </c>
      <c r="BG77" s="4">
        <f>Base[[#This Row],[Espérance_vie]]+Base[[#This Row],['[SC']Hausse_esp_de_vie]]-Base[[#This Row],['[SC']Âge_moyen_retraite]]</f>
        <v>19.90101171382144</v>
      </c>
      <c r="BH77" s="4">
        <v>106583.42676924677</v>
      </c>
      <c r="BI77" s="4">
        <v>97601.789429271477</v>
      </c>
      <c r="BJ77" s="4">
        <v>302038.31496633729</v>
      </c>
      <c r="BK77" s="4">
        <v>117293.58934859755</v>
      </c>
      <c r="BL77" s="4">
        <v>1523999.9999999995</v>
      </c>
      <c r="BM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7" s="4">
        <v>294804.96027377353</v>
      </c>
      <c r="BO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7" s="4">
        <f>(Base[[#This Row],['[SC']'[Mort_prématurée']Gains]]-Base[[#This Row],['[SC']'[Mort_prématurée']Coûts]])/Base[[#This Row],[Population_totale]]</f>
        <v>0</v>
      </c>
      <c r="BQ77" s="4">
        <f>IF(Base[[#This Row],[Pathologie]]&lt;&gt;"Mort prématurée",0,Base[[#This Row],[Risque]])</f>
        <v>0</v>
      </c>
      <c r="BR77" s="4">
        <v>2680</v>
      </c>
      <c r="BS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7" s="4">
        <f>Base[[#This Row],[Prévalence_prod]]*(1-Base[[#This Row],[Risque]])*Base[[#This Row],[Durée_arrêt]]*Base[[#This Row],[Population_emploi]]</f>
        <v>652060.48344231036</v>
      </c>
      <c r="BV77" s="4">
        <f>Base[[#This Row],['[Prod']'[Absentéisme']Total_jours_absence_avant]]-Base[[#This Row],['[Prod']'[Absentéisme']Total_jours_absence_après]]</f>
        <v>178109.2502279263</v>
      </c>
      <c r="BW77" s="4">
        <f>IF(AND(Base[[#This Row],[Pathologie]]&lt;&gt;"Dépendance",Base[[#This Row],[Pathologie]]&lt;&gt;"Mort prématurée",Base[[#This Row],[Pathologie]]&lt;&gt;"Migraine"),0.0619,0)</f>
        <v>6.1899999999999997E-2</v>
      </c>
      <c r="BX77" s="4">
        <v>254</v>
      </c>
      <c r="BY7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7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7" s="4">
        <f>Base[[#This Row],[Prévalence_prod]]*Base[[#This Row],[Présentéisme]]*Base[[#This Row],['[Prod']Jours_ouvrés]]</f>
        <v>0</v>
      </c>
      <c r="CB77" s="4">
        <f>Base[[#This Row],[Prévalence_prod]]*(1-Base[[#This Row],[Risque]])*Base[[#This Row],[Présentéisme]]*Base[[#This Row],['[Prod']Jours_ouvrés]]</f>
        <v>0</v>
      </c>
      <c r="CC77" s="4">
        <f>Base[[#This Row],['[Prod']'[Présentéisme']Jours_avant]]-Base[[#This Row],['[Prod']'[Présentéisme']Jours_après]]</f>
        <v>0</v>
      </c>
      <c r="CD77" s="4">
        <f>Base[[#This Row],['[Prod']'[Présentéisme']Jours_gagnés]]/Base[[#This Row],['[Prod']Jours_ouvrés]]</f>
        <v>0</v>
      </c>
      <c r="CE77">
        <v>5.8333039429220801E-2</v>
      </c>
      <c r="CF77">
        <v>1.4658164114728258E-2</v>
      </c>
      <c r="CG77" s="4">
        <v>11</v>
      </c>
      <c r="CH77" s="4">
        <v>0.85274500894619554</v>
      </c>
      <c r="CI77" s="4">
        <v>4.2903496994109176E-2</v>
      </c>
      <c r="CJ77" s="4">
        <f>IF(Base[[#This Row],[Secteur]]&lt;&gt;"Moyenne",Base[[#This Row],['[Prod']'[Turnover']DMC_initiale]]*(1+Base[[#This Row],['[Prod']'[Turnover']Ecart_accidents]]*Base[[#This Row],['[Prod']Impact_motifs_turnover]]),CJ60*CI60+CJ61*CI61+CJ62*CI62+CJ63*CI63+CJ64*CI64+CJ65*CI65+CJ66*CI66+CJ67*CI67+CJ68*CI68+CJ69*CI69+CJ70*CI70+CJ71*CI71+CJ72*CI72+CJ73*CI73+CJ74*CI74+CJ75*CI75+CJ76*CI76)</f>
        <v>11.137496439180635</v>
      </c>
      <c r="CK77" s="4">
        <f>1/Base[[#This Row],['[Prod']'[Turnover']DMC_initiale]]</f>
        <v>9.0909090909090912E-2</v>
      </c>
      <c r="CL77" s="4">
        <f>1/Base[[#This Row],['[Prod']'[Turnover']DMC_finale]]</f>
        <v>8.9786785159553156E-2</v>
      </c>
    </row>
    <row r="78" spans="2:90" x14ac:dyDescent="0.25">
      <c r="B78" s="4" t="s">
        <v>322</v>
      </c>
      <c r="C78">
        <v>7.5</v>
      </c>
      <c r="D78" t="s">
        <v>84</v>
      </c>
      <c r="E78" t="s">
        <v>5</v>
      </c>
      <c r="F78" s="3">
        <v>0.21454558387776099</v>
      </c>
      <c r="G78" s="3">
        <v>6.593568911523901E-4</v>
      </c>
      <c r="H78" s="3">
        <v>6.593568911523901E-4</v>
      </c>
      <c r="I78" s="3">
        <v>0</v>
      </c>
      <c r="J78" s="3">
        <v>4.7304000000000004</v>
      </c>
      <c r="K78" s="3">
        <v>7.0000000000000007E-2</v>
      </c>
      <c r="L78" s="2">
        <f>Base[[#This Row],[Coût]]*Base[[#This Row],[Part_ménages_dépenses_santé]]</f>
        <v>0.33112800000000003</v>
      </c>
      <c r="M78" s="2">
        <v>1</v>
      </c>
      <c r="N78" s="6">
        <v>27700000</v>
      </c>
      <c r="O78" s="7">
        <f>Base[[#This Row],[Coût_salarié]]*10^9*Base[[#This Row],[Risque]]*Base[[#This Row],[Prévalence]]*Base[[#This Row],[Part_coûts_salarié]]/Base[[#This Row],[Population_emploi]]</f>
        <v>1.6910492885881272E-3</v>
      </c>
      <c r="P78">
        <v>50</v>
      </c>
      <c r="Q78">
        <v>50</v>
      </c>
      <c r="R78" s="2">
        <v>9.9999999999999978E-2</v>
      </c>
      <c r="S78" s="2">
        <v>0.33340000000000003</v>
      </c>
      <c r="T78" s="4">
        <v>6.593568911523901E-4</v>
      </c>
      <c r="U78" s="4">
        <f>IF(Bases_annexes!$F$5=0,16.6587111018772,0.77*Bases_annexes!$F$5/(IF(OR(ISBLANK('Données_d''entrée'!$E$44),'Données_d''entrée'!$E$44=0),35,'Données_d''entrée'!$E$44)*52))</f>
        <v>16.658711101877199</v>
      </c>
      <c r="V78" s="4">
        <v>45.453421187287603</v>
      </c>
      <c r="W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8" s="4">
        <v>234.5</v>
      </c>
      <c r="Y78" s="4">
        <f>(Base[[#This Row],['[Maladies']Coûts_évités_par_salarié]]+Base[[#This Row],['[Travail']Coûts_évités_par_salarié]])/Base[[#This Row],[Budget_santé_salarié]]</f>
        <v>5.16888978556442E-4</v>
      </c>
      <c r="Z78" s="4">
        <v>0.8</v>
      </c>
      <c r="AA78" s="4">
        <f>Base[[#This Row],[Coût]]*Base[[#This Row],[Part_société_dépenses_santé]]</f>
        <v>3.7843200000000006</v>
      </c>
      <c r="AB78" s="4">
        <v>67635124</v>
      </c>
      <c r="AC78" s="4">
        <v>82.297079063317852</v>
      </c>
      <c r="AD78" s="4">
        <v>6.593568911523901E-4</v>
      </c>
      <c r="AE78" s="4">
        <f>Base[[#This Row],['[SC']Prévalence_travail]]*Base[[#This Row],[Population_emploi]]</f>
        <v>18264.185884921208</v>
      </c>
      <c r="AF78" s="4">
        <f>Base[[#This Row],[Risque]]*Base[[#This Row],['[SC']Patients_en_emploi]]</f>
        <v>3918.5004247323814</v>
      </c>
      <c r="AG78" s="4">
        <v>60180000</v>
      </c>
      <c r="AH78" s="4">
        <f>IFERROR(Base[[#This Row],['[SC']Prestations]]/Base[[#This Row],['[SC']Patients_en_emploi]],0)</f>
        <v>3294.9730351619019</v>
      </c>
      <c r="AI78" s="4">
        <v>51.7</v>
      </c>
      <c r="AJ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8" s="4">
        <f>Base[[#This Row],['[SC']'[Travail']Coûts_évités]]/Base[[#This Row],[Population_emploi]]</f>
        <v>0.46611383529832695</v>
      </c>
      <c r="AL78" s="4">
        <f>Base[[#This Row],[Coût_société]]*10^9*Base[[#This Row],[Risque]]*Base[[#This Row],[Prévalence]]*Base[[#This Row],[Part_coûts_salarié]]/Base[[#This Row],[Population_emploi]]</f>
        <v>1.9326277583864307E-2</v>
      </c>
      <c r="AM78" s="4">
        <f>IF(Base[[#This Row],[Pathologie]]&lt;&gt;"Dépendance",0,14909.24243952)</f>
        <v>0</v>
      </c>
      <c r="AN78" s="4">
        <f>IF(Base[[#This Row],[Pathologie]]&lt;&gt;"Dépendance",0,1316000)</f>
        <v>0</v>
      </c>
      <c r="AO78" s="4">
        <f>IF(Base[[#This Row],[Pathologie]]&lt;&gt;"Dépendance",0,Base[[#This Row],['[SC']Coût_personne_dépendante]]*Base[[#This Row],['[SC']Nb_personnes_dépendantes]])</f>
        <v>0</v>
      </c>
      <c r="AP78" s="4">
        <f>IF(Base[[#This Row],[Pathologie]]&lt;&gt;"Dépendance",0,Base[[#This Row],['[SC']Coût_total_dépendance]]/Base[[#This Row],[Population_totale]])</f>
        <v>0</v>
      </c>
      <c r="AQ78" s="4">
        <f>IF(Base[[#This Row],[Pathologie]]&lt;&gt;"Dépendance",0,4.5)</f>
        <v>0</v>
      </c>
      <c r="AR78" s="4">
        <v>0.50393265050357905</v>
      </c>
      <c r="AS78" s="4">
        <f>Base[[#This Row],[Espérance_vie]]+Base[[#This Row],['[SC']Hausse_esp_de_vie]]-Base[[#This Row],['[SC']Durée_moyenne_dépendance_avt]]+Base[[#This Row],[Risque]]</f>
        <v>83.015557297699203</v>
      </c>
      <c r="AT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8" s="4">
        <v>62.9</v>
      </c>
      <c r="AW78" s="4">
        <f t="shared" si="0"/>
        <v>336905600000</v>
      </c>
      <c r="AX78" s="4">
        <v>15049171</v>
      </c>
      <c r="AY78" s="4">
        <f>Base[[#This Row],['[SC']Budget_total_retraites]]/Base[[#This Row],['[SC']Nombre_de_retraités]]</f>
        <v>22386.987296509556</v>
      </c>
      <c r="AZ78" s="4">
        <f>Base[[#This Row],['[SC']Budget_par_retraité]]*Base[[#This Row],['[SC']Nb_personnes_dépendantes]]</f>
        <v>0</v>
      </c>
      <c r="BA78" s="4">
        <f>Base[[#This Row],['[SC']'[Dépendance']Coût_retraite_personnes_dépendantes]]/Base[[#This Row],[Population_totale]]</f>
        <v>0</v>
      </c>
      <c r="BB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8" s="4">
        <f>Base[[#This Row],['[SC']'[Dépendance']Gains]]-Base[[#This Row],['[SC']'[Dépendance']Coûts]]</f>
        <v>0</v>
      </c>
      <c r="BD78" s="4">
        <f>IF(Base[[#This Row],[Pathologie]]&lt;&gt;"Mort prématurée",0,Base[[#This Row],[Risque]]*Base[[#This Row],[Prévalence]]*Base[[#This Row],[Population_totale]])</f>
        <v>0</v>
      </c>
      <c r="BE78" s="4">
        <v>52.74</v>
      </c>
      <c r="BF78" s="4">
        <f>Base[[#This Row],['[SC']Âge_moyen_retraite]]-Base[[#This Row],['[SC']'[Mort_prématurée']Âge_moyen_mort précoce]]</f>
        <v>10.159999999999997</v>
      </c>
      <c r="BG78" s="4">
        <f>Base[[#This Row],[Espérance_vie]]+Base[[#This Row],['[SC']Hausse_esp_de_vie]]-Base[[#This Row],['[SC']Âge_moyen_retraite]]</f>
        <v>19.90101171382144</v>
      </c>
      <c r="BH78" s="4">
        <v>106583.42676924677</v>
      </c>
      <c r="BI78" s="4">
        <v>97601.789429271477</v>
      </c>
      <c r="BJ78" s="4">
        <v>302038.31496633729</v>
      </c>
      <c r="BK78" s="4">
        <v>117293.58934859755</v>
      </c>
      <c r="BL78" s="4">
        <v>1523999.9999999995</v>
      </c>
      <c r="BM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8" s="4">
        <v>294804.96027377353</v>
      </c>
      <c r="BO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8" s="4">
        <f>(Base[[#This Row],['[SC']'[Mort_prématurée']Gains]]-Base[[#This Row],['[SC']'[Mort_prématurée']Coûts]])/Base[[#This Row],[Population_totale]]</f>
        <v>0</v>
      </c>
      <c r="BQ78" s="4">
        <f>IF(Base[[#This Row],[Pathologie]]&lt;&gt;"Mort prématurée",0,Base[[#This Row],[Risque]])</f>
        <v>0</v>
      </c>
      <c r="BR78" s="4">
        <v>2680</v>
      </c>
      <c r="BS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8" s="4">
        <f>Base[[#This Row],[Prévalence_prod]]*(1-Base[[#This Row],[Risque]])*Base[[#This Row],[Durée_arrêt]]*Base[[#This Row],[Population_emploi]]</f>
        <v>652060.48344231036</v>
      </c>
      <c r="BV78" s="4">
        <f>Base[[#This Row],['[Prod']'[Absentéisme']Total_jours_absence_avant]]-Base[[#This Row],['[Prod']'[Absentéisme']Total_jours_absence_après]]</f>
        <v>178109.2502279263</v>
      </c>
      <c r="BW78" s="4">
        <f>IF(AND(Base[[#This Row],[Pathologie]]&lt;&gt;"Dépendance",Base[[#This Row],[Pathologie]]&lt;&gt;"Mort prématurée",Base[[#This Row],[Pathologie]]&lt;&gt;"Migraine"),0.0619,0)</f>
        <v>6.1899999999999997E-2</v>
      </c>
      <c r="BX78" s="4">
        <v>254</v>
      </c>
      <c r="BY7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8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8" s="4">
        <f>Base[[#This Row],[Prévalence_prod]]*Base[[#This Row],[Présentéisme]]*Base[[#This Row],['[Prod']Jours_ouvrés]]</f>
        <v>0</v>
      </c>
      <c r="CB78" s="4">
        <f>Base[[#This Row],[Prévalence_prod]]*(1-Base[[#This Row],[Risque]])*Base[[#This Row],[Présentéisme]]*Base[[#This Row],['[Prod']Jours_ouvrés]]</f>
        <v>0</v>
      </c>
      <c r="CC78" s="4">
        <f>Base[[#This Row],['[Prod']'[Présentéisme']Jours_avant]]-Base[[#This Row],['[Prod']'[Présentéisme']Jours_après]]</f>
        <v>0</v>
      </c>
      <c r="CD78" s="4">
        <f>Base[[#This Row],['[Prod']'[Présentéisme']Jours_gagnés]]/Base[[#This Row],['[Prod']Jours_ouvrés]]</f>
        <v>0</v>
      </c>
      <c r="CE78">
        <v>5.8333039429220801E-2</v>
      </c>
      <c r="CF78">
        <v>1.4658164114728258E-2</v>
      </c>
      <c r="CG78" s="4">
        <v>11</v>
      </c>
      <c r="CH78" s="4">
        <v>1.6219398392978641</v>
      </c>
      <c r="CI78" s="4">
        <v>9.628527536862988E-2</v>
      </c>
      <c r="CJ78" s="4">
        <f>IF(Base[[#This Row],[Secteur]]&lt;&gt;"Moyenne",Base[[#This Row],['[Prod']'[Turnover']DMC_initiale]]*(1+Base[[#This Row],['[Prod']'[Turnover']Ecart_accidents]]*Base[[#This Row],['[Prod']Impact_motifs_turnover]]),CJ61*CI61+CJ62*CI62+CJ63*CI63+CJ64*CI64+CJ65*CI65+CJ66*CI66+CJ67*CI67+CJ68*CI68+CJ69*CI69+CJ70*CI70+CJ71*CI71+CJ72*CI72+CJ73*CI73+CJ74*CI74+CJ75*CI75+CJ76*CI76+CJ77*CI77)</f>
        <v>11.261521263835085</v>
      </c>
      <c r="CK78" s="4">
        <f>1/Base[[#This Row],['[Prod']'[Turnover']DMC_initiale]]</f>
        <v>9.0909090909090912E-2</v>
      </c>
      <c r="CL78" s="4">
        <f>1/Base[[#This Row],['[Prod']'[Turnover']DMC_finale]]</f>
        <v>8.8797949812639457E-2</v>
      </c>
    </row>
    <row r="79" spans="2:90" x14ac:dyDescent="0.25">
      <c r="B79" s="4" t="s">
        <v>323</v>
      </c>
      <c r="C79">
        <v>7.5</v>
      </c>
      <c r="D79" t="s">
        <v>84</v>
      </c>
      <c r="E79" t="s">
        <v>5</v>
      </c>
      <c r="F79" s="3">
        <v>0.21454558387776099</v>
      </c>
      <c r="G79" s="3">
        <v>6.593568911523901E-4</v>
      </c>
      <c r="H79" s="3">
        <v>6.593568911523901E-4</v>
      </c>
      <c r="I79" s="3">
        <v>0</v>
      </c>
      <c r="J79" s="3">
        <v>4.7304000000000004</v>
      </c>
      <c r="K79" s="3">
        <v>7.0000000000000007E-2</v>
      </c>
      <c r="L79" s="2">
        <f>Base[[#This Row],[Coût]]*Base[[#This Row],[Part_ménages_dépenses_santé]]</f>
        <v>0.33112800000000003</v>
      </c>
      <c r="M79" s="2">
        <v>1</v>
      </c>
      <c r="N79" s="6">
        <v>27700000</v>
      </c>
      <c r="O79" s="7">
        <f>Base[[#This Row],[Coût_salarié]]*10^9*Base[[#This Row],[Risque]]*Base[[#This Row],[Prévalence]]*Base[[#This Row],[Part_coûts_salarié]]/Base[[#This Row],[Population_emploi]]</f>
        <v>1.6910492885881272E-3</v>
      </c>
      <c r="P79">
        <v>50</v>
      </c>
      <c r="Q79">
        <v>50</v>
      </c>
      <c r="R79" s="2">
        <v>9.9999999999999978E-2</v>
      </c>
      <c r="S79" s="2">
        <v>0.33340000000000003</v>
      </c>
      <c r="T79" s="4">
        <v>6.593568911523901E-4</v>
      </c>
      <c r="U79" s="4">
        <f>IF(Bases_annexes!$F$5=0,16.6587111018772,0.77*Bases_annexes!$F$5/(IF(OR(ISBLANK('Données_d''entrée'!$E$44),'Données_d''entrée'!$E$44=0),35,'Données_d''entrée'!$E$44)*52))</f>
        <v>16.658711101877199</v>
      </c>
      <c r="V79" s="4">
        <v>45.453421187287603</v>
      </c>
      <c r="W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79" s="4">
        <v>234.5</v>
      </c>
      <c r="Y79" s="4">
        <f>(Base[[#This Row],['[Maladies']Coûts_évités_par_salarié]]+Base[[#This Row],['[Travail']Coûts_évités_par_salarié]])/Base[[#This Row],[Budget_santé_salarié]]</f>
        <v>5.16888978556442E-4</v>
      </c>
      <c r="Z79" s="4">
        <v>0.8</v>
      </c>
      <c r="AA79" s="4">
        <f>Base[[#This Row],[Coût]]*Base[[#This Row],[Part_société_dépenses_santé]]</f>
        <v>3.7843200000000006</v>
      </c>
      <c r="AB79" s="4">
        <v>67635124</v>
      </c>
      <c r="AC79" s="4">
        <v>82.297079063317852</v>
      </c>
      <c r="AD79" s="4">
        <v>6.593568911523901E-4</v>
      </c>
      <c r="AE79" s="4">
        <f>Base[[#This Row],['[SC']Prévalence_travail]]*Base[[#This Row],[Population_emploi]]</f>
        <v>18264.185884921208</v>
      </c>
      <c r="AF79" s="4">
        <f>Base[[#This Row],[Risque]]*Base[[#This Row],['[SC']Patients_en_emploi]]</f>
        <v>3918.5004247323814</v>
      </c>
      <c r="AG79" s="4">
        <v>60180000</v>
      </c>
      <c r="AH79" s="4">
        <f>IFERROR(Base[[#This Row],['[SC']Prestations]]/Base[[#This Row],['[SC']Patients_en_emploi]],0)</f>
        <v>3294.9730351619019</v>
      </c>
      <c r="AI79" s="4">
        <v>51.7</v>
      </c>
      <c r="AJ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79" s="4">
        <f>Base[[#This Row],['[SC']'[Travail']Coûts_évités]]/Base[[#This Row],[Population_emploi]]</f>
        <v>0.46611383529832695</v>
      </c>
      <c r="AL79" s="4">
        <f>Base[[#This Row],[Coût_société]]*10^9*Base[[#This Row],[Risque]]*Base[[#This Row],[Prévalence]]*Base[[#This Row],[Part_coûts_salarié]]/Base[[#This Row],[Population_emploi]]</f>
        <v>1.9326277583864307E-2</v>
      </c>
      <c r="AM79" s="4">
        <f>IF(Base[[#This Row],[Pathologie]]&lt;&gt;"Dépendance",0,14909.24243952)</f>
        <v>0</v>
      </c>
      <c r="AN79" s="4">
        <f>IF(Base[[#This Row],[Pathologie]]&lt;&gt;"Dépendance",0,1316000)</f>
        <v>0</v>
      </c>
      <c r="AO79" s="4">
        <f>IF(Base[[#This Row],[Pathologie]]&lt;&gt;"Dépendance",0,Base[[#This Row],['[SC']Coût_personne_dépendante]]*Base[[#This Row],['[SC']Nb_personnes_dépendantes]])</f>
        <v>0</v>
      </c>
      <c r="AP79" s="4">
        <f>IF(Base[[#This Row],[Pathologie]]&lt;&gt;"Dépendance",0,Base[[#This Row],['[SC']Coût_total_dépendance]]/Base[[#This Row],[Population_totale]])</f>
        <v>0</v>
      </c>
      <c r="AQ79" s="4">
        <f>IF(Base[[#This Row],[Pathologie]]&lt;&gt;"Dépendance",0,4.5)</f>
        <v>0</v>
      </c>
      <c r="AR79" s="4">
        <v>0.50393265050357905</v>
      </c>
      <c r="AS79" s="4">
        <f>Base[[#This Row],[Espérance_vie]]+Base[[#This Row],['[SC']Hausse_esp_de_vie]]-Base[[#This Row],['[SC']Durée_moyenne_dépendance_avt]]+Base[[#This Row],[Risque]]</f>
        <v>83.015557297699203</v>
      </c>
      <c r="AT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79" s="4">
        <v>62.9</v>
      </c>
      <c r="AW79" s="4">
        <f t="shared" si="0"/>
        <v>336905600000</v>
      </c>
      <c r="AX79" s="4">
        <v>15049171</v>
      </c>
      <c r="AY79" s="4">
        <f>Base[[#This Row],['[SC']Budget_total_retraites]]/Base[[#This Row],['[SC']Nombre_de_retraités]]</f>
        <v>22386.987296509556</v>
      </c>
      <c r="AZ79" s="4">
        <f>Base[[#This Row],['[SC']Budget_par_retraité]]*Base[[#This Row],['[SC']Nb_personnes_dépendantes]]</f>
        <v>0</v>
      </c>
      <c r="BA79" s="4">
        <f>Base[[#This Row],['[SC']'[Dépendance']Coût_retraite_personnes_dépendantes]]/Base[[#This Row],[Population_totale]]</f>
        <v>0</v>
      </c>
      <c r="BB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79" s="4">
        <f>Base[[#This Row],['[SC']'[Dépendance']Gains]]-Base[[#This Row],['[SC']'[Dépendance']Coûts]]</f>
        <v>0</v>
      </c>
      <c r="BD79" s="4">
        <f>IF(Base[[#This Row],[Pathologie]]&lt;&gt;"Mort prématurée",0,Base[[#This Row],[Risque]]*Base[[#This Row],[Prévalence]]*Base[[#This Row],[Population_totale]])</f>
        <v>0</v>
      </c>
      <c r="BE79" s="4">
        <v>52.74</v>
      </c>
      <c r="BF79" s="4">
        <f>Base[[#This Row],['[SC']Âge_moyen_retraite]]-Base[[#This Row],['[SC']'[Mort_prématurée']Âge_moyen_mort précoce]]</f>
        <v>10.159999999999997</v>
      </c>
      <c r="BG79" s="4">
        <f>Base[[#This Row],[Espérance_vie]]+Base[[#This Row],['[SC']Hausse_esp_de_vie]]-Base[[#This Row],['[SC']Âge_moyen_retraite]]</f>
        <v>19.90101171382144</v>
      </c>
      <c r="BH79" s="4">
        <v>106583.42676924677</v>
      </c>
      <c r="BI79" s="4">
        <v>97601.789429271477</v>
      </c>
      <c r="BJ79" s="4">
        <v>302038.31496633729</v>
      </c>
      <c r="BK79" s="4">
        <v>117293.58934859755</v>
      </c>
      <c r="BL79" s="4">
        <v>1523999.9999999995</v>
      </c>
      <c r="BM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79" s="4">
        <v>294804.96027377353</v>
      </c>
      <c r="BO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79" s="4">
        <f>(Base[[#This Row],['[SC']'[Mort_prématurée']Gains]]-Base[[#This Row],['[SC']'[Mort_prématurée']Coûts]])/Base[[#This Row],[Population_totale]]</f>
        <v>0</v>
      </c>
      <c r="BQ79" s="4">
        <f>IF(Base[[#This Row],[Pathologie]]&lt;&gt;"Mort prématurée",0,Base[[#This Row],[Risque]])</f>
        <v>0</v>
      </c>
      <c r="BR79" s="4">
        <v>2680</v>
      </c>
      <c r="BS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79" s="4">
        <f>Base[[#This Row],[Prévalence_prod]]*(1-Base[[#This Row],[Risque]])*Base[[#This Row],[Durée_arrêt]]*Base[[#This Row],[Population_emploi]]</f>
        <v>652060.48344231036</v>
      </c>
      <c r="BV79" s="4">
        <f>Base[[#This Row],['[Prod']'[Absentéisme']Total_jours_absence_avant]]-Base[[#This Row],['[Prod']'[Absentéisme']Total_jours_absence_après]]</f>
        <v>178109.2502279263</v>
      </c>
      <c r="BW79" s="4">
        <f>IF(AND(Base[[#This Row],[Pathologie]]&lt;&gt;"Dépendance",Base[[#This Row],[Pathologie]]&lt;&gt;"Mort prématurée",Base[[#This Row],[Pathologie]]&lt;&gt;"Migraine"),0.0619,0)</f>
        <v>6.1899999999999997E-2</v>
      </c>
      <c r="BX79" s="4">
        <v>254</v>
      </c>
      <c r="BY79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79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79" s="4">
        <f>Base[[#This Row],[Prévalence_prod]]*Base[[#This Row],[Présentéisme]]*Base[[#This Row],['[Prod']Jours_ouvrés]]</f>
        <v>0</v>
      </c>
      <c r="CB79" s="4">
        <f>Base[[#This Row],[Prévalence_prod]]*(1-Base[[#This Row],[Risque]])*Base[[#This Row],[Présentéisme]]*Base[[#This Row],['[Prod']Jours_ouvrés]]</f>
        <v>0</v>
      </c>
      <c r="CC79" s="4">
        <f>Base[[#This Row],['[Prod']'[Présentéisme']Jours_avant]]-Base[[#This Row],['[Prod']'[Présentéisme']Jours_après]]</f>
        <v>0</v>
      </c>
      <c r="CD79" s="4">
        <f>Base[[#This Row],['[Prod']'[Présentéisme']Jours_gagnés]]/Base[[#This Row],['[Prod']Jours_ouvrés]]</f>
        <v>0</v>
      </c>
      <c r="CE79">
        <v>5.8333039429220801E-2</v>
      </c>
      <c r="CF79">
        <v>1.4658164114728258E-2</v>
      </c>
      <c r="CG79" s="4">
        <v>11</v>
      </c>
      <c r="CH79" s="4">
        <v>0.96913802401210614</v>
      </c>
      <c r="CI79" s="4">
        <v>0.10293966445307301</v>
      </c>
      <c r="CJ79" s="4">
        <f>IF(Base[[#This Row],[Secteur]]&lt;&gt;"Moyenne",Base[[#This Row],['[Prod']'[Turnover']DMC_initiale]]*(1+Base[[#This Row],['[Prod']'[Turnover']Ecart_accidents]]*Base[[#This Row],['[Prod']Impact_motifs_turnover]]),CJ62*CI62+CJ63*CI63+CJ64*CI64+CJ65*CI65+CJ66*CI66+CJ67*CI67+CJ68*CI68+CJ69*CI69+CJ70*CI70+CJ71*CI71+CJ72*CI72+CJ73*CI73+CJ74*CI74+CJ75*CI75+CJ76*CI76+CJ77*CI77+CJ78*CI78)</f>
        <v>11.156263626263723</v>
      </c>
      <c r="CK79" s="4">
        <f>1/Base[[#This Row],['[Prod']'[Turnover']DMC_initiale]]</f>
        <v>9.0909090909090912E-2</v>
      </c>
      <c r="CL79" s="4">
        <f>1/Base[[#This Row],['[Prod']'[Turnover']DMC_finale]]</f>
        <v>8.9635744860477456E-2</v>
      </c>
    </row>
    <row r="80" spans="2:90" x14ac:dyDescent="0.25">
      <c r="B80" s="4" t="s">
        <v>324</v>
      </c>
      <c r="C80">
        <v>7.5</v>
      </c>
      <c r="D80" t="s">
        <v>84</v>
      </c>
      <c r="E80" t="s">
        <v>5</v>
      </c>
      <c r="F80" s="3">
        <v>0.21454558387776099</v>
      </c>
      <c r="G80" s="3">
        <v>6.593568911523901E-4</v>
      </c>
      <c r="H80" s="3">
        <v>6.593568911523901E-4</v>
      </c>
      <c r="I80" s="3">
        <v>0</v>
      </c>
      <c r="J80" s="3">
        <v>4.7304000000000004</v>
      </c>
      <c r="K80" s="3">
        <v>7.0000000000000007E-2</v>
      </c>
      <c r="L80" s="2">
        <f>Base[[#This Row],[Coût]]*Base[[#This Row],[Part_ménages_dépenses_santé]]</f>
        <v>0.33112800000000003</v>
      </c>
      <c r="M80" s="2">
        <v>1</v>
      </c>
      <c r="N80" s="6">
        <v>27700000</v>
      </c>
      <c r="O80" s="7">
        <f>Base[[#This Row],[Coût_salarié]]*10^9*Base[[#This Row],[Risque]]*Base[[#This Row],[Prévalence]]*Base[[#This Row],[Part_coûts_salarié]]/Base[[#This Row],[Population_emploi]]</f>
        <v>1.6910492885881272E-3</v>
      </c>
      <c r="P80">
        <v>50</v>
      </c>
      <c r="Q80">
        <v>50</v>
      </c>
      <c r="R80" s="2">
        <v>9.9999999999999978E-2</v>
      </c>
      <c r="S80" s="2">
        <v>0.33340000000000003</v>
      </c>
      <c r="T80" s="4">
        <v>6.593568911523901E-4</v>
      </c>
      <c r="U80" s="4">
        <f>IF(Bases_annexes!$F$5=0,16.6587111018772,0.77*Bases_annexes!$F$5/(IF(OR(ISBLANK('Données_d''entrée'!$E$44),'Données_d''entrée'!$E$44=0),35,'Données_d''entrée'!$E$44)*52))</f>
        <v>16.658711101877199</v>
      </c>
      <c r="V80" s="4">
        <v>45.453421187287603</v>
      </c>
      <c r="W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0" s="4">
        <v>234.5</v>
      </c>
      <c r="Y80" s="4">
        <f>(Base[[#This Row],['[Maladies']Coûts_évités_par_salarié]]+Base[[#This Row],['[Travail']Coûts_évités_par_salarié]])/Base[[#This Row],[Budget_santé_salarié]]</f>
        <v>5.16888978556442E-4</v>
      </c>
      <c r="Z80" s="4">
        <v>0.8</v>
      </c>
      <c r="AA80" s="4">
        <f>Base[[#This Row],[Coût]]*Base[[#This Row],[Part_société_dépenses_santé]]</f>
        <v>3.7843200000000006</v>
      </c>
      <c r="AB80" s="4">
        <v>67635124</v>
      </c>
      <c r="AC80" s="4">
        <v>82.297079063317852</v>
      </c>
      <c r="AD80" s="4">
        <v>6.593568911523901E-4</v>
      </c>
      <c r="AE80" s="4">
        <f>Base[[#This Row],['[SC']Prévalence_travail]]*Base[[#This Row],[Population_emploi]]</f>
        <v>18264.185884921208</v>
      </c>
      <c r="AF80" s="4">
        <f>Base[[#This Row],[Risque]]*Base[[#This Row],['[SC']Patients_en_emploi]]</f>
        <v>3918.5004247323814</v>
      </c>
      <c r="AG80" s="4">
        <v>60180000</v>
      </c>
      <c r="AH80" s="4">
        <f>IFERROR(Base[[#This Row],['[SC']Prestations]]/Base[[#This Row],['[SC']Patients_en_emploi]],0)</f>
        <v>3294.9730351619019</v>
      </c>
      <c r="AI80" s="4">
        <v>51.7</v>
      </c>
      <c r="AJ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0" s="4">
        <f>Base[[#This Row],['[SC']'[Travail']Coûts_évités]]/Base[[#This Row],[Population_emploi]]</f>
        <v>0.46611383529832695</v>
      </c>
      <c r="AL80" s="4">
        <f>Base[[#This Row],[Coût_société]]*10^9*Base[[#This Row],[Risque]]*Base[[#This Row],[Prévalence]]*Base[[#This Row],[Part_coûts_salarié]]/Base[[#This Row],[Population_emploi]]</f>
        <v>1.9326277583864307E-2</v>
      </c>
      <c r="AM80" s="4">
        <f>IF(Base[[#This Row],[Pathologie]]&lt;&gt;"Dépendance",0,14909.24243952)</f>
        <v>0</v>
      </c>
      <c r="AN80" s="4">
        <f>IF(Base[[#This Row],[Pathologie]]&lt;&gt;"Dépendance",0,1316000)</f>
        <v>0</v>
      </c>
      <c r="AO80" s="4">
        <f>IF(Base[[#This Row],[Pathologie]]&lt;&gt;"Dépendance",0,Base[[#This Row],['[SC']Coût_personne_dépendante]]*Base[[#This Row],['[SC']Nb_personnes_dépendantes]])</f>
        <v>0</v>
      </c>
      <c r="AP80" s="4">
        <f>IF(Base[[#This Row],[Pathologie]]&lt;&gt;"Dépendance",0,Base[[#This Row],['[SC']Coût_total_dépendance]]/Base[[#This Row],[Population_totale]])</f>
        <v>0</v>
      </c>
      <c r="AQ80" s="4">
        <f>IF(Base[[#This Row],[Pathologie]]&lt;&gt;"Dépendance",0,4.5)</f>
        <v>0</v>
      </c>
      <c r="AR80" s="4">
        <v>0.50393265050357905</v>
      </c>
      <c r="AS80" s="4">
        <f>Base[[#This Row],[Espérance_vie]]+Base[[#This Row],['[SC']Hausse_esp_de_vie]]-Base[[#This Row],['[SC']Durée_moyenne_dépendance_avt]]+Base[[#This Row],[Risque]]</f>
        <v>83.015557297699203</v>
      </c>
      <c r="AT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0" s="4">
        <v>62.9</v>
      </c>
      <c r="AW80" s="4">
        <f t="shared" si="0"/>
        <v>336905600000</v>
      </c>
      <c r="AX80" s="4">
        <v>15049171</v>
      </c>
      <c r="AY80" s="4">
        <f>Base[[#This Row],['[SC']Budget_total_retraites]]/Base[[#This Row],['[SC']Nombre_de_retraités]]</f>
        <v>22386.987296509556</v>
      </c>
      <c r="AZ80" s="4">
        <f>Base[[#This Row],['[SC']Budget_par_retraité]]*Base[[#This Row],['[SC']Nb_personnes_dépendantes]]</f>
        <v>0</v>
      </c>
      <c r="BA80" s="4">
        <f>Base[[#This Row],['[SC']'[Dépendance']Coût_retraite_personnes_dépendantes]]/Base[[#This Row],[Population_totale]]</f>
        <v>0</v>
      </c>
      <c r="BB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0" s="4">
        <f>Base[[#This Row],['[SC']'[Dépendance']Gains]]-Base[[#This Row],['[SC']'[Dépendance']Coûts]]</f>
        <v>0</v>
      </c>
      <c r="BD80" s="4">
        <f>IF(Base[[#This Row],[Pathologie]]&lt;&gt;"Mort prématurée",0,Base[[#This Row],[Risque]]*Base[[#This Row],[Prévalence]]*Base[[#This Row],[Population_totale]])</f>
        <v>0</v>
      </c>
      <c r="BE80" s="4">
        <v>52.74</v>
      </c>
      <c r="BF80" s="4">
        <f>Base[[#This Row],['[SC']Âge_moyen_retraite]]-Base[[#This Row],['[SC']'[Mort_prématurée']Âge_moyen_mort précoce]]</f>
        <v>10.159999999999997</v>
      </c>
      <c r="BG80" s="4">
        <f>Base[[#This Row],[Espérance_vie]]+Base[[#This Row],['[SC']Hausse_esp_de_vie]]-Base[[#This Row],['[SC']Âge_moyen_retraite]]</f>
        <v>19.90101171382144</v>
      </c>
      <c r="BH80" s="4">
        <v>106583.42676924677</v>
      </c>
      <c r="BI80" s="4">
        <v>97601.789429271477</v>
      </c>
      <c r="BJ80" s="4">
        <v>302038.31496633729</v>
      </c>
      <c r="BK80" s="4">
        <v>117293.58934859755</v>
      </c>
      <c r="BL80" s="4">
        <v>1523999.9999999995</v>
      </c>
      <c r="BM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0" s="4">
        <v>294804.96027377353</v>
      </c>
      <c r="BO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0" s="4">
        <f>(Base[[#This Row],['[SC']'[Mort_prématurée']Gains]]-Base[[#This Row],['[SC']'[Mort_prématurée']Coûts]])/Base[[#This Row],[Population_totale]]</f>
        <v>0</v>
      </c>
      <c r="BQ80" s="4">
        <f>IF(Base[[#This Row],[Pathologie]]&lt;&gt;"Mort prématurée",0,Base[[#This Row],[Risque]])</f>
        <v>0</v>
      </c>
      <c r="BR80" s="4">
        <v>2680</v>
      </c>
      <c r="BS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0" s="4">
        <f>Base[[#This Row],[Prévalence_prod]]*(1-Base[[#This Row],[Risque]])*Base[[#This Row],[Durée_arrêt]]*Base[[#This Row],[Population_emploi]]</f>
        <v>652060.48344231036</v>
      </c>
      <c r="BV80" s="4">
        <f>Base[[#This Row],['[Prod']'[Absentéisme']Total_jours_absence_avant]]-Base[[#This Row],['[Prod']'[Absentéisme']Total_jours_absence_après]]</f>
        <v>178109.2502279263</v>
      </c>
      <c r="BW80" s="4">
        <f>IF(AND(Base[[#This Row],[Pathologie]]&lt;&gt;"Dépendance",Base[[#This Row],[Pathologie]]&lt;&gt;"Mort prématurée",Base[[#This Row],[Pathologie]]&lt;&gt;"Migraine"),0.0619,0)</f>
        <v>6.1899999999999997E-2</v>
      </c>
      <c r="BX80" s="4">
        <v>254</v>
      </c>
      <c r="BY80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0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0" s="4">
        <f>Base[[#This Row],[Prévalence_prod]]*Base[[#This Row],[Présentéisme]]*Base[[#This Row],['[Prod']Jours_ouvrés]]</f>
        <v>0</v>
      </c>
      <c r="CB80" s="4">
        <f>Base[[#This Row],[Prévalence_prod]]*(1-Base[[#This Row],[Risque]])*Base[[#This Row],[Présentéisme]]*Base[[#This Row],['[Prod']Jours_ouvrés]]</f>
        <v>0</v>
      </c>
      <c r="CC80" s="4">
        <f>Base[[#This Row],['[Prod']'[Présentéisme']Jours_avant]]-Base[[#This Row],['[Prod']'[Présentéisme']Jours_après]]</f>
        <v>0</v>
      </c>
      <c r="CD80" s="4">
        <f>Base[[#This Row],['[Prod']'[Présentéisme']Jours_gagnés]]/Base[[#This Row],['[Prod']Jours_ouvrés]]</f>
        <v>0</v>
      </c>
      <c r="CE80">
        <v>5.8333039429220801E-2</v>
      </c>
      <c r="CF80">
        <v>1.4658164114728258E-2</v>
      </c>
      <c r="CG80" s="4">
        <v>11</v>
      </c>
      <c r="CH80" s="4">
        <v>1.3987208237662601</v>
      </c>
      <c r="CI80" s="4">
        <v>2.1768516166491274E-2</v>
      </c>
      <c r="CJ80" s="4">
        <f>IF(Base[[#This Row],[Secteur]]&lt;&gt;"Moyenne",Base[[#This Row],['[Prod']'[Turnover']DMC_initiale]]*(1+Base[[#This Row],['[Prod']'[Turnover']Ecart_accidents]]*Base[[#This Row],['[Prod']Impact_motifs_turnover]]),CJ63*CI63+CJ64*CI64+CJ65*CI65+CJ66*CI66+CJ67*CI67+CJ68*CI68+CJ69*CI69+CJ70*CI70+CJ71*CI71+CJ72*CI72+CJ73*CI73+CJ74*CI74+CJ75*CI75+CJ76*CI76+CJ77*CI77+CJ78*CI78+CJ79*CI79)</f>
        <v>11.225529473239991</v>
      </c>
      <c r="CK80" s="4">
        <f>1/Base[[#This Row],['[Prod']'[Turnover']DMC_initiale]]</f>
        <v>9.0909090909090912E-2</v>
      </c>
      <c r="CL80" s="4">
        <f>1/Base[[#This Row],['[Prod']'[Turnover']DMC_finale]]</f>
        <v>8.9082657738670828E-2</v>
      </c>
    </row>
    <row r="81" spans="2:90" x14ac:dyDescent="0.25">
      <c r="B81" s="4" t="s">
        <v>325</v>
      </c>
      <c r="C81">
        <v>7.5</v>
      </c>
      <c r="D81" t="s">
        <v>84</v>
      </c>
      <c r="E81" t="s">
        <v>5</v>
      </c>
      <c r="F81" s="3">
        <v>0.21454558387776099</v>
      </c>
      <c r="G81" s="3">
        <v>6.593568911523901E-4</v>
      </c>
      <c r="H81" s="3">
        <v>6.593568911523901E-4</v>
      </c>
      <c r="I81" s="3">
        <v>0</v>
      </c>
      <c r="J81" s="3">
        <v>4.7304000000000004</v>
      </c>
      <c r="K81" s="3">
        <v>7.0000000000000007E-2</v>
      </c>
      <c r="L81" s="2">
        <f>Base[[#This Row],[Coût]]*Base[[#This Row],[Part_ménages_dépenses_santé]]</f>
        <v>0.33112800000000003</v>
      </c>
      <c r="M81" s="2">
        <v>1</v>
      </c>
      <c r="N81" s="6">
        <v>27700000</v>
      </c>
      <c r="O81" s="7">
        <f>Base[[#This Row],[Coût_salarié]]*10^9*Base[[#This Row],[Risque]]*Base[[#This Row],[Prévalence]]*Base[[#This Row],[Part_coûts_salarié]]/Base[[#This Row],[Population_emploi]]</f>
        <v>1.6910492885881272E-3</v>
      </c>
      <c r="P81">
        <v>50</v>
      </c>
      <c r="Q81">
        <v>50</v>
      </c>
      <c r="R81" s="2">
        <v>9.9999999999999978E-2</v>
      </c>
      <c r="S81" s="2">
        <v>0.33340000000000003</v>
      </c>
      <c r="T81" s="4">
        <v>6.593568911523901E-4</v>
      </c>
      <c r="U81" s="4">
        <f>IF(Bases_annexes!$F$5=0,16.6587111018772,0.77*Bases_annexes!$F$5/(IF(OR(ISBLANK('Données_d''entrée'!$E$44),'Données_d''entrée'!$E$44=0),35,'Données_d''entrée'!$E$44)*52))</f>
        <v>16.658711101877199</v>
      </c>
      <c r="V81" s="4">
        <v>45.453421187287603</v>
      </c>
      <c r="W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1" s="4">
        <v>234.5</v>
      </c>
      <c r="Y81" s="4">
        <f>(Base[[#This Row],['[Maladies']Coûts_évités_par_salarié]]+Base[[#This Row],['[Travail']Coûts_évités_par_salarié]])/Base[[#This Row],[Budget_santé_salarié]]</f>
        <v>5.16888978556442E-4</v>
      </c>
      <c r="Z81" s="4">
        <v>0.8</v>
      </c>
      <c r="AA81" s="4">
        <f>Base[[#This Row],[Coût]]*Base[[#This Row],[Part_société_dépenses_santé]]</f>
        <v>3.7843200000000006</v>
      </c>
      <c r="AB81" s="4">
        <v>67635124</v>
      </c>
      <c r="AC81" s="4">
        <v>82.297079063317852</v>
      </c>
      <c r="AD81" s="4">
        <v>6.593568911523901E-4</v>
      </c>
      <c r="AE81" s="4">
        <f>Base[[#This Row],['[SC']Prévalence_travail]]*Base[[#This Row],[Population_emploi]]</f>
        <v>18264.185884921208</v>
      </c>
      <c r="AF81" s="4">
        <f>Base[[#This Row],[Risque]]*Base[[#This Row],['[SC']Patients_en_emploi]]</f>
        <v>3918.5004247323814</v>
      </c>
      <c r="AG81" s="4">
        <v>60180000</v>
      </c>
      <c r="AH81" s="4">
        <f>IFERROR(Base[[#This Row],['[SC']Prestations]]/Base[[#This Row],['[SC']Patients_en_emploi]],0)</f>
        <v>3294.9730351619019</v>
      </c>
      <c r="AI81" s="4">
        <v>51.7</v>
      </c>
      <c r="AJ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1" s="4">
        <f>Base[[#This Row],['[SC']'[Travail']Coûts_évités]]/Base[[#This Row],[Population_emploi]]</f>
        <v>0.46611383529832695</v>
      </c>
      <c r="AL81" s="4">
        <f>Base[[#This Row],[Coût_société]]*10^9*Base[[#This Row],[Risque]]*Base[[#This Row],[Prévalence]]*Base[[#This Row],[Part_coûts_salarié]]/Base[[#This Row],[Population_emploi]]</f>
        <v>1.9326277583864307E-2</v>
      </c>
      <c r="AM81" s="4">
        <f>IF(Base[[#This Row],[Pathologie]]&lt;&gt;"Dépendance",0,14909.24243952)</f>
        <v>0</v>
      </c>
      <c r="AN81" s="4">
        <f>IF(Base[[#This Row],[Pathologie]]&lt;&gt;"Dépendance",0,1316000)</f>
        <v>0</v>
      </c>
      <c r="AO81" s="4">
        <f>IF(Base[[#This Row],[Pathologie]]&lt;&gt;"Dépendance",0,Base[[#This Row],['[SC']Coût_personne_dépendante]]*Base[[#This Row],['[SC']Nb_personnes_dépendantes]])</f>
        <v>0</v>
      </c>
      <c r="AP81" s="4">
        <f>IF(Base[[#This Row],[Pathologie]]&lt;&gt;"Dépendance",0,Base[[#This Row],['[SC']Coût_total_dépendance]]/Base[[#This Row],[Population_totale]])</f>
        <v>0</v>
      </c>
      <c r="AQ81" s="4">
        <f>IF(Base[[#This Row],[Pathologie]]&lt;&gt;"Dépendance",0,4.5)</f>
        <v>0</v>
      </c>
      <c r="AR81" s="4">
        <v>0.50393265050357905</v>
      </c>
      <c r="AS81" s="4">
        <f>Base[[#This Row],[Espérance_vie]]+Base[[#This Row],['[SC']Hausse_esp_de_vie]]-Base[[#This Row],['[SC']Durée_moyenne_dépendance_avt]]+Base[[#This Row],[Risque]]</f>
        <v>83.015557297699203</v>
      </c>
      <c r="AT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1" s="4">
        <v>62.9</v>
      </c>
      <c r="AW81" s="4">
        <f t="shared" si="0"/>
        <v>336905600000</v>
      </c>
      <c r="AX81" s="4">
        <v>15049171</v>
      </c>
      <c r="AY81" s="4">
        <f>Base[[#This Row],['[SC']Budget_total_retraites]]/Base[[#This Row],['[SC']Nombre_de_retraités]]</f>
        <v>22386.987296509556</v>
      </c>
      <c r="AZ81" s="4">
        <f>Base[[#This Row],['[SC']Budget_par_retraité]]*Base[[#This Row],['[SC']Nb_personnes_dépendantes]]</f>
        <v>0</v>
      </c>
      <c r="BA81" s="4">
        <f>Base[[#This Row],['[SC']'[Dépendance']Coût_retraite_personnes_dépendantes]]/Base[[#This Row],[Population_totale]]</f>
        <v>0</v>
      </c>
      <c r="BB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1" s="4">
        <f>Base[[#This Row],['[SC']'[Dépendance']Gains]]-Base[[#This Row],['[SC']'[Dépendance']Coûts]]</f>
        <v>0</v>
      </c>
      <c r="BD81" s="4">
        <f>IF(Base[[#This Row],[Pathologie]]&lt;&gt;"Mort prématurée",0,Base[[#This Row],[Risque]]*Base[[#This Row],[Prévalence]]*Base[[#This Row],[Population_totale]])</f>
        <v>0</v>
      </c>
      <c r="BE81" s="4">
        <v>52.74</v>
      </c>
      <c r="BF81" s="4">
        <f>Base[[#This Row],['[SC']Âge_moyen_retraite]]-Base[[#This Row],['[SC']'[Mort_prématurée']Âge_moyen_mort précoce]]</f>
        <v>10.159999999999997</v>
      </c>
      <c r="BG81" s="4">
        <f>Base[[#This Row],[Espérance_vie]]+Base[[#This Row],['[SC']Hausse_esp_de_vie]]-Base[[#This Row],['[SC']Âge_moyen_retraite]]</f>
        <v>19.90101171382144</v>
      </c>
      <c r="BH81" s="4">
        <v>106583.42676924677</v>
      </c>
      <c r="BI81" s="4">
        <v>97601.789429271477</v>
      </c>
      <c r="BJ81" s="4">
        <v>302038.31496633729</v>
      </c>
      <c r="BK81" s="4">
        <v>117293.58934859755</v>
      </c>
      <c r="BL81" s="4">
        <v>1523999.9999999995</v>
      </c>
      <c r="BM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1" s="4">
        <v>294804.96027377353</v>
      </c>
      <c r="BO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1" s="4">
        <f>(Base[[#This Row],['[SC']'[Mort_prématurée']Gains]]-Base[[#This Row],['[SC']'[Mort_prématurée']Coûts]])/Base[[#This Row],[Population_totale]]</f>
        <v>0</v>
      </c>
      <c r="BQ81" s="4">
        <f>IF(Base[[#This Row],[Pathologie]]&lt;&gt;"Mort prématurée",0,Base[[#This Row],[Risque]])</f>
        <v>0</v>
      </c>
      <c r="BR81" s="4">
        <v>2680</v>
      </c>
      <c r="BS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1" s="4">
        <f>Base[[#This Row],[Prévalence_prod]]*(1-Base[[#This Row],[Risque]])*Base[[#This Row],[Durée_arrêt]]*Base[[#This Row],[Population_emploi]]</f>
        <v>652060.48344231036</v>
      </c>
      <c r="BV81" s="4">
        <f>Base[[#This Row],['[Prod']'[Absentéisme']Total_jours_absence_avant]]-Base[[#This Row],['[Prod']'[Absentéisme']Total_jours_absence_après]]</f>
        <v>178109.2502279263</v>
      </c>
      <c r="BW81" s="4">
        <f>IF(AND(Base[[#This Row],[Pathologie]]&lt;&gt;"Dépendance",Base[[#This Row],[Pathologie]]&lt;&gt;"Mort prématurée",Base[[#This Row],[Pathologie]]&lt;&gt;"Migraine"),0.0619,0)</f>
        <v>6.1899999999999997E-2</v>
      </c>
      <c r="BX81" s="4">
        <v>254</v>
      </c>
      <c r="BY81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1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1" s="4">
        <f>Base[[#This Row],[Prévalence_prod]]*Base[[#This Row],[Présentéisme]]*Base[[#This Row],['[Prod']Jours_ouvrés]]</f>
        <v>0</v>
      </c>
      <c r="CB81" s="4">
        <f>Base[[#This Row],[Prévalence_prod]]*(1-Base[[#This Row],[Risque]])*Base[[#This Row],[Présentéisme]]*Base[[#This Row],['[Prod']Jours_ouvrés]]</f>
        <v>0</v>
      </c>
      <c r="CC81" s="4">
        <f>Base[[#This Row],['[Prod']'[Présentéisme']Jours_avant]]-Base[[#This Row],['[Prod']'[Présentéisme']Jours_après]]</f>
        <v>0</v>
      </c>
      <c r="CD81" s="4">
        <f>Base[[#This Row],['[Prod']'[Présentéisme']Jours_gagnés]]/Base[[#This Row],['[Prod']Jours_ouvrés]]</f>
        <v>0</v>
      </c>
      <c r="CE81">
        <v>5.8333039429220801E-2</v>
      </c>
      <c r="CF81">
        <v>1.4658164114728258E-2</v>
      </c>
      <c r="CG81" s="4">
        <v>11</v>
      </c>
      <c r="CH81" s="4">
        <v>1.1624525375985588</v>
      </c>
      <c r="CI81" s="4">
        <v>3.7953151649308701E-2</v>
      </c>
      <c r="CJ81" s="4">
        <f>IF(Base[[#This Row],[Secteur]]&lt;&gt;"Moyenne",Base[[#This Row],['[Prod']'[Turnover']DMC_initiale]]*(1+Base[[#This Row],['[Prod']'[Turnover']Ecart_accidents]]*Base[[#This Row],['[Prod']Impact_motifs_turnover]]),CJ64*CI64+CJ65*CI65+CJ66*CI66+CJ67*CI67+CJ68*CI68+CJ69*CI69+CJ70*CI70+CJ71*CI71+CJ72*CI72+CJ73*CI73+CJ74*CI74+CJ75*CI75+CJ76*CI76+CJ77*CI77+CJ78*CI78+CJ79*CI79+CJ80*CI80)</f>
        <v>11.18743362078872</v>
      </c>
      <c r="CK81" s="4">
        <f>1/Base[[#This Row],['[Prod']'[Turnover']DMC_initiale]]</f>
        <v>9.0909090909090912E-2</v>
      </c>
      <c r="CL81" s="4">
        <f>1/Base[[#This Row],['[Prod']'[Turnover']DMC_finale]]</f>
        <v>8.9386005217655939E-2</v>
      </c>
    </row>
    <row r="82" spans="2:90" x14ac:dyDescent="0.25">
      <c r="B82" s="4" t="s">
        <v>326</v>
      </c>
      <c r="C82">
        <v>7.5</v>
      </c>
      <c r="D82" t="s">
        <v>84</v>
      </c>
      <c r="E82" t="s">
        <v>5</v>
      </c>
      <c r="F82" s="3">
        <v>0.21454558387776099</v>
      </c>
      <c r="G82" s="3">
        <v>6.593568911523901E-4</v>
      </c>
      <c r="H82" s="3">
        <v>6.593568911523901E-4</v>
      </c>
      <c r="I82" s="3">
        <v>0</v>
      </c>
      <c r="J82" s="3">
        <v>4.7304000000000004</v>
      </c>
      <c r="K82" s="3">
        <v>7.0000000000000007E-2</v>
      </c>
      <c r="L82" s="2">
        <f>Base[[#This Row],[Coût]]*Base[[#This Row],[Part_ménages_dépenses_santé]]</f>
        <v>0.33112800000000003</v>
      </c>
      <c r="M82" s="2">
        <v>1</v>
      </c>
      <c r="N82" s="6">
        <v>27700000</v>
      </c>
      <c r="O82" s="7">
        <f>Base[[#This Row],[Coût_salarié]]*10^9*Base[[#This Row],[Risque]]*Base[[#This Row],[Prévalence]]*Base[[#This Row],[Part_coûts_salarié]]/Base[[#This Row],[Population_emploi]]</f>
        <v>1.6910492885881272E-3</v>
      </c>
      <c r="P82">
        <v>50</v>
      </c>
      <c r="Q82">
        <v>50</v>
      </c>
      <c r="R82" s="2">
        <v>9.9999999999999978E-2</v>
      </c>
      <c r="S82" s="2">
        <v>0.33340000000000003</v>
      </c>
      <c r="T82" s="4">
        <v>6.593568911523901E-4</v>
      </c>
      <c r="U82" s="4">
        <f>IF(Bases_annexes!$F$5=0,16.6587111018772,0.77*Bases_annexes!$F$5/(IF(OR(ISBLANK('Données_d''entrée'!$E$44),'Données_d''entrée'!$E$44=0),35,'Données_d''entrée'!$E$44)*52))</f>
        <v>16.658711101877199</v>
      </c>
      <c r="V82" s="4">
        <v>45.453421187287603</v>
      </c>
      <c r="W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2" s="4">
        <v>234.5</v>
      </c>
      <c r="Y82" s="4">
        <f>(Base[[#This Row],['[Maladies']Coûts_évités_par_salarié]]+Base[[#This Row],['[Travail']Coûts_évités_par_salarié]])/Base[[#This Row],[Budget_santé_salarié]]</f>
        <v>5.16888978556442E-4</v>
      </c>
      <c r="Z82" s="4">
        <v>0.8</v>
      </c>
      <c r="AA82" s="4">
        <f>Base[[#This Row],[Coût]]*Base[[#This Row],[Part_société_dépenses_santé]]</f>
        <v>3.7843200000000006</v>
      </c>
      <c r="AB82" s="4">
        <v>67635124</v>
      </c>
      <c r="AC82" s="4">
        <v>82.297079063317852</v>
      </c>
      <c r="AD82" s="4">
        <v>6.593568911523901E-4</v>
      </c>
      <c r="AE82" s="4">
        <f>Base[[#This Row],['[SC']Prévalence_travail]]*Base[[#This Row],[Population_emploi]]</f>
        <v>18264.185884921208</v>
      </c>
      <c r="AF82" s="4">
        <f>Base[[#This Row],[Risque]]*Base[[#This Row],['[SC']Patients_en_emploi]]</f>
        <v>3918.5004247323814</v>
      </c>
      <c r="AG82" s="4">
        <v>60180000</v>
      </c>
      <c r="AH82" s="4">
        <f>IFERROR(Base[[#This Row],['[SC']Prestations]]/Base[[#This Row],['[SC']Patients_en_emploi]],0)</f>
        <v>3294.9730351619019</v>
      </c>
      <c r="AI82" s="4">
        <v>51.7</v>
      </c>
      <c r="AJ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2" s="4">
        <f>Base[[#This Row],['[SC']'[Travail']Coûts_évités]]/Base[[#This Row],[Population_emploi]]</f>
        <v>0.46611383529832695</v>
      </c>
      <c r="AL82" s="4">
        <f>Base[[#This Row],[Coût_société]]*10^9*Base[[#This Row],[Risque]]*Base[[#This Row],[Prévalence]]*Base[[#This Row],[Part_coûts_salarié]]/Base[[#This Row],[Population_emploi]]</f>
        <v>1.9326277583864307E-2</v>
      </c>
      <c r="AM82" s="4">
        <f>IF(Base[[#This Row],[Pathologie]]&lt;&gt;"Dépendance",0,14909.24243952)</f>
        <v>0</v>
      </c>
      <c r="AN82" s="4">
        <f>IF(Base[[#This Row],[Pathologie]]&lt;&gt;"Dépendance",0,1316000)</f>
        <v>0</v>
      </c>
      <c r="AO82" s="4">
        <f>IF(Base[[#This Row],[Pathologie]]&lt;&gt;"Dépendance",0,Base[[#This Row],['[SC']Coût_personne_dépendante]]*Base[[#This Row],['[SC']Nb_personnes_dépendantes]])</f>
        <v>0</v>
      </c>
      <c r="AP82" s="4">
        <f>IF(Base[[#This Row],[Pathologie]]&lt;&gt;"Dépendance",0,Base[[#This Row],['[SC']Coût_total_dépendance]]/Base[[#This Row],[Population_totale]])</f>
        <v>0</v>
      </c>
      <c r="AQ82" s="4">
        <f>IF(Base[[#This Row],[Pathologie]]&lt;&gt;"Dépendance",0,4.5)</f>
        <v>0</v>
      </c>
      <c r="AR82" s="4">
        <v>0.50393265050357905</v>
      </c>
      <c r="AS82" s="4">
        <f>Base[[#This Row],[Espérance_vie]]+Base[[#This Row],['[SC']Hausse_esp_de_vie]]-Base[[#This Row],['[SC']Durée_moyenne_dépendance_avt]]+Base[[#This Row],[Risque]]</f>
        <v>83.015557297699203</v>
      </c>
      <c r="AT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2" s="4">
        <v>62.9</v>
      </c>
      <c r="AW82" s="4">
        <f t="shared" si="0"/>
        <v>336905600000</v>
      </c>
      <c r="AX82" s="4">
        <v>15049171</v>
      </c>
      <c r="AY82" s="4">
        <f>Base[[#This Row],['[SC']Budget_total_retraites]]/Base[[#This Row],['[SC']Nombre_de_retraités]]</f>
        <v>22386.987296509556</v>
      </c>
      <c r="AZ82" s="4">
        <f>Base[[#This Row],['[SC']Budget_par_retraité]]*Base[[#This Row],['[SC']Nb_personnes_dépendantes]]</f>
        <v>0</v>
      </c>
      <c r="BA82" s="4">
        <f>Base[[#This Row],['[SC']'[Dépendance']Coût_retraite_personnes_dépendantes]]/Base[[#This Row],[Population_totale]]</f>
        <v>0</v>
      </c>
      <c r="BB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2" s="4">
        <f>Base[[#This Row],['[SC']'[Dépendance']Gains]]-Base[[#This Row],['[SC']'[Dépendance']Coûts]]</f>
        <v>0</v>
      </c>
      <c r="BD82" s="4">
        <f>IF(Base[[#This Row],[Pathologie]]&lt;&gt;"Mort prématurée",0,Base[[#This Row],[Risque]]*Base[[#This Row],[Prévalence]]*Base[[#This Row],[Population_totale]])</f>
        <v>0</v>
      </c>
      <c r="BE82" s="4">
        <v>52.74</v>
      </c>
      <c r="BF82" s="4">
        <f>Base[[#This Row],['[SC']Âge_moyen_retraite]]-Base[[#This Row],['[SC']'[Mort_prématurée']Âge_moyen_mort précoce]]</f>
        <v>10.159999999999997</v>
      </c>
      <c r="BG82" s="4">
        <f>Base[[#This Row],[Espérance_vie]]+Base[[#This Row],['[SC']Hausse_esp_de_vie]]-Base[[#This Row],['[SC']Âge_moyen_retraite]]</f>
        <v>19.90101171382144</v>
      </c>
      <c r="BH82" s="4">
        <v>106583.42676924677</v>
      </c>
      <c r="BI82" s="4">
        <v>97601.789429271477</v>
      </c>
      <c r="BJ82" s="4">
        <v>302038.31496633729</v>
      </c>
      <c r="BK82" s="4">
        <v>117293.58934859755</v>
      </c>
      <c r="BL82" s="4">
        <v>1523999.9999999995</v>
      </c>
      <c r="BM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2" s="4">
        <v>294804.96027377353</v>
      </c>
      <c r="BO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2" s="4">
        <f>(Base[[#This Row],['[SC']'[Mort_prématurée']Gains]]-Base[[#This Row],['[SC']'[Mort_prématurée']Coûts]])/Base[[#This Row],[Population_totale]]</f>
        <v>0</v>
      </c>
      <c r="BQ82" s="4">
        <f>IF(Base[[#This Row],[Pathologie]]&lt;&gt;"Mort prématurée",0,Base[[#This Row],[Risque]])</f>
        <v>0</v>
      </c>
      <c r="BR82" s="4">
        <v>2680</v>
      </c>
      <c r="BS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2" s="4">
        <f>Base[[#This Row],[Prévalence_prod]]*(1-Base[[#This Row],[Risque]])*Base[[#This Row],[Durée_arrêt]]*Base[[#This Row],[Population_emploi]]</f>
        <v>652060.48344231036</v>
      </c>
      <c r="BV82" s="4">
        <f>Base[[#This Row],['[Prod']'[Absentéisme']Total_jours_absence_avant]]-Base[[#This Row],['[Prod']'[Absentéisme']Total_jours_absence_après]]</f>
        <v>178109.2502279263</v>
      </c>
      <c r="BW82" s="4">
        <f>IF(AND(Base[[#This Row],[Pathologie]]&lt;&gt;"Dépendance",Base[[#This Row],[Pathologie]]&lt;&gt;"Mort prématurée",Base[[#This Row],[Pathologie]]&lt;&gt;"Migraine"),0.0619,0)</f>
        <v>6.1899999999999997E-2</v>
      </c>
      <c r="BX82" s="4">
        <v>254</v>
      </c>
      <c r="BY82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2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2" s="4">
        <f>Base[[#This Row],[Prévalence_prod]]*Base[[#This Row],[Présentéisme]]*Base[[#This Row],['[Prod']Jours_ouvrés]]</f>
        <v>0</v>
      </c>
      <c r="CB82" s="4">
        <f>Base[[#This Row],[Prévalence_prod]]*(1-Base[[#This Row],[Risque]])*Base[[#This Row],[Présentéisme]]*Base[[#This Row],['[Prod']Jours_ouvrés]]</f>
        <v>0</v>
      </c>
      <c r="CC82" s="4">
        <f>Base[[#This Row],['[Prod']'[Présentéisme']Jours_avant]]-Base[[#This Row],['[Prod']'[Présentéisme']Jours_après]]</f>
        <v>0</v>
      </c>
      <c r="CD82" s="4">
        <f>Base[[#This Row],['[Prod']'[Présentéisme']Jours_gagnés]]/Base[[#This Row],['[Prod']Jours_ouvrés]]</f>
        <v>0</v>
      </c>
      <c r="CE82">
        <v>5.8333039429220801E-2</v>
      </c>
      <c r="CF82">
        <v>1.4658164114728258E-2</v>
      </c>
      <c r="CG82" s="4">
        <v>11</v>
      </c>
      <c r="CH82" s="4">
        <v>0.19346787829229528</v>
      </c>
      <c r="CI82" s="4">
        <v>2.8126549817953091E-2</v>
      </c>
      <c r="CJ82" s="4">
        <f>IF(Base[[#This Row],[Secteur]]&lt;&gt;"Moyenne",Base[[#This Row],['[Prod']'[Turnover']DMC_initiale]]*(1+Base[[#This Row],['[Prod']'[Turnover']Ecart_accidents]]*Base[[#This Row],['[Prod']Impact_motifs_turnover]]),CJ65*CI65+CJ66*CI66+CJ67*CI67+CJ68*CI68+CJ69*CI69+CJ70*CI70+CJ71*CI71+CJ72*CI72+CJ73*CI73+CJ74*CI74+CJ75*CI75+CJ76*CI76+CJ77*CI77+CJ78*CI78+CJ79*CI79+CJ80*CI80+CJ81*CI81)</f>
        <v>11.031194723020304</v>
      </c>
      <c r="CK82" s="4">
        <f>1/Base[[#This Row],['[Prod']'[Turnover']DMC_initiale]]</f>
        <v>9.0909090909090912E-2</v>
      </c>
      <c r="CL82" s="4">
        <f>1/Base[[#This Row],['[Prod']'[Turnover']DMC_finale]]</f>
        <v>9.065201232584201E-2</v>
      </c>
    </row>
    <row r="83" spans="2:90" x14ac:dyDescent="0.25">
      <c r="B83" s="4" t="s">
        <v>327</v>
      </c>
      <c r="C83">
        <v>7.5</v>
      </c>
      <c r="D83" t="s">
        <v>84</v>
      </c>
      <c r="E83" t="s">
        <v>5</v>
      </c>
      <c r="F83" s="3">
        <v>0.21454558387776099</v>
      </c>
      <c r="G83" s="3">
        <v>6.593568911523901E-4</v>
      </c>
      <c r="H83" s="3">
        <v>6.593568911523901E-4</v>
      </c>
      <c r="I83" s="3">
        <v>0</v>
      </c>
      <c r="J83" s="3">
        <v>4.7304000000000004</v>
      </c>
      <c r="K83" s="3">
        <v>7.0000000000000007E-2</v>
      </c>
      <c r="L83" s="2">
        <f>Base[[#This Row],[Coût]]*Base[[#This Row],[Part_ménages_dépenses_santé]]</f>
        <v>0.33112800000000003</v>
      </c>
      <c r="M83" s="2">
        <v>1</v>
      </c>
      <c r="N83" s="6">
        <v>27700000</v>
      </c>
      <c r="O83" s="7">
        <f>Base[[#This Row],[Coût_salarié]]*10^9*Base[[#This Row],[Risque]]*Base[[#This Row],[Prévalence]]*Base[[#This Row],[Part_coûts_salarié]]/Base[[#This Row],[Population_emploi]]</f>
        <v>1.6910492885881272E-3</v>
      </c>
      <c r="P83">
        <v>50</v>
      </c>
      <c r="Q83">
        <v>50</v>
      </c>
      <c r="R83" s="2">
        <v>9.9999999999999978E-2</v>
      </c>
      <c r="S83" s="2">
        <v>0.33340000000000003</v>
      </c>
      <c r="T83" s="4">
        <v>6.593568911523901E-4</v>
      </c>
      <c r="U83" s="4">
        <f>IF(Bases_annexes!$F$5=0,16.6587111018772,0.77*Bases_annexes!$F$5/(IF(OR(ISBLANK('Données_d''entrée'!$E$44),'Données_d''entrée'!$E$44=0),35,'Données_d''entrée'!$E$44)*52))</f>
        <v>16.658711101877199</v>
      </c>
      <c r="V83" s="4">
        <v>45.453421187287603</v>
      </c>
      <c r="W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3" s="4">
        <v>234.5</v>
      </c>
      <c r="Y83" s="4">
        <f>(Base[[#This Row],['[Maladies']Coûts_évités_par_salarié]]+Base[[#This Row],['[Travail']Coûts_évités_par_salarié]])/Base[[#This Row],[Budget_santé_salarié]]</f>
        <v>5.16888978556442E-4</v>
      </c>
      <c r="Z83" s="4">
        <v>0.8</v>
      </c>
      <c r="AA83" s="4">
        <f>Base[[#This Row],[Coût]]*Base[[#This Row],[Part_société_dépenses_santé]]</f>
        <v>3.7843200000000006</v>
      </c>
      <c r="AB83" s="4">
        <v>67635124</v>
      </c>
      <c r="AC83" s="4">
        <v>82.297079063317852</v>
      </c>
      <c r="AD83" s="4">
        <v>6.593568911523901E-4</v>
      </c>
      <c r="AE83" s="4">
        <f>Base[[#This Row],['[SC']Prévalence_travail]]*Base[[#This Row],[Population_emploi]]</f>
        <v>18264.185884921208</v>
      </c>
      <c r="AF83" s="4">
        <f>Base[[#This Row],[Risque]]*Base[[#This Row],['[SC']Patients_en_emploi]]</f>
        <v>3918.5004247323814</v>
      </c>
      <c r="AG83" s="4">
        <v>60180000</v>
      </c>
      <c r="AH83" s="4">
        <f>IFERROR(Base[[#This Row],['[SC']Prestations]]/Base[[#This Row],['[SC']Patients_en_emploi]],0)</f>
        <v>3294.9730351619019</v>
      </c>
      <c r="AI83" s="4">
        <v>51.7</v>
      </c>
      <c r="AJ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3" s="4">
        <f>Base[[#This Row],['[SC']'[Travail']Coûts_évités]]/Base[[#This Row],[Population_emploi]]</f>
        <v>0.46611383529832695</v>
      </c>
      <c r="AL83" s="4">
        <f>Base[[#This Row],[Coût_société]]*10^9*Base[[#This Row],[Risque]]*Base[[#This Row],[Prévalence]]*Base[[#This Row],[Part_coûts_salarié]]/Base[[#This Row],[Population_emploi]]</f>
        <v>1.9326277583864307E-2</v>
      </c>
      <c r="AM83" s="4">
        <f>IF(Base[[#This Row],[Pathologie]]&lt;&gt;"Dépendance",0,14909.24243952)</f>
        <v>0</v>
      </c>
      <c r="AN83" s="4">
        <f>IF(Base[[#This Row],[Pathologie]]&lt;&gt;"Dépendance",0,1316000)</f>
        <v>0</v>
      </c>
      <c r="AO83" s="4">
        <f>IF(Base[[#This Row],[Pathologie]]&lt;&gt;"Dépendance",0,Base[[#This Row],['[SC']Coût_personne_dépendante]]*Base[[#This Row],['[SC']Nb_personnes_dépendantes]])</f>
        <v>0</v>
      </c>
      <c r="AP83" s="4">
        <f>IF(Base[[#This Row],[Pathologie]]&lt;&gt;"Dépendance",0,Base[[#This Row],['[SC']Coût_total_dépendance]]/Base[[#This Row],[Population_totale]])</f>
        <v>0</v>
      </c>
      <c r="AQ83" s="4">
        <f>IF(Base[[#This Row],[Pathologie]]&lt;&gt;"Dépendance",0,4.5)</f>
        <v>0</v>
      </c>
      <c r="AR83" s="4">
        <v>0.50393265050357905</v>
      </c>
      <c r="AS83" s="4">
        <f>Base[[#This Row],[Espérance_vie]]+Base[[#This Row],['[SC']Hausse_esp_de_vie]]-Base[[#This Row],['[SC']Durée_moyenne_dépendance_avt]]+Base[[#This Row],[Risque]]</f>
        <v>83.015557297699203</v>
      </c>
      <c r="AT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3" s="4">
        <v>62.9</v>
      </c>
      <c r="AW83" s="4">
        <f t="shared" si="0"/>
        <v>336905600000</v>
      </c>
      <c r="AX83" s="4">
        <v>15049171</v>
      </c>
      <c r="AY83" s="4">
        <f>Base[[#This Row],['[SC']Budget_total_retraites]]/Base[[#This Row],['[SC']Nombre_de_retraités]]</f>
        <v>22386.987296509556</v>
      </c>
      <c r="AZ83" s="4">
        <f>Base[[#This Row],['[SC']Budget_par_retraité]]*Base[[#This Row],['[SC']Nb_personnes_dépendantes]]</f>
        <v>0</v>
      </c>
      <c r="BA83" s="4">
        <f>Base[[#This Row],['[SC']'[Dépendance']Coût_retraite_personnes_dépendantes]]/Base[[#This Row],[Population_totale]]</f>
        <v>0</v>
      </c>
      <c r="BB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3" s="4">
        <f>Base[[#This Row],['[SC']'[Dépendance']Gains]]-Base[[#This Row],['[SC']'[Dépendance']Coûts]]</f>
        <v>0</v>
      </c>
      <c r="BD83" s="4">
        <f>IF(Base[[#This Row],[Pathologie]]&lt;&gt;"Mort prématurée",0,Base[[#This Row],[Risque]]*Base[[#This Row],[Prévalence]]*Base[[#This Row],[Population_totale]])</f>
        <v>0</v>
      </c>
      <c r="BE83" s="4">
        <v>52.74</v>
      </c>
      <c r="BF83" s="4">
        <f>Base[[#This Row],['[SC']Âge_moyen_retraite]]-Base[[#This Row],['[SC']'[Mort_prématurée']Âge_moyen_mort précoce]]</f>
        <v>10.159999999999997</v>
      </c>
      <c r="BG83" s="4">
        <f>Base[[#This Row],[Espérance_vie]]+Base[[#This Row],['[SC']Hausse_esp_de_vie]]-Base[[#This Row],['[SC']Âge_moyen_retraite]]</f>
        <v>19.90101171382144</v>
      </c>
      <c r="BH83" s="4">
        <v>106583.42676924677</v>
      </c>
      <c r="BI83" s="4">
        <v>97601.789429271477</v>
      </c>
      <c r="BJ83" s="4">
        <v>302038.31496633729</v>
      </c>
      <c r="BK83" s="4">
        <v>117293.58934859755</v>
      </c>
      <c r="BL83" s="4">
        <v>1523999.9999999995</v>
      </c>
      <c r="BM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3" s="4">
        <v>294804.96027377353</v>
      </c>
      <c r="BO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3" s="4">
        <f>(Base[[#This Row],['[SC']'[Mort_prématurée']Gains]]-Base[[#This Row],['[SC']'[Mort_prématurée']Coûts]])/Base[[#This Row],[Population_totale]]</f>
        <v>0</v>
      </c>
      <c r="BQ83" s="4">
        <f>IF(Base[[#This Row],[Pathologie]]&lt;&gt;"Mort prématurée",0,Base[[#This Row],[Risque]])</f>
        <v>0</v>
      </c>
      <c r="BR83" s="4">
        <v>2680</v>
      </c>
      <c r="BS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3" s="4">
        <f>Base[[#This Row],[Prévalence_prod]]*(1-Base[[#This Row],[Risque]])*Base[[#This Row],[Durée_arrêt]]*Base[[#This Row],[Population_emploi]]</f>
        <v>652060.48344231036</v>
      </c>
      <c r="BV83" s="4">
        <f>Base[[#This Row],['[Prod']'[Absentéisme']Total_jours_absence_avant]]-Base[[#This Row],['[Prod']'[Absentéisme']Total_jours_absence_après]]</f>
        <v>178109.2502279263</v>
      </c>
      <c r="BW83" s="4">
        <f>IF(AND(Base[[#This Row],[Pathologie]]&lt;&gt;"Dépendance",Base[[#This Row],[Pathologie]]&lt;&gt;"Mort prématurée",Base[[#This Row],[Pathologie]]&lt;&gt;"Migraine"),0.0619,0)</f>
        <v>6.1899999999999997E-2</v>
      </c>
      <c r="BX83" s="4">
        <v>254</v>
      </c>
      <c r="BY8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3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3" s="4">
        <f>Base[[#This Row],[Prévalence_prod]]*Base[[#This Row],[Présentéisme]]*Base[[#This Row],['[Prod']Jours_ouvrés]]</f>
        <v>0</v>
      </c>
      <c r="CB83" s="4">
        <f>Base[[#This Row],[Prévalence_prod]]*(1-Base[[#This Row],[Risque]])*Base[[#This Row],[Présentéisme]]*Base[[#This Row],['[Prod']Jours_ouvrés]]</f>
        <v>0</v>
      </c>
      <c r="CC83" s="4">
        <f>Base[[#This Row],['[Prod']'[Présentéisme']Jours_avant]]-Base[[#This Row],['[Prod']'[Présentéisme']Jours_après]]</f>
        <v>0</v>
      </c>
      <c r="CD83" s="4">
        <f>Base[[#This Row],['[Prod']'[Présentéisme']Jours_gagnés]]/Base[[#This Row],['[Prod']Jours_ouvrés]]</f>
        <v>0</v>
      </c>
      <c r="CE83">
        <v>5.8333039429220801E-2</v>
      </c>
      <c r="CF83">
        <v>1.4658164114728258E-2</v>
      </c>
      <c r="CG83" s="4">
        <v>11</v>
      </c>
      <c r="CH83" s="4">
        <v>0.13729577077682142</v>
      </c>
      <c r="CI83" s="4">
        <v>1.373516710817578E-2</v>
      </c>
      <c r="CJ83" s="4">
        <f>IF(Base[[#This Row],[Secteur]]&lt;&gt;"Moyenne",Base[[#This Row],['[Prod']'[Turnover']DMC_initiale]]*(1+Base[[#This Row],['[Prod']'[Turnover']Ecart_accidents]]*Base[[#This Row],['[Prod']Impact_motifs_turnover]]),CJ66*CI66+CJ67*CI67+CJ68*CI68+CJ69*CI69+CJ70*CI70+CJ71*CI71+CJ72*CI72+CJ73*CI73+CJ74*CI74+CJ75*CI75+CJ76*CI76+CJ77*CI77+CJ78*CI78+CJ79*CI79+CJ80*CI80+CJ81*CI81+CJ82*CI82)</f>
        <v>11.022137543343351</v>
      </c>
      <c r="CK83" s="4">
        <f>1/Base[[#This Row],['[Prod']'[Turnover']DMC_initiale]]</f>
        <v>9.0909090909090912E-2</v>
      </c>
      <c r="CL83" s="4">
        <f>1/Base[[#This Row],['[Prod']'[Turnover']DMC_finale]]</f>
        <v>9.0726503463380792E-2</v>
      </c>
    </row>
    <row r="84" spans="2:90" x14ac:dyDescent="0.25">
      <c r="B84" s="4" t="s">
        <v>328</v>
      </c>
      <c r="C84">
        <v>7.5</v>
      </c>
      <c r="D84" t="s">
        <v>84</v>
      </c>
      <c r="E84" t="s">
        <v>5</v>
      </c>
      <c r="F84" s="3">
        <v>0.21454558387776099</v>
      </c>
      <c r="G84" s="3">
        <v>6.593568911523901E-4</v>
      </c>
      <c r="H84" s="3">
        <v>6.593568911523901E-4</v>
      </c>
      <c r="I84" s="3">
        <v>0</v>
      </c>
      <c r="J84" s="3">
        <v>4.7304000000000004</v>
      </c>
      <c r="K84" s="3">
        <v>7.0000000000000007E-2</v>
      </c>
      <c r="L84" s="2">
        <f>Base[[#This Row],[Coût]]*Base[[#This Row],[Part_ménages_dépenses_santé]]</f>
        <v>0.33112800000000003</v>
      </c>
      <c r="M84" s="2">
        <v>1</v>
      </c>
      <c r="N84" s="6">
        <v>27700000</v>
      </c>
      <c r="O84" s="7">
        <f>Base[[#This Row],[Coût_salarié]]*10^9*Base[[#This Row],[Risque]]*Base[[#This Row],[Prévalence]]*Base[[#This Row],[Part_coûts_salarié]]/Base[[#This Row],[Population_emploi]]</f>
        <v>1.6910492885881272E-3</v>
      </c>
      <c r="P84">
        <v>50</v>
      </c>
      <c r="Q84">
        <v>50</v>
      </c>
      <c r="R84" s="2">
        <v>9.9999999999999978E-2</v>
      </c>
      <c r="S84" s="2">
        <v>0.33340000000000003</v>
      </c>
      <c r="T84" s="4">
        <v>6.593568911523901E-4</v>
      </c>
      <c r="U84" s="4">
        <f>IF(Bases_annexes!$F$5=0,16.6587111018772,0.77*Bases_annexes!$F$5/(IF(OR(ISBLANK('Données_d''entrée'!$E$44),'Données_d''entrée'!$E$44=0),35,'Données_d''entrée'!$E$44)*52))</f>
        <v>16.658711101877199</v>
      </c>
      <c r="V84" s="4">
        <v>45.453421187287603</v>
      </c>
      <c r="W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4" s="4">
        <v>234.5</v>
      </c>
      <c r="Y84" s="4">
        <f>(Base[[#This Row],['[Maladies']Coûts_évités_par_salarié]]+Base[[#This Row],['[Travail']Coûts_évités_par_salarié]])/Base[[#This Row],[Budget_santé_salarié]]</f>
        <v>5.16888978556442E-4</v>
      </c>
      <c r="Z84" s="4">
        <v>0.8</v>
      </c>
      <c r="AA84" s="4">
        <f>Base[[#This Row],[Coût]]*Base[[#This Row],[Part_société_dépenses_santé]]</f>
        <v>3.7843200000000006</v>
      </c>
      <c r="AB84" s="4">
        <v>67635124</v>
      </c>
      <c r="AC84" s="4">
        <v>82.297079063317852</v>
      </c>
      <c r="AD84" s="4">
        <v>6.593568911523901E-4</v>
      </c>
      <c r="AE84" s="4">
        <f>Base[[#This Row],['[SC']Prévalence_travail]]*Base[[#This Row],[Population_emploi]]</f>
        <v>18264.185884921208</v>
      </c>
      <c r="AF84" s="4">
        <f>Base[[#This Row],[Risque]]*Base[[#This Row],['[SC']Patients_en_emploi]]</f>
        <v>3918.5004247323814</v>
      </c>
      <c r="AG84" s="4">
        <v>60180000</v>
      </c>
      <c r="AH84" s="4">
        <f>IFERROR(Base[[#This Row],['[SC']Prestations]]/Base[[#This Row],['[SC']Patients_en_emploi]],0)</f>
        <v>3294.9730351619019</v>
      </c>
      <c r="AI84" s="4">
        <v>51.7</v>
      </c>
      <c r="AJ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4" s="4">
        <f>Base[[#This Row],['[SC']'[Travail']Coûts_évités]]/Base[[#This Row],[Population_emploi]]</f>
        <v>0.46611383529832695</v>
      </c>
      <c r="AL84" s="4">
        <f>Base[[#This Row],[Coût_société]]*10^9*Base[[#This Row],[Risque]]*Base[[#This Row],[Prévalence]]*Base[[#This Row],[Part_coûts_salarié]]/Base[[#This Row],[Population_emploi]]</f>
        <v>1.9326277583864307E-2</v>
      </c>
      <c r="AM84" s="4">
        <f>IF(Base[[#This Row],[Pathologie]]&lt;&gt;"Dépendance",0,14909.24243952)</f>
        <v>0</v>
      </c>
      <c r="AN84" s="4">
        <f>IF(Base[[#This Row],[Pathologie]]&lt;&gt;"Dépendance",0,1316000)</f>
        <v>0</v>
      </c>
      <c r="AO84" s="4">
        <f>IF(Base[[#This Row],[Pathologie]]&lt;&gt;"Dépendance",0,Base[[#This Row],['[SC']Coût_personne_dépendante]]*Base[[#This Row],['[SC']Nb_personnes_dépendantes]])</f>
        <v>0</v>
      </c>
      <c r="AP84" s="4">
        <f>IF(Base[[#This Row],[Pathologie]]&lt;&gt;"Dépendance",0,Base[[#This Row],['[SC']Coût_total_dépendance]]/Base[[#This Row],[Population_totale]])</f>
        <v>0</v>
      </c>
      <c r="AQ84" s="4">
        <f>IF(Base[[#This Row],[Pathologie]]&lt;&gt;"Dépendance",0,4.5)</f>
        <v>0</v>
      </c>
      <c r="AR84" s="4">
        <v>0.50393265050357905</v>
      </c>
      <c r="AS84" s="4">
        <f>Base[[#This Row],[Espérance_vie]]+Base[[#This Row],['[SC']Hausse_esp_de_vie]]-Base[[#This Row],['[SC']Durée_moyenne_dépendance_avt]]+Base[[#This Row],[Risque]]</f>
        <v>83.015557297699203</v>
      </c>
      <c r="AT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4" s="4">
        <v>62.9</v>
      </c>
      <c r="AW84" s="4">
        <f t="shared" si="0"/>
        <v>336905600000</v>
      </c>
      <c r="AX84" s="4">
        <v>15049171</v>
      </c>
      <c r="AY84" s="4">
        <f>Base[[#This Row],['[SC']Budget_total_retraites]]/Base[[#This Row],['[SC']Nombre_de_retraités]]</f>
        <v>22386.987296509556</v>
      </c>
      <c r="AZ84" s="4">
        <f>Base[[#This Row],['[SC']Budget_par_retraité]]*Base[[#This Row],['[SC']Nb_personnes_dépendantes]]</f>
        <v>0</v>
      </c>
      <c r="BA84" s="4">
        <f>Base[[#This Row],['[SC']'[Dépendance']Coût_retraite_personnes_dépendantes]]/Base[[#This Row],[Population_totale]]</f>
        <v>0</v>
      </c>
      <c r="BB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4" s="4">
        <f>Base[[#This Row],['[SC']'[Dépendance']Gains]]-Base[[#This Row],['[SC']'[Dépendance']Coûts]]</f>
        <v>0</v>
      </c>
      <c r="BD84" s="4">
        <f>IF(Base[[#This Row],[Pathologie]]&lt;&gt;"Mort prématurée",0,Base[[#This Row],[Risque]]*Base[[#This Row],[Prévalence]]*Base[[#This Row],[Population_totale]])</f>
        <v>0</v>
      </c>
      <c r="BE84" s="4">
        <v>52.74</v>
      </c>
      <c r="BF84" s="4">
        <f>Base[[#This Row],['[SC']Âge_moyen_retraite]]-Base[[#This Row],['[SC']'[Mort_prématurée']Âge_moyen_mort précoce]]</f>
        <v>10.159999999999997</v>
      </c>
      <c r="BG84" s="4">
        <f>Base[[#This Row],[Espérance_vie]]+Base[[#This Row],['[SC']Hausse_esp_de_vie]]-Base[[#This Row],['[SC']Âge_moyen_retraite]]</f>
        <v>19.90101171382144</v>
      </c>
      <c r="BH84" s="4">
        <v>106583.42676924677</v>
      </c>
      <c r="BI84" s="4">
        <v>97601.789429271477</v>
      </c>
      <c r="BJ84" s="4">
        <v>302038.31496633729</v>
      </c>
      <c r="BK84" s="4">
        <v>117293.58934859755</v>
      </c>
      <c r="BL84" s="4">
        <v>1523999.9999999995</v>
      </c>
      <c r="BM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4" s="4">
        <v>294804.96027377353</v>
      </c>
      <c r="BO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4" s="4">
        <f>(Base[[#This Row],['[SC']'[Mort_prématurée']Gains]]-Base[[#This Row],['[SC']'[Mort_prématurée']Coûts]])/Base[[#This Row],[Population_totale]]</f>
        <v>0</v>
      </c>
      <c r="BQ84" s="4">
        <f>IF(Base[[#This Row],[Pathologie]]&lt;&gt;"Mort prématurée",0,Base[[#This Row],[Risque]])</f>
        <v>0</v>
      </c>
      <c r="BR84" s="4">
        <v>2680</v>
      </c>
      <c r="BS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4" s="4">
        <f>Base[[#This Row],[Prévalence_prod]]*(1-Base[[#This Row],[Risque]])*Base[[#This Row],[Durée_arrêt]]*Base[[#This Row],[Population_emploi]]</f>
        <v>652060.48344231036</v>
      </c>
      <c r="BV84" s="4">
        <f>Base[[#This Row],['[Prod']'[Absentéisme']Total_jours_absence_avant]]-Base[[#This Row],['[Prod']'[Absentéisme']Total_jours_absence_après]]</f>
        <v>178109.2502279263</v>
      </c>
      <c r="BW84" s="4">
        <f>IF(AND(Base[[#This Row],[Pathologie]]&lt;&gt;"Dépendance",Base[[#This Row],[Pathologie]]&lt;&gt;"Mort prématurée",Base[[#This Row],[Pathologie]]&lt;&gt;"Migraine"),0.0619,0)</f>
        <v>6.1899999999999997E-2</v>
      </c>
      <c r="BX84" s="4">
        <v>254</v>
      </c>
      <c r="BY8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4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4" s="4">
        <f>Base[[#This Row],[Prévalence_prod]]*Base[[#This Row],[Présentéisme]]*Base[[#This Row],['[Prod']Jours_ouvrés]]</f>
        <v>0</v>
      </c>
      <c r="CB84" s="4">
        <f>Base[[#This Row],[Prévalence_prod]]*(1-Base[[#This Row],[Risque]])*Base[[#This Row],[Présentéisme]]*Base[[#This Row],['[Prod']Jours_ouvrés]]</f>
        <v>0</v>
      </c>
      <c r="CC84" s="4">
        <f>Base[[#This Row],['[Prod']'[Présentéisme']Jours_avant]]-Base[[#This Row],['[Prod']'[Présentéisme']Jours_après]]</f>
        <v>0</v>
      </c>
      <c r="CD84" s="4">
        <f>Base[[#This Row],['[Prod']'[Présentéisme']Jours_gagnés]]/Base[[#This Row],['[Prod']Jours_ouvrés]]</f>
        <v>0</v>
      </c>
      <c r="CE84">
        <v>5.8333039429220801E-2</v>
      </c>
      <c r="CF84">
        <v>1.4658164114728258E-2</v>
      </c>
      <c r="CG84" s="4">
        <v>11</v>
      </c>
      <c r="CH84" s="4">
        <v>0.60922528771817497</v>
      </c>
      <c r="CI84" s="4">
        <v>3.8601807163334179E-3</v>
      </c>
      <c r="CJ84" s="4">
        <f>IF(Base[[#This Row],[Secteur]]&lt;&gt;"Moyenne",Base[[#This Row],['[Prod']'[Turnover']DMC_initiale]]*(1+Base[[#This Row],['[Prod']'[Turnover']Ecart_accidents]]*Base[[#This Row],['[Prod']Impact_motifs_turnover]]),CJ67*CI67+CJ68*CI68+CJ69*CI69+CJ70*CI70+CJ71*CI71+CJ72*CI72+CJ73*CI73+CJ74*CI74+CJ75*CI75+CJ76*CI76+CJ77*CI77+CJ78*CI78+CJ79*CI79+CJ80*CI80+CJ81*CI81+CJ82*CI82+CJ83*CI83)</f>
        <v>11.098231366752371</v>
      </c>
      <c r="CK84" s="4">
        <f>1/Base[[#This Row],['[Prod']'[Turnover']DMC_initiale]]</f>
        <v>9.0909090909090912E-2</v>
      </c>
      <c r="CL84" s="4">
        <f>1/Base[[#This Row],['[Prod']'[Turnover']DMC_finale]]</f>
        <v>9.0104447001867274E-2</v>
      </c>
    </row>
    <row r="85" spans="2:90" x14ac:dyDescent="0.25">
      <c r="B85" s="4" t="s">
        <v>329</v>
      </c>
      <c r="C85">
        <v>7.5</v>
      </c>
      <c r="D85" t="s">
        <v>84</v>
      </c>
      <c r="E85" t="s">
        <v>5</v>
      </c>
      <c r="F85" s="3">
        <v>0.21454558387776099</v>
      </c>
      <c r="G85" s="3">
        <v>6.593568911523901E-4</v>
      </c>
      <c r="H85" s="3">
        <v>6.593568911523901E-4</v>
      </c>
      <c r="I85" s="3">
        <v>0</v>
      </c>
      <c r="J85" s="3">
        <v>4.7304000000000004</v>
      </c>
      <c r="K85" s="3">
        <v>7.0000000000000007E-2</v>
      </c>
      <c r="L85" s="2">
        <f>Base[[#This Row],[Coût]]*Base[[#This Row],[Part_ménages_dépenses_santé]]</f>
        <v>0.33112800000000003</v>
      </c>
      <c r="M85" s="2">
        <v>1</v>
      </c>
      <c r="N85" s="6">
        <v>27700000</v>
      </c>
      <c r="O85" s="7">
        <f>Base[[#This Row],[Coût_salarié]]*10^9*Base[[#This Row],[Risque]]*Base[[#This Row],[Prévalence]]*Base[[#This Row],[Part_coûts_salarié]]/Base[[#This Row],[Population_emploi]]</f>
        <v>1.6910492885881272E-3</v>
      </c>
      <c r="P85">
        <v>50</v>
      </c>
      <c r="Q85">
        <v>50</v>
      </c>
      <c r="R85" s="2">
        <v>9.9999999999999978E-2</v>
      </c>
      <c r="S85" s="2">
        <v>0.33340000000000003</v>
      </c>
      <c r="T85" s="4">
        <v>6.593568911523901E-4</v>
      </c>
      <c r="U85" s="4">
        <f>IF(Bases_annexes!$F$5=0,16.6587111018772,0.77*Bases_annexes!$F$5/(IF(OR(ISBLANK('Données_d''entrée'!$E$44),'Données_d''entrée'!$E$44=0),35,'Données_d''entrée'!$E$44)*52))</f>
        <v>16.658711101877199</v>
      </c>
      <c r="V85" s="4">
        <v>45.453421187287603</v>
      </c>
      <c r="W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5" s="4">
        <v>234.5</v>
      </c>
      <c r="Y85" s="4">
        <f>(Base[[#This Row],['[Maladies']Coûts_évités_par_salarié]]+Base[[#This Row],['[Travail']Coûts_évités_par_salarié]])/Base[[#This Row],[Budget_santé_salarié]]</f>
        <v>5.16888978556442E-4</v>
      </c>
      <c r="Z85" s="4">
        <v>0.8</v>
      </c>
      <c r="AA85" s="4">
        <f>Base[[#This Row],[Coût]]*Base[[#This Row],[Part_société_dépenses_santé]]</f>
        <v>3.7843200000000006</v>
      </c>
      <c r="AB85" s="4">
        <v>67635124</v>
      </c>
      <c r="AC85" s="4">
        <v>82.297079063317852</v>
      </c>
      <c r="AD85" s="4">
        <v>6.593568911523901E-4</v>
      </c>
      <c r="AE85" s="4">
        <f>Base[[#This Row],['[SC']Prévalence_travail]]*Base[[#This Row],[Population_emploi]]</f>
        <v>18264.185884921208</v>
      </c>
      <c r="AF85" s="4">
        <f>Base[[#This Row],[Risque]]*Base[[#This Row],['[SC']Patients_en_emploi]]</f>
        <v>3918.5004247323814</v>
      </c>
      <c r="AG85" s="4">
        <v>60180000</v>
      </c>
      <c r="AH85" s="4">
        <f>IFERROR(Base[[#This Row],['[SC']Prestations]]/Base[[#This Row],['[SC']Patients_en_emploi]],0)</f>
        <v>3294.9730351619019</v>
      </c>
      <c r="AI85" s="4">
        <v>51.7</v>
      </c>
      <c r="AJ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5" s="4">
        <f>Base[[#This Row],['[SC']'[Travail']Coûts_évités]]/Base[[#This Row],[Population_emploi]]</f>
        <v>0.46611383529832695</v>
      </c>
      <c r="AL85" s="4">
        <f>Base[[#This Row],[Coût_société]]*10^9*Base[[#This Row],[Risque]]*Base[[#This Row],[Prévalence]]*Base[[#This Row],[Part_coûts_salarié]]/Base[[#This Row],[Population_emploi]]</f>
        <v>1.9326277583864307E-2</v>
      </c>
      <c r="AM85" s="4">
        <f>IF(Base[[#This Row],[Pathologie]]&lt;&gt;"Dépendance",0,14909.24243952)</f>
        <v>0</v>
      </c>
      <c r="AN85" s="4">
        <f>IF(Base[[#This Row],[Pathologie]]&lt;&gt;"Dépendance",0,1316000)</f>
        <v>0</v>
      </c>
      <c r="AO85" s="4">
        <f>IF(Base[[#This Row],[Pathologie]]&lt;&gt;"Dépendance",0,Base[[#This Row],['[SC']Coût_personne_dépendante]]*Base[[#This Row],['[SC']Nb_personnes_dépendantes]])</f>
        <v>0</v>
      </c>
      <c r="AP85" s="4">
        <f>IF(Base[[#This Row],[Pathologie]]&lt;&gt;"Dépendance",0,Base[[#This Row],['[SC']Coût_total_dépendance]]/Base[[#This Row],[Population_totale]])</f>
        <v>0</v>
      </c>
      <c r="AQ85" s="4">
        <f>IF(Base[[#This Row],[Pathologie]]&lt;&gt;"Dépendance",0,4.5)</f>
        <v>0</v>
      </c>
      <c r="AR85" s="4">
        <v>0.50393265050357905</v>
      </c>
      <c r="AS85" s="4">
        <f>Base[[#This Row],[Espérance_vie]]+Base[[#This Row],['[SC']Hausse_esp_de_vie]]-Base[[#This Row],['[SC']Durée_moyenne_dépendance_avt]]+Base[[#This Row],[Risque]]</f>
        <v>83.015557297699203</v>
      </c>
      <c r="AT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5" s="4">
        <v>62.9</v>
      </c>
      <c r="AW85" s="4">
        <f t="shared" si="0"/>
        <v>336905600000</v>
      </c>
      <c r="AX85" s="4">
        <v>15049171</v>
      </c>
      <c r="AY85" s="4">
        <f>Base[[#This Row],['[SC']Budget_total_retraites]]/Base[[#This Row],['[SC']Nombre_de_retraités]]</f>
        <v>22386.987296509556</v>
      </c>
      <c r="AZ85" s="4">
        <f>Base[[#This Row],['[SC']Budget_par_retraité]]*Base[[#This Row],['[SC']Nb_personnes_dépendantes]]</f>
        <v>0</v>
      </c>
      <c r="BA85" s="4">
        <f>Base[[#This Row],['[SC']'[Dépendance']Coût_retraite_personnes_dépendantes]]/Base[[#This Row],[Population_totale]]</f>
        <v>0</v>
      </c>
      <c r="BB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5" s="4">
        <f>Base[[#This Row],['[SC']'[Dépendance']Gains]]-Base[[#This Row],['[SC']'[Dépendance']Coûts]]</f>
        <v>0</v>
      </c>
      <c r="BD85" s="4">
        <f>IF(Base[[#This Row],[Pathologie]]&lt;&gt;"Mort prématurée",0,Base[[#This Row],[Risque]]*Base[[#This Row],[Prévalence]]*Base[[#This Row],[Population_totale]])</f>
        <v>0</v>
      </c>
      <c r="BE85" s="4">
        <v>52.74</v>
      </c>
      <c r="BF85" s="4">
        <f>Base[[#This Row],['[SC']Âge_moyen_retraite]]-Base[[#This Row],['[SC']'[Mort_prématurée']Âge_moyen_mort précoce]]</f>
        <v>10.159999999999997</v>
      </c>
      <c r="BG85" s="4">
        <f>Base[[#This Row],[Espérance_vie]]+Base[[#This Row],['[SC']Hausse_esp_de_vie]]-Base[[#This Row],['[SC']Âge_moyen_retraite]]</f>
        <v>19.90101171382144</v>
      </c>
      <c r="BH85" s="4">
        <v>106583.42676924677</v>
      </c>
      <c r="BI85" s="4">
        <v>97601.789429271477</v>
      </c>
      <c r="BJ85" s="4">
        <v>302038.31496633729</v>
      </c>
      <c r="BK85" s="4">
        <v>117293.58934859755</v>
      </c>
      <c r="BL85" s="4">
        <v>1523999.9999999995</v>
      </c>
      <c r="BM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5" s="4">
        <v>294804.96027377353</v>
      </c>
      <c r="BO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5" s="4">
        <f>(Base[[#This Row],['[SC']'[Mort_prématurée']Gains]]-Base[[#This Row],['[SC']'[Mort_prématurée']Coûts]])/Base[[#This Row],[Population_totale]]</f>
        <v>0</v>
      </c>
      <c r="BQ85" s="4">
        <f>IF(Base[[#This Row],[Pathologie]]&lt;&gt;"Mort prématurée",0,Base[[#This Row],[Risque]])</f>
        <v>0</v>
      </c>
      <c r="BR85" s="4">
        <v>2680</v>
      </c>
      <c r="BS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5" s="4">
        <f>Base[[#This Row],[Prévalence_prod]]*(1-Base[[#This Row],[Risque]])*Base[[#This Row],[Durée_arrêt]]*Base[[#This Row],[Population_emploi]]</f>
        <v>652060.48344231036</v>
      </c>
      <c r="BV85" s="4">
        <f>Base[[#This Row],['[Prod']'[Absentéisme']Total_jours_absence_avant]]-Base[[#This Row],['[Prod']'[Absentéisme']Total_jours_absence_après]]</f>
        <v>178109.2502279263</v>
      </c>
      <c r="BW85" s="4">
        <f>IF(AND(Base[[#This Row],[Pathologie]]&lt;&gt;"Dépendance",Base[[#This Row],[Pathologie]]&lt;&gt;"Mort prématurée",Base[[#This Row],[Pathologie]]&lt;&gt;"Migraine"),0.0619,0)</f>
        <v>6.1899999999999997E-2</v>
      </c>
      <c r="BX85" s="4">
        <v>254</v>
      </c>
      <c r="BY85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5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5" s="4">
        <f>Base[[#This Row],[Prévalence_prod]]*Base[[#This Row],[Présentéisme]]*Base[[#This Row],['[Prod']Jours_ouvrés]]</f>
        <v>0</v>
      </c>
      <c r="CB85" s="4">
        <f>Base[[#This Row],[Prévalence_prod]]*(1-Base[[#This Row],[Risque]])*Base[[#This Row],[Présentéisme]]*Base[[#This Row],['[Prod']Jours_ouvrés]]</f>
        <v>0</v>
      </c>
      <c r="CC85" s="4">
        <f>Base[[#This Row],['[Prod']'[Présentéisme']Jours_avant]]-Base[[#This Row],['[Prod']'[Présentéisme']Jours_après]]</f>
        <v>0</v>
      </c>
      <c r="CD85" s="4">
        <f>Base[[#This Row],['[Prod']'[Présentéisme']Jours_gagnés]]/Base[[#This Row],['[Prod']Jours_ouvrés]]</f>
        <v>0</v>
      </c>
      <c r="CE85">
        <v>5.8333039429220801E-2</v>
      </c>
      <c r="CF85">
        <v>1.4658164114728258E-2</v>
      </c>
      <c r="CG85" s="4">
        <v>11</v>
      </c>
      <c r="CH85" s="4">
        <v>0.78414927716175975</v>
      </c>
      <c r="CI85" s="4">
        <v>0.12835819090128339</v>
      </c>
      <c r="CJ85" s="4">
        <f>IF(Base[[#This Row],[Secteur]]&lt;&gt;"Moyenne",Base[[#This Row],['[Prod']'[Turnover']DMC_initiale]]*(1+Base[[#This Row],['[Prod']'[Turnover']Ecart_accidents]]*Base[[#This Row],['[Prod']Impact_motifs_turnover]]),CJ68*CI68+CJ69*CI69+CJ70*CI70+CJ71*CI71+CJ72*CI72+CJ73*CI73+CJ74*CI74+CJ75*CI75+CJ76*CI76+CJ77*CI77+CJ78*CI78+CJ79*CI79+CJ80*CI80+CJ81*CI81+CJ82*CI82+CJ83*CI83+CJ84*CI84)</f>
        <v>11.126436076745907</v>
      </c>
      <c r="CK85" s="4">
        <f>1/Base[[#This Row],['[Prod']'[Turnover']DMC_initiale]]</f>
        <v>9.0909090909090912E-2</v>
      </c>
      <c r="CL85" s="4">
        <f>1/Base[[#This Row],['[Prod']'[Turnover']DMC_finale]]</f>
        <v>8.9876038751526707E-2</v>
      </c>
    </row>
    <row r="86" spans="2:90" x14ac:dyDescent="0.25">
      <c r="B86" s="4" t="s">
        <v>330</v>
      </c>
      <c r="C86">
        <v>7.5</v>
      </c>
      <c r="D86" t="s">
        <v>84</v>
      </c>
      <c r="E86" t="s">
        <v>5</v>
      </c>
      <c r="F86" s="3">
        <v>0.21454558387776099</v>
      </c>
      <c r="G86" s="3">
        <v>6.593568911523901E-4</v>
      </c>
      <c r="H86" s="3">
        <v>6.593568911523901E-4</v>
      </c>
      <c r="I86" s="3">
        <v>0</v>
      </c>
      <c r="J86" s="3">
        <v>4.7304000000000004</v>
      </c>
      <c r="K86" s="3">
        <v>7.0000000000000007E-2</v>
      </c>
      <c r="L86" s="2">
        <f>Base[[#This Row],[Coût]]*Base[[#This Row],[Part_ménages_dépenses_santé]]</f>
        <v>0.33112800000000003</v>
      </c>
      <c r="M86" s="2">
        <v>1</v>
      </c>
      <c r="N86" s="6">
        <v>27700000</v>
      </c>
      <c r="O86" s="7">
        <f>Base[[#This Row],[Coût_salarié]]*10^9*Base[[#This Row],[Risque]]*Base[[#This Row],[Prévalence]]*Base[[#This Row],[Part_coûts_salarié]]/Base[[#This Row],[Population_emploi]]</f>
        <v>1.6910492885881272E-3</v>
      </c>
      <c r="P86">
        <v>50</v>
      </c>
      <c r="Q86">
        <v>50</v>
      </c>
      <c r="R86" s="2">
        <v>9.9999999999999978E-2</v>
      </c>
      <c r="S86" s="2">
        <v>0.33340000000000003</v>
      </c>
      <c r="T86" s="4">
        <v>6.593568911523901E-4</v>
      </c>
      <c r="U86" s="4">
        <f>IF(Bases_annexes!$F$5=0,16.6587111018772,0.77*Bases_annexes!$F$5/(IF(OR(ISBLANK('Données_d''entrée'!$E$44),'Données_d''entrée'!$E$44=0),35,'Données_d''entrée'!$E$44)*52))</f>
        <v>16.658711101877199</v>
      </c>
      <c r="V86" s="4">
        <v>45.453421187287603</v>
      </c>
      <c r="W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6" s="4">
        <v>234.5</v>
      </c>
      <c r="Y86" s="4">
        <f>(Base[[#This Row],['[Maladies']Coûts_évités_par_salarié]]+Base[[#This Row],['[Travail']Coûts_évités_par_salarié]])/Base[[#This Row],[Budget_santé_salarié]]</f>
        <v>5.16888978556442E-4</v>
      </c>
      <c r="Z86" s="4">
        <v>0.8</v>
      </c>
      <c r="AA86" s="4">
        <f>Base[[#This Row],[Coût]]*Base[[#This Row],[Part_société_dépenses_santé]]</f>
        <v>3.7843200000000006</v>
      </c>
      <c r="AB86" s="4">
        <v>67635124</v>
      </c>
      <c r="AC86" s="4">
        <v>82.297079063317852</v>
      </c>
      <c r="AD86" s="4">
        <v>6.593568911523901E-4</v>
      </c>
      <c r="AE86" s="4">
        <f>Base[[#This Row],['[SC']Prévalence_travail]]*Base[[#This Row],[Population_emploi]]</f>
        <v>18264.185884921208</v>
      </c>
      <c r="AF86" s="4">
        <f>Base[[#This Row],[Risque]]*Base[[#This Row],['[SC']Patients_en_emploi]]</f>
        <v>3918.5004247323814</v>
      </c>
      <c r="AG86" s="4">
        <v>60180000</v>
      </c>
      <c r="AH86" s="4">
        <f>IFERROR(Base[[#This Row],['[SC']Prestations]]/Base[[#This Row],['[SC']Patients_en_emploi]],0)</f>
        <v>3294.9730351619019</v>
      </c>
      <c r="AI86" s="4">
        <v>51.7</v>
      </c>
      <c r="AJ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6" s="4">
        <f>Base[[#This Row],['[SC']'[Travail']Coûts_évités]]/Base[[#This Row],[Population_emploi]]</f>
        <v>0.46611383529832695</v>
      </c>
      <c r="AL86" s="4">
        <f>Base[[#This Row],[Coût_société]]*10^9*Base[[#This Row],[Risque]]*Base[[#This Row],[Prévalence]]*Base[[#This Row],[Part_coûts_salarié]]/Base[[#This Row],[Population_emploi]]</f>
        <v>1.9326277583864307E-2</v>
      </c>
      <c r="AM86" s="4">
        <f>IF(Base[[#This Row],[Pathologie]]&lt;&gt;"Dépendance",0,14909.24243952)</f>
        <v>0</v>
      </c>
      <c r="AN86" s="4">
        <f>IF(Base[[#This Row],[Pathologie]]&lt;&gt;"Dépendance",0,1316000)</f>
        <v>0</v>
      </c>
      <c r="AO86" s="4">
        <f>IF(Base[[#This Row],[Pathologie]]&lt;&gt;"Dépendance",0,Base[[#This Row],['[SC']Coût_personne_dépendante]]*Base[[#This Row],['[SC']Nb_personnes_dépendantes]])</f>
        <v>0</v>
      </c>
      <c r="AP86" s="4">
        <f>IF(Base[[#This Row],[Pathologie]]&lt;&gt;"Dépendance",0,Base[[#This Row],['[SC']Coût_total_dépendance]]/Base[[#This Row],[Population_totale]])</f>
        <v>0</v>
      </c>
      <c r="AQ86" s="4">
        <f>IF(Base[[#This Row],[Pathologie]]&lt;&gt;"Dépendance",0,4.5)</f>
        <v>0</v>
      </c>
      <c r="AR86" s="4">
        <v>0.50393265050357905</v>
      </c>
      <c r="AS86" s="4">
        <f>Base[[#This Row],[Espérance_vie]]+Base[[#This Row],['[SC']Hausse_esp_de_vie]]-Base[[#This Row],['[SC']Durée_moyenne_dépendance_avt]]+Base[[#This Row],[Risque]]</f>
        <v>83.015557297699203</v>
      </c>
      <c r="AT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6" s="4">
        <v>62.9</v>
      </c>
      <c r="AW86" s="4">
        <f t="shared" si="0"/>
        <v>336905600000</v>
      </c>
      <c r="AX86" s="4">
        <v>15049171</v>
      </c>
      <c r="AY86" s="4">
        <f>Base[[#This Row],['[SC']Budget_total_retraites]]/Base[[#This Row],['[SC']Nombre_de_retraités]]</f>
        <v>22386.987296509556</v>
      </c>
      <c r="AZ86" s="4">
        <f>Base[[#This Row],['[SC']Budget_par_retraité]]*Base[[#This Row],['[SC']Nb_personnes_dépendantes]]</f>
        <v>0</v>
      </c>
      <c r="BA86" s="4">
        <f>Base[[#This Row],['[SC']'[Dépendance']Coût_retraite_personnes_dépendantes]]/Base[[#This Row],[Population_totale]]</f>
        <v>0</v>
      </c>
      <c r="BB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6" s="4">
        <f>Base[[#This Row],['[SC']'[Dépendance']Gains]]-Base[[#This Row],['[SC']'[Dépendance']Coûts]]</f>
        <v>0</v>
      </c>
      <c r="BD86" s="4">
        <f>IF(Base[[#This Row],[Pathologie]]&lt;&gt;"Mort prématurée",0,Base[[#This Row],[Risque]]*Base[[#This Row],[Prévalence]]*Base[[#This Row],[Population_totale]])</f>
        <v>0</v>
      </c>
      <c r="BE86" s="4">
        <v>52.74</v>
      </c>
      <c r="BF86" s="4">
        <f>Base[[#This Row],['[SC']Âge_moyen_retraite]]-Base[[#This Row],['[SC']'[Mort_prématurée']Âge_moyen_mort précoce]]</f>
        <v>10.159999999999997</v>
      </c>
      <c r="BG86" s="4">
        <f>Base[[#This Row],[Espérance_vie]]+Base[[#This Row],['[SC']Hausse_esp_de_vie]]-Base[[#This Row],['[SC']Âge_moyen_retraite]]</f>
        <v>19.90101171382144</v>
      </c>
      <c r="BH86" s="4">
        <v>106583.42676924677</v>
      </c>
      <c r="BI86" s="4">
        <v>97601.789429271477</v>
      </c>
      <c r="BJ86" s="4">
        <v>302038.31496633729</v>
      </c>
      <c r="BK86" s="4">
        <v>117293.58934859755</v>
      </c>
      <c r="BL86" s="4">
        <v>1523999.9999999995</v>
      </c>
      <c r="BM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6" s="4">
        <v>294804.96027377353</v>
      </c>
      <c r="BO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6" s="4">
        <f>(Base[[#This Row],['[SC']'[Mort_prématurée']Gains]]-Base[[#This Row],['[SC']'[Mort_prématurée']Coûts]])/Base[[#This Row],[Population_totale]]</f>
        <v>0</v>
      </c>
      <c r="BQ86" s="4">
        <f>IF(Base[[#This Row],[Pathologie]]&lt;&gt;"Mort prématurée",0,Base[[#This Row],[Risque]])</f>
        <v>0</v>
      </c>
      <c r="BR86" s="4">
        <v>2680</v>
      </c>
      <c r="BS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6" s="4">
        <f>Base[[#This Row],[Prévalence_prod]]*(1-Base[[#This Row],[Risque]])*Base[[#This Row],[Durée_arrêt]]*Base[[#This Row],[Population_emploi]]</f>
        <v>652060.48344231036</v>
      </c>
      <c r="BV86" s="4">
        <f>Base[[#This Row],['[Prod']'[Absentéisme']Total_jours_absence_avant]]-Base[[#This Row],['[Prod']'[Absentéisme']Total_jours_absence_après]]</f>
        <v>178109.2502279263</v>
      </c>
      <c r="BW86" s="4">
        <f>IF(AND(Base[[#This Row],[Pathologie]]&lt;&gt;"Dépendance",Base[[#This Row],[Pathologie]]&lt;&gt;"Mort prématurée",Base[[#This Row],[Pathologie]]&lt;&gt;"Migraine"),0.0619,0)</f>
        <v>6.1899999999999997E-2</v>
      </c>
      <c r="BX86" s="4">
        <v>254</v>
      </c>
      <c r="BY86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6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6" s="4">
        <f>Base[[#This Row],[Prévalence_prod]]*Base[[#This Row],[Présentéisme]]*Base[[#This Row],['[Prod']Jours_ouvrés]]</f>
        <v>0</v>
      </c>
      <c r="CB86" s="4">
        <f>Base[[#This Row],[Prévalence_prod]]*(1-Base[[#This Row],[Risque]])*Base[[#This Row],[Présentéisme]]*Base[[#This Row],['[Prod']Jours_ouvrés]]</f>
        <v>0</v>
      </c>
      <c r="CC86" s="4">
        <f>Base[[#This Row],['[Prod']'[Présentéisme']Jours_avant]]-Base[[#This Row],['[Prod']'[Présentéisme']Jours_après]]</f>
        <v>0</v>
      </c>
      <c r="CD86" s="4">
        <f>Base[[#This Row],['[Prod']'[Présentéisme']Jours_gagnés]]/Base[[#This Row],['[Prod']Jours_ouvrés]]</f>
        <v>0</v>
      </c>
      <c r="CE86">
        <v>5.8333039429220801E-2</v>
      </c>
      <c r="CF86">
        <v>1.4658164114728258E-2</v>
      </c>
      <c r="CG86" s="4">
        <v>11</v>
      </c>
      <c r="CH86" s="4">
        <v>0.99648427619813984</v>
      </c>
      <c r="CI86" s="4">
        <v>0.42377466100567313</v>
      </c>
      <c r="CJ86" s="4">
        <f>IF(Base[[#This Row],[Secteur]]&lt;&gt;"Moyenne",Base[[#This Row],['[Prod']'[Turnover']DMC_initiale]]*(1+Base[[#This Row],['[Prod']'[Turnover']Ecart_accidents]]*Base[[#This Row],['[Prod']Impact_motifs_turnover]]),CJ69*CI69+CJ70*CI70+CJ71*CI71+CJ72*CI72+CJ73*CI73+CJ74*CI74+CJ75*CI75+CJ76*CI76+CJ77*CI77+CJ78*CI78+CJ79*CI79+CJ80*CI80+CJ81*CI81+CJ82*CI82+CJ83*CI83+CJ84*CI84+CJ85*CI85)</f>
        <v>11.160672930640844</v>
      </c>
      <c r="CK86" s="4">
        <f>1/Base[[#This Row],['[Prod']'[Turnover']DMC_initiale]]</f>
        <v>9.0909090909090912E-2</v>
      </c>
      <c r="CL86" s="4">
        <f>1/Base[[#This Row],['[Prod']'[Turnover']DMC_finale]]</f>
        <v>8.9600332006376626E-2</v>
      </c>
    </row>
    <row r="87" spans="2:90" x14ac:dyDescent="0.25">
      <c r="B87" s="4" t="s">
        <v>331</v>
      </c>
      <c r="C87">
        <v>7.5</v>
      </c>
      <c r="D87" t="s">
        <v>84</v>
      </c>
      <c r="E87" t="s">
        <v>5</v>
      </c>
      <c r="F87" s="3">
        <v>0.21454558387776099</v>
      </c>
      <c r="G87" s="3">
        <v>6.593568911523901E-4</v>
      </c>
      <c r="H87" s="3">
        <v>6.593568911523901E-4</v>
      </c>
      <c r="I87" s="3">
        <v>0</v>
      </c>
      <c r="J87" s="3">
        <v>4.7304000000000004</v>
      </c>
      <c r="K87" s="3">
        <v>7.0000000000000007E-2</v>
      </c>
      <c r="L87" s="2">
        <f>Base[[#This Row],[Coût]]*Base[[#This Row],[Part_ménages_dépenses_santé]]</f>
        <v>0.33112800000000003</v>
      </c>
      <c r="M87" s="2">
        <v>1</v>
      </c>
      <c r="N87" s="6">
        <v>27700000</v>
      </c>
      <c r="O87" s="7">
        <f>Base[[#This Row],[Coût_salarié]]*10^9*Base[[#This Row],[Risque]]*Base[[#This Row],[Prévalence]]*Base[[#This Row],[Part_coûts_salarié]]/Base[[#This Row],[Population_emploi]]</f>
        <v>1.6910492885881272E-3</v>
      </c>
      <c r="P87">
        <v>50</v>
      </c>
      <c r="Q87">
        <v>50</v>
      </c>
      <c r="R87" s="2">
        <v>9.9999999999999978E-2</v>
      </c>
      <c r="S87" s="2">
        <v>0.33340000000000003</v>
      </c>
      <c r="T87" s="4">
        <v>6.593568911523901E-4</v>
      </c>
      <c r="U87" s="4">
        <f>IF(Bases_annexes!$F$5=0,16.6587111018772,0.77*Bases_annexes!$F$5/(IF(OR(ISBLANK('Données_d''entrée'!$E$44),'Données_d''entrée'!$E$44=0),35,'Données_d''entrée'!$E$44)*52))</f>
        <v>16.658711101877199</v>
      </c>
      <c r="V87" s="4">
        <v>45.453421187287603</v>
      </c>
      <c r="W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7" s="4">
        <v>234.5</v>
      </c>
      <c r="Y87" s="4">
        <f>(Base[[#This Row],['[Maladies']Coûts_évités_par_salarié]]+Base[[#This Row],['[Travail']Coûts_évités_par_salarié]])/Base[[#This Row],[Budget_santé_salarié]]</f>
        <v>5.16888978556442E-4</v>
      </c>
      <c r="Z87" s="4">
        <v>0.8</v>
      </c>
      <c r="AA87" s="4">
        <f>Base[[#This Row],[Coût]]*Base[[#This Row],[Part_société_dépenses_santé]]</f>
        <v>3.7843200000000006</v>
      </c>
      <c r="AB87" s="4">
        <v>67635124</v>
      </c>
      <c r="AC87" s="4">
        <v>82.297079063317852</v>
      </c>
      <c r="AD87" s="4">
        <v>6.593568911523901E-4</v>
      </c>
      <c r="AE87" s="4">
        <f>Base[[#This Row],['[SC']Prévalence_travail]]*Base[[#This Row],[Population_emploi]]</f>
        <v>18264.185884921208</v>
      </c>
      <c r="AF87" s="4">
        <f>Base[[#This Row],[Risque]]*Base[[#This Row],['[SC']Patients_en_emploi]]</f>
        <v>3918.5004247323814</v>
      </c>
      <c r="AG87" s="4">
        <v>60180000</v>
      </c>
      <c r="AH87" s="4">
        <f>IFERROR(Base[[#This Row],['[SC']Prestations]]/Base[[#This Row],['[SC']Patients_en_emploi]],0)</f>
        <v>3294.9730351619019</v>
      </c>
      <c r="AI87" s="4">
        <v>51.7</v>
      </c>
      <c r="AJ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7" s="4">
        <f>Base[[#This Row],['[SC']'[Travail']Coûts_évités]]/Base[[#This Row],[Population_emploi]]</f>
        <v>0.46611383529832695</v>
      </c>
      <c r="AL87" s="4">
        <f>Base[[#This Row],[Coût_société]]*10^9*Base[[#This Row],[Risque]]*Base[[#This Row],[Prévalence]]*Base[[#This Row],[Part_coûts_salarié]]/Base[[#This Row],[Population_emploi]]</f>
        <v>1.9326277583864307E-2</v>
      </c>
      <c r="AM87" s="4">
        <f>IF(Base[[#This Row],[Pathologie]]&lt;&gt;"Dépendance",0,14909.24243952)</f>
        <v>0</v>
      </c>
      <c r="AN87" s="4">
        <f>IF(Base[[#This Row],[Pathologie]]&lt;&gt;"Dépendance",0,1316000)</f>
        <v>0</v>
      </c>
      <c r="AO87" s="4">
        <f>IF(Base[[#This Row],[Pathologie]]&lt;&gt;"Dépendance",0,Base[[#This Row],['[SC']Coût_personne_dépendante]]*Base[[#This Row],['[SC']Nb_personnes_dépendantes]])</f>
        <v>0</v>
      </c>
      <c r="AP87" s="4">
        <f>IF(Base[[#This Row],[Pathologie]]&lt;&gt;"Dépendance",0,Base[[#This Row],['[SC']Coût_total_dépendance]]/Base[[#This Row],[Population_totale]])</f>
        <v>0</v>
      </c>
      <c r="AQ87" s="4">
        <f>IF(Base[[#This Row],[Pathologie]]&lt;&gt;"Dépendance",0,4.5)</f>
        <v>0</v>
      </c>
      <c r="AR87" s="4">
        <v>0.50393265050357905</v>
      </c>
      <c r="AS87" s="4">
        <f>Base[[#This Row],[Espérance_vie]]+Base[[#This Row],['[SC']Hausse_esp_de_vie]]-Base[[#This Row],['[SC']Durée_moyenne_dépendance_avt]]+Base[[#This Row],[Risque]]</f>
        <v>83.015557297699203</v>
      </c>
      <c r="AT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7" s="4">
        <v>62.9</v>
      </c>
      <c r="AW87" s="4">
        <f t="shared" si="0"/>
        <v>336905600000</v>
      </c>
      <c r="AX87" s="4">
        <v>15049171</v>
      </c>
      <c r="AY87" s="4">
        <f>Base[[#This Row],['[SC']Budget_total_retraites]]/Base[[#This Row],['[SC']Nombre_de_retraités]]</f>
        <v>22386.987296509556</v>
      </c>
      <c r="AZ87" s="4">
        <f>Base[[#This Row],['[SC']Budget_par_retraité]]*Base[[#This Row],['[SC']Nb_personnes_dépendantes]]</f>
        <v>0</v>
      </c>
      <c r="BA87" s="4">
        <f>Base[[#This Row],['[SC']'[Dépendance']Coût_retraite_personnes_dépendantes]]/Base[[#This Row],[Population_totale]]</f>
        <v>0</v>
      </c>
      <c r="BB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7" s="4">
        <f>Base[[#This Row],['[SC']'[Dépendance']Gains]]-Base[[#This Row],['[SC']'[Dépendance']Coûts]]</f>
        <v>0</v>
      </c>
      <c r="BD87" s="4">
        <f>IF(Base[[#This Row],[Pathologie]]&lt;&gt;"Mort prématurée",0,Base[[#This Row],[Risque]]*Base[[#This Row],[Prévalence]]*Base[[#This Row],[Population_totale]])</f>
        <v>0</v>
      </c>
      <c r="BE87" s="4">
        <v>52.74</v>
      </c>
      <c r="BF87" s="4">
        <f>Base[[#This Row],['[SC']Âge_moyen_retraite]]-Base[[#This Row],['[SC']'[Mort_prématurée']Âge_moyen_mort précoce]]</f>
        <v>10.159999999999997</v>
      </c>
      <c r="BG87" s="4">
        <f>Base[[#This Row],[Espérance_vie]]+Base[[#This Row],['[SC']Hausse_esp_de_vie]]-Base[[#This Row],['[SC']Âge_moyen_retraite]]</f>
        <v>19.90101171382144</v>
      </c>
      <c r="BH87" s="4">
        <v>106583.42676924677</v>
      </c>
      <c r="BI87" s="4">
        <v>97601.789429271477</v>
      </c>
      <c r="BJ87" s="4">
        <v>302038.31496633729</v>
      </c>
      <c r="BK87" s="4">
        <v>117293.58934859755</v>
      </c>
      <c r="BL87" s="4">
        <v>1523999.9999999995</v>
      </c>
      <c r="BM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7" s="4">
        <v>294804.96027377353</v>
      </c>
      <c r="BO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7" s="4">
        <f>(Base[[#This Row],['[SC']'[Mort_prématurée']Gains]]-Base[[#This Row],['[SC']'[Mort_prématurée']Coûts]])/Base[[#This Row],[Population_totale]]</f>
        <v>0</v>
      </c>
      <c r="BQ87" s="4">
        <f>IF(Base[[#This Row],[Pathologie]]&lt;&gt;"Mort prématurée",0,Base[[#This Row],[Risque]])</f>
        <v>0</v>
      </c>
      <c r="BR87" s="4">
        <v>2680</v>
      </c>
      <c r="BS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7" s="4">
        <f>Base[[#This Row],[Prévalence_prod]]*(1-Base[[#This Row],[Risque]])*Base[[#This Row],[Durée_arrêt]]*Base[[#This Row],[Population_emploi]]</f>
        <v>652060.48344231036</v>
      </c>
      <c r="BV87" s="4">
        <f>Base[[#This Row],['[Prod']'[Absentéisme']Total_jours_absence_avant]]-Base[[#This Row],['[Prod']'[Absentéisme']Total_jours_absence_après]]</f>
        <v>178109.2502279263</v>
      </c>
      <c r="BW87" s="4">
        <f>IF(AND(Base[[#This Row],[Pathologie]]&lt;&gt;"Dépendance",Base[[#This Row],[Pathologie]]&lt;&gt;"Mort prématurée",Base[[#This Row],[Pathologie]]&lt;&gt;"Migraine"),0.0619,0)</f>
        <v>6.1899999999999997E-2</v>
      </c>
      <c r="BX87" s="4">
        <v>254</v>
      </c>
      <c r="BY8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7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7" s="4">
        <f>Base[[#This Row],[Prévalence_prod]]*Base[[#This Row],[Présentéisme]]*Base[[#This Row],['[Prod']Jours_ouvrés]]</f>
        <v>0</v>
      </c>
      <c r="CB87" s="4">
        <f>Base[[#This Row],[Prévalence_prod]]*(1-Base[[#This Row],[Risque]])*Base[[#This Row],[Présentéisme]]*Base[[#This Row],['[Prod']Jours_ouvrés]]</f>
        <v>0</v>
      </c>
      <c r="CC87" s="4">
        <f>Base[[#This Row],['[Prod']'[Présentéisme']Jours_avant]]-Base[[#This Row],['[Prod']'[Présentéisme']Jours_après]]</f>
        <v>0</v>
      </c>
      <c r="CD87" s="4">
        <f>Base[[#This Row],['[Prod']'[Présentéisme']Jours_gagnés]]/Base[[#This Row],['[Prod']Jours_ouvrés]]</f>
        <v>0</v>
      </c>
      <c r="CE87">
        <v>5.8333039429220801E-2</v>
      </c>
      <c r="CF87">
        <v>1.4658164114728258E-2</v>
      </c>
      <c r="CG87" s="4">
        <v>11</v>
      </c>
      <c r="CH87" s="4">
        <v>1.1593596509901765</v>
      </c>
      <c r="CI87" s="4">
        <v>4.0741311947357597E-2</v>
      </c>
      <c r="CJ87" s="4">
        <f>IF(Base[[#This Row],[Secteur]]&lt;&gt;"Moyenne",Base[[#This Row],['[Prod']'[Turnover']DMC_initiale]]*(1+Base[[#This Row],['[Prod']'[Turnover']Ecart_accidents]]*Base[[#This Row],['[Prod']Impact_motifs_turnover]]),CJ70*CI70+CJ71*CI71+CJ72*CI72+CJ73*CI73+CJ74*CI74+CJ75*CI75+CJ76*CI76+CJ77*CI77+CJ78*CI78+CJ79*CI79+CJ80*CI80+CJ81*CI81+CJ82*CI82+CJ83*CI83+CJ84*CI84+CJ85*CI85+CJ86*CI86)</f>
        <v>11.186934924354288</v>
      </c>
      <c r="CK87" s="4">
        <f>1/Base[[#This Row],['[Prod']'[Turnover']DMC_initiale]]</f>
        <v>9.0909090909090912E-2</v>
      </c>
      <c r="CL87" s="4">
        <f>1/Base[[#This Row],['[Prod']'[Turnover']DMC_finale]]</f>
        <v>8.9389989908940148E-2</v>
      </c>
    </row>
    <row r="88" spans="2:90" x14ac:dyDescent="0.25">
      <c r="B88" s="4" t="s">
        <v>332</v>
      </c>
      <c r="C88">
        <v>7.5</v>
      </c>
      <c r="D88" t="s">
        <v>84</v>
      </c>
      <c r="E88" t="s">
        <v>5</v>
      </c>
      <c r="F88" s="3">
        <v>0.21454558387776099</v>
      </c>
      <c r="G88" s="3">
        <v>6.593568911523901E-4</v>
      </c>
      <c r="H88" s="3">
        <v>6.593568911523901E-4</v>
      </c>
      <c r="I88" s="3">
        <v>0</v>
      </c>
      <c r="J88" s="3">
        <v>4.7304000000000004</v>
      </c>
      <c r="K88" s="3">
        <v>7.0000000000000007E-2</v>
      </c>
      <c r="L88" s="2">
        <f>Base[[#This Row],[Coût]]*Base[[#This Row],[Part_ménages_dépenses_santé]]</f>
        <v>0.33112800000000003</v>
      </c>
      <c r="M88" s="2">
        <v>1</v>
      </c>
      <c r="N88" s="6">
        <v>27700000</v>
      </c>
      <c r="O88" s="7">
        <f>Base[[#This Row],[Coût_salarié]]*10^9*Base[[#This Row],[Risque]]*Base[[#This Row],[Prévalence]]*Base[[#This Row],[Part_coûts_salarié]]/Base[[#This Row],[Population_emploi]]</f>
        <v>1.6910492885881272E-3</v>
      </c>
      <c r="P88">
        <v>50</v>
      </c>
      <c r="Q88">
        <v>50</v>
      </c>
      <c r="R88" s="2">
        <v>9.9999999999999978E-2</v>
      </c>
      <c r="S88" s="2">
        <v>0.33340000000000003</v>
      </c>
      <c r="T88" s="4">
        <v>6.593568911523901E-4</v>
      </c>
      <c r="U88" s="4">
        <f>IF(Bases_annexes!$F$5=0,16.6587111018772,0.77*Bases_annexes!$F$5/(IF(OR(ISBLANK('Données_d''entrée'!$E$44),'Données_d''entrée'!$E$44=0),35,'Données_d''entrée'!$E$44)*52))</f>
        <v>16.658711101877199</v>
      </c>
      <c r="V88" s="4">
        <v>45.453421187287603</v>
      </c>
      <c r="W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0.11951941618289752</v>
      </c>
      <c r="X88" s="4">
        <v>234.5</v>
      </c>
      <c r="Y88" s="4">
        <f>(Base[[#This Row],['[Maladies']Coûts_évités_par_salarié]]+Base[[#This Row],['[Travail']Coûts_évités_par_salarié]])/Base[[#This Row],[Budget_santé_salarié]]</f>
        <v>5.16888978556442E-4</v>
      </c>
      <c r="Z88" s="4">
        <v>0.8</v>
      </c>
      <c r="AA88" s="4">
        <f>Base[[#This Row],[Coût]]*Base[[#This Row],[Part_société_dépenses_santé]]</f>
        <v>3.7843200000000006</v>
      </c>
      <c r="AB88" s="4">
        <v>67635124</v>
      </c>
      <c r="AC88" s="4">
        <v>82.297079063317852</v>
      </c>
      <c r="AD88" s="4">
        <v>6.593568911523901E-4</v>
      </c>
      <c r="AE88" s="4">
        <f>Base[[#This Row],['[SC']Prévalence_travail]]*Base[[#This Row],[Population_emploi]]</f>
        <v>18264.185884921208</v>
      </c>
      <c r="AF88" s="4">
        <f>Base[[#This Row],[Risque]]*Base[[#This Row],['[SC']Patients_en_emploi]]</f>
        <v>3918.5004247323814</v>
      </c>
      <c r="AG88" s="4">
        <v>60180000</v>
      </c>
      <c r="AH88" s="4">
        <f>IFERROR(Base[[#This Row],['[SC']Prestations]]/Base[[#This Row],['[SC']Patients_en_emploi]],0)</f>
        <v>3294.9730351619019</v>
      </c>
      <c r="AI88" s="4">
        <v>51.7</v>
      </c>
      <c r="AJ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12911353.237763656</v>
      </c>
      <c r="AK88" s="4">
        <f>Base[[#This Row],['[SC']'[Travail']Coûts_évités]]/Base[[#This Row],[Population_emploi]]</f>
        <v>0.46611383529832695</v>
      </c>
      <c r="AL88" s="4">
        <f>Base[[#This Row],[Coût_société]]*10^9*Base[[#This Row],[Risque]]*Base[[#This Row],[Prévalence]]*Base[[#This Row],[Part_coûts_salarié]]/Base[[#This Row],[Population_emploi]]</f>
        <v>1.9326277583864307E-2</v>
      </c>
      <c r="AM88" s="4">
        <f>IF(Base[[#This Row],[Pathologie]]&lt;&gt;"Dépendance",0,14909.24243952)</f>
        <v>0</v>
      </c>
      <c r="AN88" s="4">
        <f>IF(Base[[#This Row],[Pathologie]]&lt;&gt;"Dépendance",0,1316000)</f>
        <v>0</v>
      </c>
      <c r="AO88" s="4">
        <f>IF(Base[[#This Row],[Pathologie]]&lt;&gt;"Dépendance",0,Base[[#This Row],['[SC']Coût_personne_dépendante]]*Base[[#This Row],['[SC']Nb_personnes_dépendantes]])</f>
        <v>0</v>
      </c>
      <c r="AP88" s="4">
        <f>IF(Base[[#This Row],[Pathologie]]&lt;&gt;"Dépendance",0,Base[[#This Row],['[SC']Coût_total_dépendance]]/Base[[#This Row],[Population_totale]])</f>
        <v>0</v>
      </c>
      <c r="AQ88" s="4">
        <f>IF(Base[[#This Row],[Pathologie]]&lt;&gt;"Dépendance",0,4.5)</f>
        <v>0</v>
      </c>
      <c r="AR88" s="4">
        <v>0.50393265050357905</v>
      </c>
      <c r="AS88" s="4">
        <f>Base[[#This Row],[Espérance_vie]]+Base[[#This Row],['[SC']Hausse_esp_de_vie]]-Base[[#This Row],['[SC']Durée_moyenne_dépendance_avt]]+Base[[#This Row],[Risque]]</f>
        <v>83.015557297699203</v>
      </c>
      <c r="AT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8" s="4">
        <v>62.9</v>
      </c>
      <c r="AW88" s="4">
        <f t="shared" si="0"/>
        <v>336905600000</v>
      </c>
      <c r="AX88" s="4">
        <v>15049171</v>
      </c>
      <c r="AY88" s="4">
        <f>Base[[#This Row],['[SC']Budget_total_retraites]]/Base[[#This Row],['[SC']Nombre_de_retraités]]</f>
        <v>22386.987296509556</v>
      </c>
      <c r="AZ88" s="4">
        <f>Base[[#This Row],['[SC']Budget_par_retraité]]*Base[[#This Row],['[SC']Nb_personnes_dépendantes]]</f>
        <v>0</v>
      </c>
      <c r="BA88" s="4">
        <f>Base[[#This Row],['[SC']'[Dépendance']Coût_retraite_personnes_dépendantes]]/Base[[#This Row],[Population_totale]]</f>
        <v>0</v>
      </c>
      <c r="BB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8" s="4">
        <f>Base[[#This Row],['[SC']'[Dépendance']Gains]]-Base[[#This Row],['[SC']'[Dépendance']Coûts]]</f>
        <v>0</v>
      </c>
      <c r="BD88" s="4">
        <f>IF(Base[[#This Row],[Pathologie]]&lt;&gt;"Mort prématurée",0,Base[[#This Row],[Risque]]*Base[[#This Row],[Prévalence]]*Base[[#This Row],[Population_totale]])</f>
        <v>0</v>
      </c>
      <c r="BE88" s="4">
        <v>52.74</v>
      </c>
      <c r="BF88" s="4">
        <f>Base[[#This Row],['[SC']Âge_moyen_retraite]]-Base[[#This Row],['[SC']'[Mort_prématurée']Âge_moyen_mort précoce]]</f>
        <v>10.159999999999997</v>
      </c>
      <c r="BG88" s="4">
        <f>Base[[#This Row],[Espérance_vie]]+Base[[#This Row],['[SC']Hausse_esp_de_vie]]-Base[[#This Row],['[SC']Âge_moyen_retraite]]</f>
        <v>19.90101171382144</v>
      </c>
      <c r="BH88" s="4">
        <v>106583.42676924677</v>
      </c>
      <c r="BI88" s="4">
        <v>97601.789429271477</v>
      </c>
      <c r="BJ88" s="4">
        <v>302038.31496633729</v>
      </c>
      <c r="BK88" s="4">
        <v>117293.58934859755</v>
      </c>
      <c r="BL88" s="4">
        <v>1523999.9999999995</v>
      </c>
      <c r="BM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8" s="4">
        <v>294804.96027377353</v>
      </c>
      <c r="BO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8" s="4">
        <f>(Base[[#This Row],['[SC']'[Mort_prématurée']Gains]]-Base[[#This Row],['[SC']'[Mort_prématurée']Coûts]])/Base[[#This Row],[Population_totale]]</f>
        <v>0</v>
      </c>
      <c r="BQ88" s="4">
        <f>IF(Base[[#This Row],[Pathologie]]&lt;&gt;"Mort prématurée",0,Base[[#This Row],[Risque]])</f>
        <v>0</v>
      </c>
      <c r="BR88" s="4">
        <v>2680</v>
      </c>
      <c r="BS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1.8113437047842957E-4</v>
      </c>
      <c r="BT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88" s="4">
        <f>Base[[#This Row],[Prévalence_prod]]*(1-Base[[#This Row],[Risque]])*Base[[#This Row],[Durée_arrêt]]*Base[[#This Row],[Population_emploi]]</f>
        <v>652060.48344231036</v>
      </c>
      <c r="BV88" s="4">
        <f>Base[[#This Row],['[Prod']'[Absentéisme']Total_jours_absence_avant]]-Base[[#This Row],['[Prod']'[Absentéisme']Total_jours_absence_après]]</f>
        <v>178109.2502279263</v>
      </c>
      <c r="BW88" s="4">
        <f>IF(AND(Base[[#This Row],[Pathologie]]&lt;&gt;"Dépendance",Base[[#This Row],[Pathologie]]&lt;&gt;"Mort prématurée",Base[[#This Row],[Pathologie]]&lt;&gt;"Migraine"),0.0619,0)</f>
        <v>6.1899999999999997E-2</v>
      </c>
      <c r="BX88" s="4">
        <v>254</v>
      </c>
      <c r="BY8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88" s="4">
        <f>(Base[[#This Row],['[Prod']'[Absentéisme']Jours_théoriques]]-Base[[#This Row],['[Prod']'[Absentéisme']Total_jours_absence_évités]])/(Base[[#This Row],[Population_emploi]]*Base[[#This Row],['[Prod']Jours_ouvrés]])</f>
        <v>2.1816900692061492E-4</v>
      </c>
      <c r="CA88" s="4">
        <f>Base[[#This Row],[Prévalence_prod]]*Base[[#This Row],[Présentéisme]]*Base[[#This Row],['[Prod']Jours_ouvrés]]</f>
        <v>0</v>
      </c>
      <c r="CB88" s="4">
        <f>Base[[#This Row],[Prévalence_prod]]*(1-Base[[#This Row],[Risque]])*Base[[#This Row],[Présentéisme]]*Base[[#This Row],['[Prod']Jours_ouvrés]]</f>
        <v>0</v>
      </c>
      <c r="CC88" s="4">
        <f>Base[[#This Row],['[Prod']'[Présentéisme']Jours_avant]]-Base[[#This Row],['[Prod']'[Présentéisme']Jours_après]]</f>
        <v>0</v>
      </c>
      <c r="CD88" s="4">
        <f>Base[[#This Row],['[Prod']'[Présentéisme']Jours_gagnés]]/Base[[#This Row],['[Prod']Jours_ouvrés]]</f>
        <v>0</v>
      </c>
      <c r="CE88">
        <v>5.8333039429220801E-2</v>
      </c>
      <c r="CF88">
        <v>1.4658164114728258E-2</v>
      </c>
      <c r="CG88" s="4">
        <v>11</v>
      </c>
      <c r="CH88" s="4">
        <v>0.85076983926913452</v>
      </c>
      <c r="CI88" s="4">
        <v>0</v>
      </c>
      <c r="CJ88" s="4">
        <f>IF(Base[[#This Row],[Secteur]]&lt;&gt;"Moyenne",Base[[#This Row],['[Prod']'[Turnover']DMC_initiale]]*(1+Base[[#This Row],['[Prod']'[Turnover']Ecart_accidents]]*Base[[#This Row],['[Prod']Impact_motifs_turnover]]),CJ71*CI71+CJ72*CI72+CJ73*CI73+CJ74*CI74+CJ75*CI75+CJ76*CI76+CJ77*CI77+CJ78*CI78+CJ79*CI79+CJ80*CI80+CJ81*CI81+CJ82*CI82+CJ83*CI83+CJ84*CI84+CJ85*CI85+CJ86*CI86+CJ87*CI87)</f>
        <v>11.137177963206547</v>
      </c>
      <c r="CK88" s="4">
        <f>1/Base[[#This Row],['[Prod']'[Turnover']DMC_initiale]]</f>
        <v>9.0909090909090912E-2</v>
      </c>
      <c r="CL88" s="4">
        <f>1/Base[[#This Row],['[Prod']'[Turnover']DMC_finale]]</f>
        <v>8.9789352680154741E-2</v>
      </c>
    </row>
    <row r="89" spans="2:90" x14ac:dyDescent="0.25">
      <c r="B89" s="4" t="s">
        <v>315</v>
      </c>
      <c r="C89">
        <v>7.5</v>
      </c>
      <c r="D89" t="s">
        <v>84</v>
      </c>
      <c r="E89" t="s">
        <v>6</v>
      </c>
      <c r="F89" s="3">
        <v>0.11974637239689005</v>
      </c>
      <c r="G89" s="3">
        <v>8.741584028593305E-3</v>
      </c>
      <c r="H89" s="3">
        <v>8.741584028593305E-3</v>
      </c>
      <c r="I89" s="3">
        <v>6.8000000000000005E-2</v>
      </c>
      <c r="J89" s="3">
        <v>16.260750000000002</v>
      </c>
      <c r="K89" s="3">
        <v>7.0000000000000007E-2</v>
      </c>
      <c r="L89" s="2">
        <f>Base[[#This Row],[Coût]]*Base[[#This Row],[Part_ménages_dépenses_santé]]</f>
        <v>1.1382525000000001</v>
      </c>
      <c r="M89" s="2">
        <v>0.99809973356799431</v>
      </c>
      <c r="N89" s="6">
        <v>27700000</v>
      </c>
      <c r="O89" s="7">
        <f>Base[[#This Row],[Coût_salarié]]*10^9*Base[[#This Row],[Risque]]*Base[[#This Row],[Prévalence]]*Base[[#This Row],[Part_coûts_salarié]]/Base[[#This Row],[Population_emploi]]</f>
        <v>4.2932411739332398E-2</v>
      </c>
      <c r="P89">
        <v>50</v>
      </c>
      <c r="Q89">
        <v>50</v>
      </c>
      <c r="R89" s="2">
        <v>9.9999999999999978E-2</v>
      </c>
      <c r="S89" s="2">
        <v>0.33340000000000003</v>
      </c>
      <c r="T89" s="4">
        <v>8.741584028593305E-3</v>
      </c>
      <c r="U89" s="4">
        <f>IF(Bases_annexes!$F$5=0,16.6587111018772,0.77*Bases_annexes!$F$5/(IF(OR(ISBLANK('Données_d''entrée'!$E$44),'Données_d''entrée'!$E$44=0),35,'Données_d''entrée'!$E$44)*52))</f>
        <v>16.658711101877199</v>
      </c>
      <c r="V89" s="4">
        <v>80.324106187301894</v>
      </c>
      <c r="W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89" s="4">
        <v>234.5</v>
      </c>
      <c r="Y89" s="4">
        <f>(Base[[#This Row],['[Maladies']Coûts_évités_par_salarié]]+Base[[#This Row],['[Travail']Coûts_évités_par_salarié]])/Base[[#This Row],[Budget_santé_salarié]]</f>
        <v>2.8459880453795823E-3</v>
      </c>
      <c r="Z89" s="4">
        <v>0.8</v>
      </c>
      <c r="AA89" s="4">
        <f>Base[[#This Row],[Coût]]*Base[[#This Row],[Part_société_dépenses_santé]]</f>
        <v>13.008600000000001</v>
      </c>
      <c r="AB89" s="4">
        <v>67635124</v>
      </c>
      <c r="AC89" s="4">
        <v>82.297079063317852</v>
      </c>
      <c r="AD89" s="4">
        <v>8.741584028593305E-3</v>
      </c>
      <c r="AE89" s="4">
        <f>Base[[#This Row],['[SC']Prévalence_travail]]*Base[[#This Row],[Population_emploi]]</f>
        <v>242141.87759203455</v>
      </c>
      <c r="AF89" s="4">
        <f>Base[[#This Row],[Risque]]*Base[[#This Row],['[SC']Patients_en_emploi]]</f>
        <v>28995.611447017935</v>
      </c>
      <c r="AG89" s="4">
        <v>1022040000</v>
      </c>
      <c r="AH89" s="4">
        <f>IFERROR(Base[[#This Row],['[SC']Prestations]]/Base[[#This Row],['[SC']Patients_en_emploi]],0)</f>
        <v>4220.8312340005614</v>
      </c>
      <c r="AI89" s="4">
        <v>51.7</v>
      </c>
      <c r="AJ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89" s="4">
        <f>Base[[#This Row],['[SC']'[Travail']Coûts_évités]]/Base[[#This Row],[Population_emploi]]</f>
        <v>4.4182520738092963</v>
      </c>
      <c r="AL89" s="4">
        <f>Base[[#This Row],[Coût_société]]*10^9*Base[[#This Row],[Risque]]*Base[[#This Row],[Prévalence]]*Base[[#This Row],[Part_coûts_salarié]]/Base[[#This Row],[Population_emploi]]</f>
        <v>0.49065613416379883</v>
      </c>
      <c r="AM89" s="4">
        <f>IF(Base[[#This Row],[Pathologie]]&lt;&gt;"Dépendance",0,14909.24243952)</f>
        <v>0</v>
      </c>
      <c r="AN89" s="4">
        <f>IF(Base[[#This Row],[Pathologie]]&lt;&gt;"Dépendance",0,1316000)</f>
        <v>0</v>
      </c>
      <c r="AO89" s="4">
        <f>IF(Base[[#This Row],[Pathologie]]&lt;&gt;"Dépendance",0,Base[[#This Row],['[SC']Coût_personne_dépendante]]*Base[[#This Row],['[SC']Nb_personnes_dépendantes]])</f>
        <v>0</v>
      </c>
      <c r="AP89" s="4">
        <f>IF(Base[[#This Row],[Pathologie]]&lt;&gt;"Dépendance",0,Base[[#This Row],['[SC']Coût_total_dépendance]]/Base[[#This Row],[Population_totale]])</f>
        <v>0</v>
      </c>
      <c r="AQ89" s="4">
        <f>IF(Base[[#This Row],[Pathologie]]&lt;&gt;"Dépendance",0,4.5)</f>
        <v>0</v>
      </c>
      <c r="AR89" s="4">
        <v>0.50393265050357905</v>
      </c>
      <c r="AS89" s="4">
        <f>Base[[#This Row],[Espérance_vie]]+Base[[#This Row],['[SC']Hausse_esp_de_vie]]-Base[[#This Row],['[SC']Durée_moyenne_dépendance_avt]]+Base[[#This Row],[Risque]]</f>
        <v>82.920758086218328</v>
      </c>
      <c r="AT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89" s="4">
        <v>62.9</v>
      </c>
      <c r="AW89" s="4">
        <f t="shared" si="0"/>
        <v>336905600000</v>
      </c>
      <c r="AX89" s="4">
        <v>15049171</v>
      </c>
      <c r="AY89" s="4">
        <f>Base[[#This Row],['[SC']Budget_total_retraites]]/Base[[#This Row],['[SC']Nombre_de_retraités]]</f>
        <v>22386.987296509556</v>
      </c>
      <c r="AZ89" s="4">
        <f>Base[[#This Row],['[SC']Budget_par_retraité]]*Base[[#This Row],['[SC']Nb_personnes_dépendantes]]</f>
        <v>0</v>
      </c>
      <c r="BA89" s="4">
        <f>Base[[#This Row],['[SC']'[Dépendance']Coût_retraite_personnes_dépendantes]]/Base[[#This Row],[Population_totale]]</f>
        <v>0</v>
      </c>
      <c r="BB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89" s="4">
        <f>Base[[#This Row],['[SC']'[Dépendance']Gains]]-Base[[#This Row],['[SC']'[Dépendance']Coûts]]</f>
        <v>0</v>
      </c>
      <c r="BD89" s="4">
        <f>IF(Base[[#This Row],[Pathologie]]&lt;&gt;"Mort prématurée",0,Base[[#This Row],[Risque]]*Base[[#This Row],[Prévalence]]*Base[[#This Row],[Population_totale]])</f>
        <v>0</v>
      </c>
      <c r="BE89" s="4">
        <v>52.74</v>
      </c>
      <c r="BF89" s="4">
        <f>Base[[#This Row],['[SC']Âge_moyen_retraite]]-Base[[#This Row],['[SC']'[Mort_prématurée']Âge_moyen_mort précoce]]</f>
        <v>10.159999999999997</v>
      </c>
      <c r="BG89" s="4">
        <f>Base[[#This Row],[Espérance_vie]]+Base[[#This Row],['[SC']Hausse_esp_de_vie]]-Base[[#This Row],['[SC']Âge_moyen_retraite]]</f>
        <v>19.90101171382144</v>
      </c>
      <c r="BH89" s="4">
        <v>106583.42676924677</v>
      </c>
      <c r="BI89" s="4">
        <v>97601.789429271477</v>
      </c>
      <c r="BJ89" s="4">
        <v>302038.31496633729</v>
      </c>
      <c r="BK89" s="4">
        <v>117293.58934859755</v>
      </c>
      <c r="BL89" s="4">
        <v>1523999.9999999995</v>
      </c>
      <c r="BM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89" s="4">
        <v>294804.96027377353</v>
      </c>
      <c r="BO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89" s="4">
        <f>(Base[[#This Row],['[SC']'[Mort_prématurée']Gains]]-Base[[#This Row],['[SC']'[Mort_prématurée']Coûts]])/Base[[#This Row],[Population_totale]]</f>
        <v>0</v>
      </c>
      <c r="BQ89" s="4">
        <f>IF(Base[[#This Row],[Pathologie]]&lt;&gt;"Mort prématurée",0,Base[[#This Row],[Risque]])</f>
        <v>0</v>
      </c>
      <c r="BR89" s="4">
        <v>2680</v>
      </c>
      <c r="BS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89" s="4">
        <f>Base[[#This Row],[Prévalence_prod]]*(1-Base[[#This Row],[Risque]])*Base[[#This Row],[Durée_arrêt]]*Base[[#This Row],[Population_emploi]]</f>
        <v>17120783.315259226</v>
      </c>
      <c r="BV89" s="4">
        <f>Base[[#This Row],['[Prod']'[Absentéisme']Total_jours_absence_avant]]-Base[[#This Row],['[Prod']'[Absentéisme']Total_jours_absence_après]]</f>
        <v>2329046.5728360154</v>
      </c>
      <c r="BW89" s="4">
        <f>IF(AND(Base[[#This Row],[Pathologie]]&lt;&gt;"Dépendance",Base[[#This Row],[Pathologie]]&lt;&gt;"Mort prématurée",Base[[#This Row],[Pathologie]]&lt;&gt;"Migraine"),0.0619,0)</f>
        <v>6.1899999999999997E-2</v>
      </c>
      <c r="BX89" s="4">
        <v>254</v>
      </c>
      <c r="BY89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89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89" s="4">
        <f>Base[[#This Row],[Prévalence_prod]]*Base[[#This Row],[Présentéisme]]*Base[[#This Row],['[Prod']Jours_ouvrés]]</f>
        <v>0.15098463934186357</v>
      </c>
      <c r="CB89" s="4">
        <f>Base[[#This Row],[Prévalence_prod]]*(1-Base[[#This Row],[Risque]])*Base[[#This Row],[Présentéisme]]*Base[[#This Row],['[Prod']Jours_ouvrés]]</f>
        <v>0.13290477649302265</v>
      </c>
      <c r="CC89" s="4">
        <f>Base[[#This Row],['[Prod']'[Présentéisme']Jours_avant]]-Base[[#This Row],['[Prod']'[Présentéisme']Jours_après]]</f>
        <v>1.8079862848840916E-2</v>
      </c>
      <c r="CD89" s="4">
        <f>Base[[#This Row],['[Prod']'[Présentéisme']Jours_gagnés]]/Base[[#This Row],['[Prod']Jours_ouvrés]]</f>
        <v>7.1180562397011481E-5</v>
      </c>
      <c r="CE89">
        <v>5.8333039429220801E-2</v>
      </c>
      <c r="CF89">
        <v>1.4658164114728258E-2</v>
      </c>
      <c r="CG89" s="4">
        <v>11</v>
      </c>
      <c r="CH89" s="4">
        <v>1.3966184516047948</v>
      </c>
      <c r="CI89" s="4">
        <v>1.4392894727292521E-2</v>
      </c>
      <c r="CJ89" s="4">
        <f>IF(Base[[#This Row],[Secteur]]&lt;&gt;"Moyenne",Base[[#This Row],['[Prod']'[Turnover']DMC_initiale]]*(1+Base[[#This Row],['[Prod']'[Turnover']Ecart_accidents]]*Base[[#This Row],['[Prod']Impact_motifs_turnover]]),CJ72*CI72+CJ73*CI73+CJ74*CI74+CJ75*CI75+CJ76*CI76+CJ77*CI77+CJ78*CI78+CJ79*CI79+CJ80*CI80+CJ81*CI81+CJ82*CI82+CJ83*CI83+CJ84*CI84+CJ85*CI85+CJ86*CI86+CJ87*CI87+CJ88*CI88)</f>
        <v>11.225190487162088</v>
      </c>
      <c r="CK89" s="4">
        <f>1/Base[[#This Row],['[Prod']'[Turnover']DMC_initiale]]</f>
        <v>9.0909090909090912E-2</v>
      </c>
      <c r="CL89" s="4">
        <f>1/Base[[#This Row],['[Prod']'[Turnover']DMC_finale]]</f>
        <v>8.9085347918475846E-2</v>
      </c>
    </row>
    <row r="90" spans="2:90" x14ac:dyDescent="0.25">
      <c r="B90" s="4" t="s">
        <v>316</v>
      </c>
      <c r="C90">
        <v>7.5</v>
      </c>
      <c r="D90" t="s">
        <v>84</v>
      </c>
      <c r="E90" t="s">
        <v>6</v>
      </c>
      <c r="F90" s="3">
        <v>0.11974637239689005</v>
      </c>
      <c r="G90" s="3">
        <v>8.741584028593305E-3</v>
      </c>
      <c r="H90" s="3">
        <v>8.741584028593305E-3</v>
      </c>
      <c r="I90" s="3">
        <v>6.8000000000000005E-2</v>
      </c>
      <c r="J90" s="3">
        <v>16.260750000000002</v>
      </c>
      <c r="K90" s="3">
        <v>7.0000000000000007E-2</v>
      </c>
      <c r="L90" s="2">
        <f>Base[[#This Row],[Coût]]*Base[[#This Row],[Part_ménages_dépenses_santé]]</f>
        <v>1.1382525000000001</v>
      </c>
      <c r="M90" s="2">
        <v>0.99809973356799431</v>
      </c>
      <c r="N90" s="6">
        <v>27700000</v>
      </c>
      <c r="O90" s="7">
        <f>Base[[#This Row],[Coût_salarié]]*10^9*Base[[#This Row],[Risque]]*Base[[#This Row],[Prévalence]]*Base[[#This Row],[Part_coûts_salarié]]/Base[[#This Row],[Population_emploi]]</f>
        <v>4.2932411739332398E-2</v>
      </c>
      <c r="P90">
        <v>50</v>
      </c>
      <c r="Q90">
        <v>50</v>
      </c>
      <c r="R90" s="2">
        <v>9.9999999999999978E-2</v>
      </c>
      <c r="S90" s="2">
        <v>0.33340000000000003</v>
      </c>
      <c r="T90" s="4">
        <v>8.741584028593305E-3</v>
      </c>
      <c r="U90" s="4">
        <f>IF(Bases_annexes!$F$5=0,16.6587111018772,0.77*Bases_annexes!$F$5/(IF(OR(ISBLANK('Données_d''entrée'!$E$44),'Données_d''entrée'!$E$44=0),35,'Données_d''entrée'!$E$44)*52))</f>
        <v>16.658711101877199</v>
      </c>
      <c r="V90" s="4">
        <v>80.324106187301894</v>
      </c>
      <c r="W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0" s="4">
        <v>234.5</v>
      </c>
      <c r="Y90" s="4">
        <f>(Base[[#This Row],['[Maladies']Coûts_évités_par_salarié]]+Base[[#This Row],['[Travail']Coûts_évités_par_salarié]])/Base[[#This Row],[Budget_santé_salarié]]</f>
        <v>2.8459880453795823E-3</v>
      </c>
      <c r="Z90" s="4">
        <v>0.8</v>
      </c>
      <c r="AA90" s="4">
        <f>Base[[#This Row],[Coût]]*Base[[#This Row],[Part_société_dépenses_santé]]</f>
        <v>13.008600000000001</v>
      </c>
      <c r="AB90" s="4">
        <v>67635124</v>
      </c>
      <c r="AC90" s="4">
        <v>82.297079063317852</v>
      </c>
      <c r="AD90" s="4">
        <v>8.741584028593305E-3</v>
      </c>
      <c r="AE90" s="4">
        <f>Base[[#This Row],['[SC']Prévalence_travail]]*Base[[#This Row],[Population_emploi]]</f>
        <v>242141.87759203455</v>
      </c>
      <c r="AF90" s="4">
        <f>Base[[#This Row],[Risque]]*Base[[#This Row],['[SC']Patients_en_emploi]]</f>
        <v>28995.611447017935</v>
      </c>
      <c r="AG90" s="4">
        <v>1022040000</v>
      </c>
      <c r="AH90" s="4">
        <f>IFERROR(Base[[#This Row],['[SC']Prestations]]/Base[[#This Row],['[SC']Patients_en_emploi]],0)</f>
        <v>4220.8312340005614</v>
      </c>
      <c r="AI90" s="4">
        <v>51.7</v>
      </c>
      <c r="AJ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0" s="4">
        <f>Base[[#This Row],['[SC']'[Travail']Coûts_évités]]/Base[[#This Row],[Population_emploi]]</f>
        <v>4.4182520738092963</v>
      </c>
      <c r="AL90" s="4">
        <f>Base[[#This Row],[Coût_société]]*10^9*Base[[#This Row],[Risque]]*Base[[#This Row],[Prévalence]]*Base[[#This Row],[Part_coûts_salarié]]/Base[[#This Row],[Population_emploi]]</f>
        <v>0.49065613416379883</v>
      </c>
      <c r="AM90" s="4">
        <f>IF(Base[[#This Row],[Pathologie]]&lt;&gt;"Dépendance",0,14909.24243952)</f>
        <v>0</v>
      </c>
      <c r="AN90" s="4">
        <f>IF(Base[[#This Row],[Pathologie]]&lt;&gt;"Dépendance",0,1316000)</f>
        <v>0</v>
      </c>
      <c r="AO90" s="4">
        <f>IF(Base[[#This Row],[Pathologie]]&lt;&gt;"Dépendance",0,Base[[#This Row],['[SC']Coût_personne_dépendante]]*Base[[#This Row],['[SC']Nb_personnes_dépendantes]])</f>
        <v>0</v>
      </c>
      <c r="AP90" s="4">
        <f>IF(Base[[#This Row],[Pathologie]]&lt;&gt;"Dépendance",0,Base[[#This Row],['[SC']Coût_total_dépendance]]/Base[[#This Row],[Population_totale]])</f>
        <v>0</v>
      </c>
      <c r="AQ90" s="4">
        <f>IF(Base[[#This Row],[Pathologie]]&lt;&gt;"Dépendance",0,4.5)</f>
        <v>0</v>
      </c>
      <c r="AR90" s="4">
        <v>0.50393265050357905</v>
      </c>
      <c r="AS90" s="4">
        <f>Base[[#This Row],[Espérance_vie]]+Base[[#This Row],['[SC']Hausse_esp_de_vie]]-Base[[#This Row],['[SC']Durée_moyenne_dépendance_avt]]+Base[[#This Row],[Risque]]</f>
        <v>82.920758086218328</v>
      </c>
      <c r="AT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0" s="4">
        <v>62.9</v>
      </c>
      <c r="AW90" s="4">
        <f t="shared" si="0"/>
        <v>336905600000</v>
      </c>
      <c r="AX90" s="4">
        <v>15049171</v>
      </c>
      <c r="AY90" s="4">
        <f>Base[[#This Row],['[SC']Budget_total_retraites]]/Base[[#This Row],['[SC']Nombre_de_retraités]]</f>
        <v>22386.987296509556</v>
      </c>
      <c r="AZ90" s="4">
        <f>Base[[#This Row],['[SC']Budget_par_retraité]]*Base[[#This Row],['[SC']Nb_personnes_dépendantes]]</f>
        <v>0</v>
      </c>
      <c r="BA90" s="4">
        <f>Base[[#This Row],['[SC']'[Dépendance']Coût_retraite_personnes_dépendantes]]/Base[[#This Row],[Population_totale]]</f>
        <v>0</v>
      </c>
      <c r="BB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0" s="4">
        <f>Base[[#This Row],['[SC']'[Dépendance']Gains]]-Base[[#This Row],['[SC']'[Dépendance']Coûts]]</f>
        <v>0</v>
      </c>
      <c r="BD90" s="4">
        <f>IF(Base[[#This Row],[Pathologie]]&lt;&gt;"Mort prématurée",0,Base[[#This Row],[Risque]]*Base[[#This Row],[Prévalence]]*Base[[#This Row],[Population_totale]])</f>
        <v>0</v>
      </c>
      <c r="BE90" s="4">
        <v>52.74</v>
      </c>
      <c r="BF90" s="4">
        <f>Base[[#This Row],['[SC']Âge_moyen_retraite]]-Base[[#This Row],['[SC']'[Mort_prématurée']Âge_moyen_mort précoce]]</f>
        <v>10.159999999999997</v>
      </c>
      <c r="BG90" s="4">
        <f>Base[[#This Row],[Espérance_vie]]+Base[[#This Row],['[SC']Hausse_esp_de_vie]]-Base[[#This Row],['[SC']Âge_moyen_retraite]]</f>
        <v>19.90101171382144</v>
      </c>
      <c r="BH90" s="4">
        <v>106583.42676924677</v>
      </c>
      <c r="BI90" s="4">
        <v>97601.789429271477</v>
      </c>
      <c r="BJ90" s="4">
        <v>302038.31496633729</v>
      </c>
      <c r="BK90" s="4">
        <v>117293.58934859755</v>
      </c>
      <c r="BL90" s="4">
        <v>1523999.9999999995</v>
      </c>
      <c r="BM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0" s="4">
        <v>294804.96027377353</v>
      </c>
      <c r="BO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0" s="4">
        <f>(Base[[#This Row],['[SC']'[Mort_prématurée']Gains]]-Base[[#This Row],['[SC']'[Mort_prématurée']Coûts]])/Base[[#This Row],[Population_totale]]</f>
        <v>0</v>
      </c>
      <c r="BQ90" s="4">
        <f>IF(Base[[#This Row],[Pathologie]]&lt;&gt;"Mort prématurée",0,Base[[#This Row],[Risque]])</f>
        <v>0</v>
      </c>
      <c r="BR90" s="4">
        <v>2680</v>
      </c>
      <c r="BS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0" s="4">
        <f>Base[[#This Row],[Prévalence_prod]]*(1-Base[[#This Row],[Risque]])*Base[[#This Row],[Durée_arrêt]]*Base[[#This Row],[Population_emploi]]</f>
        <v>17120783.315259226</v>
      </c>
      <c r="BV90" s="4">
        <f>Base[[#This Row],['[Prod']'[Absentéisme']Total_jours_absence_avant]]-Base[[#This Row],['[Prod']'[Absentéisme']Total_jours_absence_après]]</f>
        <v>2329046.5728360154</v>
      </c>
      <c r="BW90" s="4">
        <f>IF(AND(Base[[#This Row],[Pathologie]]&lt;&gt;"Dépendance",Base[[#This Row],[Pathologie]]&lt;&gt;"Mort prématurée",Base[[#This Row],[Pathologie]]&lt;&gt;"Migraine"),0.0619,0)</f>
        <v>6.1899999999999997E-2</v>
      </c>
      <c r="BX90" s="4">
        <v>254</v>
      </c>
      <c r="BY90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0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0" s="4">
        <f>Base[[#This Row],[Prévalence_prod]]*Base[[#This Row],[Présentéisme]]*Base[[#This Row],['[Prod']Jours_ouvrés]]</f>
        <v>0.15098463934186357</v>
      </c>
      <c r="CB90" s="4">
        <f>Base[[#This Row],[Prévalence_prod]]*(1-Base[[#This Row],[Risque]])*Base[[#This Row],[Présentéisme]]*Base[[#This Row],['[Prod']Jours_ouvrés]]</f>
        <v>0.13290477649302265</v>
      </c>
      <c r="CC90" s="4">
        <f>Base[[#This Row],['[Prod']'[Présentéisme']Jours_avant]]-Base[[#This Row],['[Prod']'[Présentéisme']Jours_après]]</f>
        <v>1.8079862848840916E-2</v>
      </c>
      <c r="CD90" s="4">
        <f>Base[[#This Row],['[Prod']'[Présentéisme']Jours_gagnés]]/Base[[#This Row],['[Prod']Jours_ouvrés]]</f>
        <v>7.1180562397011481E-5</v>
      </c>
      <c r="CE90">
        <v>5.8333039429220801E-2</v>
      </c>
      <c r="CF90">
        <v>1.4658164114728258E-2</v>
      </c>
      <c r="CG90" s="4">
        <v>11</v>
      </c>
      <c r="CH90" s="4">
        <v>0.68054183762612652</v>
      </c>
      <c r="CI90" s="4">
        <v>1.2135452577082654E-2</v>
      </c>
      <c r="CJ90" s="4">
        <f>IF(Base[[#This Row],[Secteur]]&lt;&gt;"Moyenne",Base[[#This Row],['[Prod']'[Turnover']DMC_initiale]]*(1+Base[[#This Row],['[Prod']'[Turnover']Ecart_accidents]]*Base[[#This Row],['[Prod']Impact_motifs_turnover]]),CJ73*CI73+CJ74*CI74+CJ75*CI75+CJ76*CI76+CJ77*CI77+CJ78*CI78+CJ79*CI79+CJ80*CI80+CJ81*CI81+CJ82*CI82+CJ83*CI83+CJ84*CI84+CJ85*CI85+CJ86*CI86+CJ87*CI87+CJ88*CI88+CJ89*CI89)</f>
        <v>11.109730433371487</v>
      </c>
      <c r="CK90" s="4">
        <f>1/Base[[#This Row],['[Prod']'[Turnover']DMC_initiale]]</f>
        <v>9.0909090909090912E-2</v>
      </c>
      <c r="CL90" s="4">
        <f>1/Base[[#This Row],['[Prod']'[Turnover']DMC_finale]]</f>
        <v>9.001118487953523E-2</v>
      </c>
    </row>
    <row r="91" spans="2:90" x14ac:dyDescent="0.25">
      <c r="B91" s="4" t="s">
        <v>317</v>
      </c>
      <c r="C91">
        <v>7.5</v>
      </c>
      <c r="D91" t="s">
        <v>84</v>
      </c>
      <c r="E91" t="s">
        <v>6</v>
      </c>
      <c r="F91" s="3">
        <v>0.11974637239689005</v>
      </c>
      <c r="G91" s="3">
        <v>8.741584028593305E-3</v>
      </c>
      <c r="H91" s="3">
        <v>8.741584028593305E-3</v>
      </c>
      <c r="I91" s="3">
        <v>6.8000000000000005E-2</v>
      </c>
      <c r="J91" s="3">
        <v>16.260750000000002</v>
      </c>
      <c r="K91" s="3">
        <v>7.0000000000000007E-2</v>
      </c>
      <c r="L91" s="2">
        <f>Base[[#This Row],[Coût]]*Base[[#This Row],[Part_ménages_dépenses_santé]]</f>
        <v>1.1382525000000001</v>
      </c>
      <c r="M91" s="2">
        <v>0.99809973356799431</v>
      </c>
      <c r="N91" s="6">
        <v>27700000</v>
      </c>
      <c r="O91" s="7">
        <f>Base[[#This Row],[Coût_salarié]]*10^9*Base[[#This Row],[Risque]]*Base[[#This Row],[Prévalence]]*Base[[#This Row],[Part_coûts_salarié]]/Base[[#This Row],[Population_emploi]]</f>
        <v>4.2932411739332398E-2</v>
      </c>
      <c r="P91">
        <v>50</v>
      </c>
      <c r="Q91">
        <v>50</v>
      </c>
      <c r="R91" s="2">
        <v>9.9999999999999978E-2</v>
      </c>
      <c r="S91" s="2">
        <v>0.33340000000000003</v>
      </c>
      <c r="T91" s="4">
        <v>8.741584028593305E-3</v>
      </c>
      <c r="U91" s="4">
        <f>IF(Bases_annexes!$F$5=0,16.6587111018772,0.77*Bases_annexes!$F$5/(IF(OR(ISBLANK('Données_d''entrée'!$E$44),'Données_d''entrée'!$E$44=0),35,'Données_d''entrée'!$E$44)*52))</f>
        <v>16.658711101877199</v>
      </c>
      <c r="V91" s="4">
        <v>80.324106187301894</v>
      </c>
      <c r="W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1" s="4">
        <v>234.5</v>
      </c>
      <c r="Y91" s="4">
        <f>(Base[[#This Row],['[Maladies']Coûts_évités_par_salarié]]+Base[[#This Row],['[Travail']Coûts_évités_par_salarié]])/Base[[#This Row],[Budget_santé_salarié]]</f>
        <v>2.8459880453795823E-3</v>
      </c>
      <c r="Z91" s="4">
        <v>0.8</v>
      </c>
      <c r="AA91" s="4">
        <f>Base[[#This Row],[Coût]]*Base[[#This Row],[Part_société_dépenses_santé]]</f>
        <v>13.008600000000001</v>
      </c>
      <c r="AB91" s="4">
        <v>67635124</v>
      </c>
      <c r="AC91" s="4">
        <v>82.297079063317852</v>
      </c>
      <c r="AD91" s="4">
        <v>8.741584028593305E-3</v>
      </c>
      <c r="AE91" s="4">
        <f>Base[[#This Row],['[SC']Prévalence_travail]]*Base[[#This Row],[Population_emploi]]</f>
        <v>242141.87759203455</v>
      </c>
      <c r="AF91" s="4">
        <f>Base[[#This Row],[Risque]]*Base[[#This Row],['[SC']Patients_en_emploi]]</f>
        <v>28995.611447017935</v>
      </c>
      <c r="AG91" s="4">
        <v>1022040000</v>
      </c>
      <c r="AH91" s="4">
        <f>IFERROR(Base[[#This Row],['[SC']Prestations]]/Base[[#This Row],['[SC']Patients_en_emploi]],0)</f>
        <v>4220.8312340005614</v>
      </c>
      <c r="AI91" s="4">
        <v>51.7</v>
      </c>
      <c r="AJ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1" s="4">
        <f>Base[[#This Row],['[SC']'[Travail']Coûts_évités]]/Base[[#This Row],[Population_emploi]]</f>
        <v>4.4182520738092963</v>
      </c>
      <c r="AL91" s="4">
        <f>Base[[#This Row],[Coût_société]]*10^9*Base[[#This Row],[Risque]]*Base[[#This Row],[Prévalence]]*Base[[#This Row],[Part_coûts_salarié]]/Base[[#This Row],[Population_emploi]]</f>
        <v>0.49065613416379883</v>
      </c>
      <c r="AM91" s="4">
        <f>IF(Base[[#This Row],[Pathologie]]&lt;&gt;"Dépendance",0,14909.24243952)</f>
        <v>0</v>
      </c>
      <c r="AN91" s="4">
        <f>IF(Base[[#This Row],[Pathologie]]&lt;&gt;"Dépendance",0,1316000)</f>
        <v>0</v>
      </c>
      <c r="AO91" s="4">
        <f>IF(Base[[#This Row],[Pathologie]]&lt;&gt;"Dépendance",0,Base[[#This Row],['[SC']Coût_personne_dépendante]]*Base[[#This Row],['[SC']Nb_personnes_dépendantes]])</f>
        <v>0</v>
      </c>
      <c r="AP91" s="4">
        <f>IF(Base[[#This Row],[Pathologie]]&lt;&gt;"Dépendance",0,Base[[#This Row],['[SC']Coût_total_dépendance]]/Base[[#This Row],[Population_totale]])</f>
        <v>0</v>
      </c>
      <c r="AQ91" s="4">
        <f>IF(Base[[#This Row],[Pathologie]]&lt;&gt;"Dépendance",0,4.5)</f>
        <v>0</v>
      </c>
      <c r="AR91" s="4">
        <v>0.50393265050357905</v>
      </c>
      <c r="AS91" s="4">
        <f>Base[[#This Row],[Espérance_vie]]+Base[[#This Row],['[SC']Hausse_esp_de_vie]]-Base[[#This Row],['[SC']Durée_moyenne_dépendance_avt]]+Base[[#This Row],[Risque]]</f>
        <v>82.920758086218328</v>
      </c>
      <c r="AT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1" s="4">
        <v>62.9</v>
      </c>
      <c r="AW91" s="4">
        <f t="shared" si="0"/>
        <v>336905600000</v>
      </c>
      <c r="AX91" s="4">
        <v>15049171</v>
      </c>
      <c r="AY91" s="4">
        <f>Base[[#This Row],['[SC']Budget_total_retraites]]/Base[[#This Row],['[SC']Nombre_de_retraités]]</f>
        <v>22386.987296509556</v>
      </c>
      <c r="AZ91" s="4">
        <f>Base[[#This Row],['[SC']Budget_par_retraité]]*Base[[#This Row],['[SC']Nb_personnes_dépendantes]]</f>
        <v>0</v>
      </c>
      <c r="BA91" s="4">
        <f>Base[[#This Row],['[SC']'[Dépendance']Coût_retraite_personnes_dépendantes]]/Base[[#This Row],[Population_totale]]</f>
        <v>0</v>
      </c>
      <c r="BB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1" s="4">
        <f>Base[[#This Row],['[SC']'[Dépendance']Gains]]-Base[[#This Row],['[SC']'[Dépendance']Coûts]]</f>
        <v>0</v>
      </c>
      <c r="BD91" s="4">
        <f>IF(Base[[#This Row],[Pathologie]]&lt;&gt;"Mort prématurée",0,Base[[#This Row],[Risque]]*Base[[#This Row],[Prévalence]]*Base[[#This Row],[Population_totale]])</f>
        <v>0</v>
      </c>
      <c r="BE91" s="4">
        <v>52.74</v>
      </c>
      <c r="BF91" s="4">
        <f>Base[[#This Row],['[SC']Âge_moyen_retraite]]-Base[[#This Row],['[SC']'[Mort_prématurée']Âge_moyen_mort précoce]]</f>
        <v>10.159999999999997</v>
      </c>
      <c r="BG91" s="4">
        <f>Base[[#This Row],[Espérance_vie]]+Base[[#This Row],['[SC']Hausse_esp_de_vie]]-Base[[#This Row],['[SC']Âge_moyen_retraite]]</f>
        <v>19.90101171382144</v>
      </c>
      <c r="BH91" s="4">
        <v>106583.42676924677</v>
      </c>
      <c r="BI91" s="4">
        <v>97601.789429271477</v>
      </c>
      <c r="BJ91" s="4">
        <v>302038.31496633729</v>
      </c>
      <c r="BK91" s="4">
        <v>117293.58934859755</v>
      </c>
      <c r="BL91" s="4">
        <v>1523999.9999999995</v>
      </c>
      <c r="BM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1" s="4">
        <v>294804.96027377353</v>
      </c>
      <c r="BO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1" s="4">
        <f>(Base[[#This Row],['[SC']'[Mort_prématurée']Gains]]-Base[[#This Row],['[SC']'[Mort_prématurée']Coûts]])/Base[[#This Row],[Population_totale]]</f>
        <v>0</v>
      </c>
      <c r="BQ91" s="4">
        <f>IF(Base[[#This Row],[Pathologie]]&lt;&gt;"Mort prématurée",0,Base[[#This Row],[Risque]])</f>
        <v>0</v>
      </c>
      <c r="BR91" s="4">
        <v>2680</v>
      </c>
      <c r="BS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1" s="4">
        <f>Base[[#This Row],[Prévalence_prod]]*(1-Base[[#This Row],[Risque]])*Base[[#This Row],[Durée_arrêt]]*Base[[#This Row],[Population_emploi]]</f>
        <v>17120783.315259226</v>
      </c>
      <c r="BV91" s="4">
        <f>Base[[#This Row],['[Prod']'[Absentéisme']Total_jours_absence_avant]]-Base[[#This Row],['[Prod']'[Absentéisme']Total_jours_absence_après]]</f>
        <v>2329046.5728360154</v>
      </c>
      <c r="BW91" s="4">
        <f>IF(AND(Base[[#This Row],[Pathologie]]&lt;&gt;"Dépendance",Base[[#This Row],[Pathologie]]&lt;&gt;"Mort prématurée",Base[[#This Row],[Pathologie]]&lt;&gt;"Migraine"),0.0619,0)</f>
        <v>6.1899999999999997E-2</v>
      </c>
      <c r="BX91" s="4">
        <v>254</v>
      </c>
      <c r="BY9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1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1" s="4">
        <f>Base[[#This Row],[Prévalence_prod]]*Base[[#This Row],[Présentéisme]]*Base[[#This Row],['[Prod']Jours_ouvrés]]</f>
        <v>0.15098463934186357</v>
      </c>
      <c r="CB91" s="4">
        <f>Base[[#This Row],[Prévalence_prod]]*(1-Base[[#This Row],[Risque]])*Base[[#This Row],[Présentéisme]]*Base[[#This Row],['[Prod']Jours_ouvrés]]</f>
        <v>0.13290477649302265</v>
      </c>
      <c r="CC91" s="4">
        <f>Base[[#This Row],['[Prod']'[Présentéisme']Jours_avant]]-Base[[#This Row],['[Prod']'[Présentéisme']Jours_après]]</f>
        <v>1.8079862848840916E-2</v>
      </c>
      <c r="CD91" s="4">
        <f>Base[[#This Row],['[Prod']'[Présentéisme']Jours_gagnés]]/Base[[#This Row],['[Prod']Jours_ouvrés]]</f>
        <v>7.1180562397011481E-5</v>
      </c>
      <c r="CE91">
        <v>5.8333039429220801E-2</v>
      </c>
      <c r="CF91">
        <v>1.4658164114728258E-2</v>
      </c>
      <c r="CG91" s="4">
        <v>11</v>
      </c>
      <c r="CH91" s="4">
        <v>0.31563677172153043</v>
      </c>
      <c r="CI91" s="4">
        <v>1.3003350630813707E-4</v>
      </c>
      <c r="CJ91" s="4">
        <f>IF(Base[[#This Row],[Secteur]]&lt;&gt;"Moyenne",Base[[#This Row],['[Prod']'[Turnover']DMC_initiale]]*(1+Base[[#This Row],['[Prod']'[Turnover']Ecart_accidents]]*Base[[#This Row],['[Prod']Impact_motifs_turnover]]),CJ74*CI74+CJ75*CI75+CJ76*CI76+CJ77*CI77+CJ78*CI78+CJ79*CI79+CJ80*CI80+CJ81*CI81+CJ82*CI82+CJ83*CI83+CJ84*CI84+CJ85*CI85+CJ86*CI86+CJ87*CI87+CJ88*CI88+CJ89*CI89+CJ90*CI90)</f>
        <v>11.05089321160591</v>
      </c>
      <c r="CK91" s="4">
        <f>1/Base[[#This Row],['[Prod']'[Turnover']DMC_initiale]]</f>
        <v>9.0909090909090912E-2</v>
      </c>
      <c r="CL91" s="4">
        <f>1/Base[[#This Row],['[Prod']'[Turnover']DMC_finale]]</f>
        <v>9.0490422887244654E-2</v>
      </c>
    </row>
    <row r="92" spans="2:90" x14ac:dyDescent="0.25">
      <c r="B92" s="4" t="s">
        <v>318</v>
      </c>
      <c r="C92">
        <v>7.5</v>
      </c>
      <c r="D92" t="s">
        <v>84</v>
      </c>
      <c r="E92" t="s">
        <v>6</v>
      </c>
      <c r="F92" s="3">
        <v>0.11974637239689005</v>
      </c>
      <c r="G92" s="3">
        <v>8.741584028593305E-3</v>
      </c>
      <c r="H92" s="3">
        <v>8.741584028593305E-3</v>
      </c>
      <c r="I92" s="3">
        <v>6.8000000000000005E-2</v>
      </c>
      <c r="J92" s="3">
        <v>16.260750000000002</v>
      </c>
      <c r="K92" s="3">
        <v>7.0000000000000007E-2</v>
      </c>
      <c r="L92" s="2">
        <f>Base[[#This Row],[Coût]]*Base[[#This Row],[Part_ménages_dépenses_santé]]</f>
        <v>1.1382525000000001</v>
      </c>
      <c r="M92" s="2">
        <v>0.99809973356799431</v>
      </c>
      <c r="N92" s="6">
        <v>27700000</v>
      </c>
      <c r="O92" s="7">
        <f>Base[[#This Row],[Coût_salarié]]*10^9*Base[[#This Row],[Risque]]*Base[[#This Row],[Prévalence]]*Base[[#This Row],[Part_coûts_salarié]]/Base[[#This Row],[Population_emploi]]</f>
        <v>4.2932411739332398E-2</v>
      </c>
      <c r="P92">
        <v>50</v>
      </c>
      <c r="Q92">
        <v>50</v>
      </c>
      <c r="R92" s="2">
        <v>9.9999999999999978E-2</v>
      </c>
      <c r="S92" s="2">
        <v>0.33340000000000003</v>
      </c>
      <c r="T92" s="4">
        <v>8.741584028593305E-3</v>
      </c>
      <c r="U92" s="4">
        <f>IF(Bases_annexes!$F$5=0,16.6587111018772,0.77*Bases_annexes!$F$5/(IF(OR(ISBLANK('Données_d''entrée'!$E$44),'Données_d''entrée'!$E$44=0),35,'Données_d''entrée'!$E$44)*52))</f>
        <v>16.658711101877199</v>
      </c>
      <c r="V92" s="4">
        <v>80.324106187301894</v>
      </c>
      <c r="W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2" s="4">
        <v>234.5</v>
      </c>
      <c r="Y92" s="4">
        <f>(Base[[#This Row],['[Maladies']Coûts_évités_par_salarié]]+Base[[#This Row],['[Travail']Coûts_évités_par_salarié]])/Base[[#This Row],[Budget_santé_salarié]]</f>
        <v>2.8459880453795823E-3</v>
      </c>
      <c r="Z92" s="4">
        <v>0.8</v>
      </c>
      <c r="AA92" s="4">
        <f>Base[[#This Row],[Coût]]*Base[[#This Row],[Part_société_dépenses_santé]]</f>
        <v>13.008600000000001</v>
      </c>
      <c r="AB92" s="4">
        <v>67635124</v>
      </c>
      <c r="AC92" s="4">
        <v>82.297079063317852</v>
      </c>
      <c r="AD92" s="4">
        <v>8.741584028593305E-3</v>
      </c>
      <c r="AE92" s="4">
        <f>Base[[#This Row],['[SC']Prévalence_travail]]*Base[[#This Row],[Population_emploi]]</f>
        <v>242141.87759203455</v>
      </c>
      <c r="AF92" s="4">
        <f>Base[[#This Row],[Risque]]*Base[[#This Row],['[SC']Patients_en_emploi]]</f>
        <v>28995.611447017935</v>
      </c>
      <c r="AG92" s="4">
        <v>1022040000</v>
      </c>
      <c r="AH92" s="4">
        <f>IFERROR(Base[[#This Row],['[SC']Prestations]]/Base[[#This Row],['[SC']Patients_en_emploi]],0)</f>
        <v>4220.8312340005614</v>
      </c>
      <c r="AI92" s="4">
        <v>51.7</v>
      </c>
      <c r="AJ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2" s="4">
        <f>Base[[#This Row],['[SC']'[Travail']Coûts_évités]]/Base[[#This Row],[Population_emploi]]</f>
        <v>4.4182520738092963</v>
      </c>
      <c r="AL92" s="4">
        <f>Base[[#This Row],[Coût_société]]*10^9*Base[[#This Row],[Risque]]*Base[[#This Row],[Prévalence]]*Base[[#This Row],[Part_coûts_salarié]]/Base[[#This Row],[Population_emploi]]</f>
        <v>0.49065613416379883</v>
      </c>
      <c r="AM92" s="4">
        <f>IF(Base[[#This Row],[Pathologie]]&lt;&gt;"Dépendance",0,14909.24243952)</f>
        <v>0</v>
      </c>
      <c r="AN92" s="4">
        <f>IF(Base[[#This Row],[Pathologie]]&lt;&gt;"Dépendance",0,1316000)</f>
        <v>0</v>
      </c>
      <c r="AO92" s="4">
        <f>IF(Base[[#This Row],[Pathologie]]&lt;&gt;"Dépendance",0,Base[[#This Row],['[SC']Coût_personne_dépendante]]*Base[[#This Row],['[SC']Nb_personnes_dépendantes]])</f>
        <v>0</v>
      </c>
      <c r="AP92" s="4">
        <f>IF(Base[[#This Row],[Pathologie]]&lt;&gt;"Dépendance",0,Base[[#This Row],['[SC']Coût_total_dépendance]]/Base[[#This Row],[Population_totale]])</f>
        <v>0</v>
      </c>
      <c r="AQ92" s="4">
        <f>IF(Base[[#This Row],[Pathologie]]&lt;&gt;"Dépendance",0,4.5)</f>
        <v>0</v>
      </c>
      <c r="AR92" s="4">
        <v>0.50393265050357905</v>
      </c>
      <c r="AS92" s="4">
        <f>Base[[#This Row],[Espérance_vie]]+Base[[#This Row],['[SC']Hausse_esp_de_vie]]-Base[[#This Row],['[SC']Durée_moyenne_dépendance_avt]]+Base[[#This Row],[Risque]]</f>
        <v>82.920758086218328</v>
      </c>
      <c r="AT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2" s="4">
        <v>62.9</v>
      </c>
      <c r="AW92" s="4">
        <f t="shared" si="0"/>
        <v>336905600000</v>
      </c>
      <c r="AX92" s="4">
        <v>15049171</v>
      </c>
      <c r="AY92" s="4">
        <f>Base[[#This Row],['[SC']Budget_total_retraites]]/Base[[#This Row],['[SC']Nombre_de_retraités]]</f>
        <v>22386.987296509556</v>
      </c>
      <c r="AZ92" s="4">
        <f>Base[[#This Row],['[SC']Budget_par_retraité]]*Base[[#This Row],['[SC']Nb_personnes_dépendantes]]</f>
        <v>0</v>
      </c>
      <c r="BA92" s="4">
        <f>Base[[#This Row],['[SC']'[Dépendance']Coût_retraite_personnes_dépendantes]]/Base[[#This Row],[Population_totale]]</f>
        <v>0</v>
      </c>
      <c r="BB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2" s="4">
        <f>Base[[#This Row],['[SC']'[Dépendance']Gains]]-Base[[#This Row],['[SC']'[Dépendance']Coûts]]</f>
        <v>0</v>
      </c>
      <c r="BD92" s="4">
        <f>IF(Base[[#This Row],[Pathologie]]&lt;&gt;"Mort prématurée",0,Base[[#This Row],[Risque]]*Base[[#This Row],[Prévalence]]*Base[[#This Row],[Population_totale]])</f>
        <v>0</v>
      </c>
      <c r="BE92" s="4">
        <v>52.74</v>
      </c>
      <c r="BF92" s="4">
        <f>Base[[#This Row],['[SC']Âge_moyen_retraite]]-Base[[#This Row],['[SC']'[Mort_prématurée']Âge_moyen_mort précoce]]</f>
        <v>10.159999999999997</v>
      </c>
      <c r="BG92" s="4">
        <f>Base[[#This Row],[Espérance_vie]]+Base[[#This Row],['[SC']Hausse_esp_de_vie]]-Base[[#This Row],['[SC']Âge_moyen_retraite]]</f>
        <v>19.90101171382144</v>
      </c>
      <c r="BH92" s="4">
        <v>106583.42676924677</v>
      </c>
      <c r="BI92" s="4">
        <v>97601.789429271477</v>
      </c>
      <c r="BJ92" s="4">
        <v>302038.31496633729</v>
      </c>
      <c r="BK92" s="4">
        <v>117293.58934859755</v>
      </c>
      <c r="BL92" s="4">
        <v>1523999.9999999995</v>
      </c>
      <c r="BM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2" s="4">
        <v>294804.96027377353</v>
      </c>
      <c r="BO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2" s="4">
        <f>(Base[[#This Row],['[SC']'[Mort_prématurée']Gains]]-Base[[#This Row],['[SC']'[Mort_prématurée']Coûts]])/Base[[#This Row],[Population_totale]]</f>
        <v>0</v>
      </c>
      <c r="BQ92" s="4">
        <f>IF(Base[[#This Row],[Pathologie]]&lt;&gt;"Mort prématurée",0,Base[[#This Row],[Risque]])</f>
        <v>0</v>
      </c>
      <c r="BR92" s="4">
        <v>2680</v>
      </c>
      <c r="BS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2" s="4">
        <f>Base[[#This Row],[Prévalence_prod]]*(1-Base[[#This Row],[Risque]])*Base[[#This Row],[Durée_arrêt]]*Base[[#This Row],[Population_emploi]]</f>
        <v>17120783.315259226</v>
      </c>
      <c r="BV92" s="4">
        <f>Base[[#This Row],['[Prod']'[Absentéisme']Total_jours_absence_avant]]-Base[[#This Row],['[Prod']'[Absentéisme']Total_jours_absence_après]]</f>
        <v>2329046.5728360154</v>
      </c>
      <c r="BW92" s="4">
        <f>IF(AND(Base[[#This Row],[Pathologie]]&lt;&gt;"Dépendance",Base[[#This Row],[Pathologie]]&lt;&gt;"Mort prématurée",Base[[#This Row],[Pathologie]]&lt;&gt;"Migraine"),0.0619,0)</f>
        <v>6.1899999999999997E-2</v>
      </c>
      <c r="BX92" s="4">
        <v>254</v>
      </c>
      <c r="BY9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2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2" s="4">
        <f>Base[[#This Row],[Prévalence_prod]]*Base[[#This Row],[Présentéisme]]*Base[[#This Row],['[Prod']Jours_ouvrés]]</f>
        <v>0.15098463934186357</v>
      </c>
      <c r="CB92" s="4">
        <f>Base[[#This Row],[Prévalence_prod]]*(1-Base[[#This Row],[Risque]])*Base[[#This Row],[Présentéisme]]*Base[[#This Row],['[Prod']Jours_ouvrés]]</f>
        <v>0.13290477649302265</v>
      </c>
      <c r="CC92" s="4">
        <f>Base[[#This Row],['[Prod']'[Présentéisme']Jours_avant]]-Base[[#This Row],['[Prod']'[Présentéisme']Jours_après]]</f>
        <v>1.8079862848840916E-2</v>
      </c>
      <c r="CD92" s="4">
        <f>Base[[#This Row],['[Prod']'[Présentéisme']Jours_gagnés]]/Base[[#This Row],['[Prod']Jours_ouvrés]]</f>
        <v>7.1180562397011481E-5</v>
      </c>
      <c r="CE92">
        <v>5.8333039429220801E-2</v>
      </c>
      <c r="CF92">
        <v>1.4658164114728258E-2</v>
      </c>
      <c r="CG92" s="4">
        <v>11</v>
      </c>
      <c r="CH92" s="4">
        <v>1.1688035738877327</v>
      </c>
      <c r="CI92" s="4">
        <v>9.6557438521367826E-3</v>
      </c>
      <c r="CJ92" s="4">
        <f>IF(Base[[#This Row],[Secteur]]&lt;&gt;"Moyenne",Base[[#This Row],['[Prod']'[Turnover']DMC_initiale]]*(1+Base[[#This Row],['[Prod']'[Turnover']Ecart_accidents]]*Base[[#This Row],['[Prod']Impact_motifs_turnover]]),CJ75*CI75+CJ76*CI76+CJ77*CI77+CJ78*CI78+CJ79*CI79+CJ80*CI80+CJ81*CI81+CJ82*CI82+CJ83*CI83+CJ84*CI84+CJ85*CI85+CJ86*CI86+CJ87*CI87+CJ88*CI88+CJ89*CI89+CJ90*CI90+CJ91*CI91)</f>
        <v>11.188457660643202</v>
      </c>
      <c r="CK92" s="4">
        <f>1/Base[[#This Row],['[Prod']'[Turnover']DMC_initiale]]</f>
        <v>9.0909090909090912E-2</v>
      </c>
      <c r="CL92" s="4">
        <f>1/Base[[#This Row],['[Prod']'[Turnover']DMC_finale]]</f>
        <v>8.9377824033568531E-2</v>
      </c>
    </row>
    <row r="93" spans="2:90" x14ac:dyDescent="0.25">
      <c r="B93" s="4" t="s">
        <v>319</v>
      </c>
      <c r="C93">
        <v>7.5</v>
      </c>
      <c r="D93" t="s">
        <v>84</v>
      </c>
      <c r="E93" t="s">
        <v>6</v>
      </c>
      <c r="F93" s="3">
        <v>0.11974637239689005</v>
      </c>
      <c r="G93" s="3">
        <v>8.741584028593305E-3</v>
      </c>
      <c r="H93" s="3">
        <v>8.741584028593305E-3</v>
      </c>
      <c r="I93" s="3">
        <v>6.8000000000000005E-2</v>
      </c>
      <c r="J93" s="3">
        <v>16.260750000000002</v>
      </c>
      <c r="K93" s="3">
        <v>7.0000000000000007E-2</v>
      </c>
      <c r="L93" s="2">
        <f>Base[[#This Row],[Coût]]*Base[[#This Row],[Part_ménages_dépenses_santé]]</f>
        <v>1.1382525000000001</v>
      </c>
      <c r="M93" s="2">
        <v>0.99809973356799431</v>
      </c>
      <c r="N93" s="6">
        <v>27700000</v>
      </c>
      <c r="O93" s="7">
        <f>Base[[#This Row],[Coût_salarié]]*10^9*Base[[#This Row],[Risque]]*Base[[#This Row],[Prévalence]]*Base[[#This Row],[Part_coûts_salarié]]/Base[[#This Row],[Population_emploi]]</f>
        <v>4.2932411739332398E-2</v>
      </c>
      <c r="P93">
        <v>50</v>
      </c>
      <c r="Q93">
        <v>50</v>
      </c>
      <c r="R93" s="2">
        <v>9.9999999999999978E-2</v>
      </c>
      <c r="S93" s="2">
        <v>0.33340000000000003</v>
      </c>
      <c r="T93" s="4">
        <v>8.741584028593305E-3</v>
      </c>
      <c r="U93" s="4">
        <f>IF(Bases_annexes!$F$5=0,16.6587111018772,0.77*Bases_annexes!$F$5/(IF(OR(ISBLANK('Données_d''entrée'!$E$44),'Données_d''entrée'!$E$44=0),35,'Données_d''entrée'!$E$44)*52))</f>
        <v>16.658711101877199</v>
      </c>
      <c r="V93" s="4">
        <v>80.324106187301894</v>
      </c>
      <c r="W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3" s="4">
        <v>234.5</v>
      </c>
      <c r="Y93" s="4">
        <f>(Base[[#This Row],['[Maladies']Coûts_évités_par_salarié]]+Base[[#This Row],['[Travail']Coûts_évités_par_salarié]])/Base[[#This Row],[Budget_santé_salarié]]</f>
        <v>2.8459880453795823E-3</v>
      </c>
      <c r="Z93" s="4">
        <v>0.8</v>
      </c>
      <c r="AA93" s="4">
        <f>Base[[#This Row],[Coût]]*Base[[#This Row],[Part_société_dépenses_santé]]</f>
        <v>13.008600000000001</v>
      </c>
      <c r="AB93" s="4">
        <v>67635124</v>
      </c>
      <c r="AC93" s="4">
        <v>82.297079063317852</v>
      </c>
      <c r="AD93" s="4">
        <v>8.741584028593305E-3</v>
      </c>
      <c r="AE93" s="4">
        <f>Base[[#This Row],['[SC']Prévalence_travail]]*Base[[#This Row],[Population_emploi]]</f>
        <v>242141.87759203455</v>
      </c>
      <c r="AF93" s="4">
        <f>Base[[#This Row],[Risque]]*Base[[#This Row],['[SC']Patients_en_emploi]]</f>
        <v>28995.611447017935</v>
      </c>
      <c r="AG93" s="4">
        <v>1022040000</v>
      </c>
      <c r="AH93" s="4">
        <f>IFERROR(Base[[#This Row],['[SC']Prestations]]/Base[[#This Row],['[SC']Patients_en_emploi]],0)</f>
        <v>4220.8312340005614</v>
      </c>
      <c r="AI93" s="4">
        <v>51.7</v>
      </c>
      <c r="AJ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3" s="4">
        <f>Base[[#This Row],['[SC']'[Travail']Coûts_évités]]/Base[[#This Row],[Population_emploi]]</f>
        <v>4.4182520738092963</v>
      </c>
      <c r="AL93" s="4">
        <f>Base[[#This Row],[Coût_société]]*10^9*Base[[#This Row],[Risque]]*Base[[#This Row],[Prévalence]]*Base[[#This Row],[Part_coûts_salarié]]/Base[[#This Row],[Population_emploi]]</f>
        <v>0.49065613416379883</v>
      </c>
      <c r="AM93" s="4">
        <f>IF(Base[[#This Row],[Pathologie]]&lt;&gt;"Dépendance",0,14909.24243952)</f>
        <v>0</v>
      </c>
      <c r="AN93" s="4">
        <f>IF(Base[[#This Row],[Pathologie]]&lt;&gt;"Dépendance",0,1316000)</f>
        <v>0</v>
      </c>
      <c r="AO93" s="4">
        <f>IF(Base[[#This Row],[Pathologie]]&lt;&gt;"Dépendance",0,Base[[#This Row],['[SC']Coût_personne_dépendante]]*Base[[#This Row],['[SC']Nb_personnes_dépendantes]])</f>
        <v>0</v>
      </c>
      <c r="AP93" s="4">
        <f>IF(Base[[#This Row],[Pathologie]]&lt;&gt;"Dépendance",0,Base[[#This Row],['[SC']Coût_total_dépendance]]/Base[[#This Row],[Population_totale]])</f>
        <v>0</v>
      </c>
      <c r="AQ93" s="4">
        <f>IF(Base[[#This Row],[Pathologie]]&lt;&gt;"Dépendance",0,4.5)</f>
        <v>0</v>
      </c>
      <c r="AR93" s="4">
        <v>0.50393265050357905</v>
      </c>
      <c r="AS93" s="4">
        <f>Base[[#This Row],[Espérance_vie]]+Base[[#This Row],['[SC']Hausse_esp_de_vie]]-Base[[#This Row],['[SC']Durée_moyenne_dépendance_avt]]+Base[[#This Row],[Risque]]</f>
        <v>82.920758086218328</v>
      </c>
      <c r="AT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3" s="4">
        <v>62.9</v>
      </c>
      <c r="AW93" s="4">
        <f t="shared" si="0"/>
        <v>336905600000</v>
      </c>
      <c r="AX93" s="4">
        <v>15049171</v>
      </c>
      <c r="AY93" s="4">
        <f>Base[[#This Row],['[SC']Budget_total_retraites]]/Base[[#This Row],['[SC']Nombre_de_retraités]]</f>
        <v>22386.987296509556</v>
      </c>
      <c r="AZ93" s="4">
        <f>Base[[#This Row],['[SC']Budget_par_retraité]]*Base[[#This Row],['[SC']Nb_personnes_dépendantes]]</f>
        <v>0</v>
      </c>
      <c r="BA93" s="4">
        <f>Base[[#This Row],['[SC']'[Dépendance']Coût_retraite_personnes_dépendantes]]/Base[[#This Row],[Population_totale]]</f>
        <v>0</v>
      </c>
      <c r="BB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3" s="4">
        <f>Base[[#This Row],['[SC']'[Dépendance']Gains]]-Base[[#This Row],['[SC']'[Dépendance']Coûts]]</f>
        <v>0</v>
      </c>
      <c r="BD93" s="4">
        <f>IF(Base[[#This Row],[Pathologie]]&lt;&gt;"Mort prématurée",0,Base[[#This Row],[Risque]]*Base[[#This Row],[Prévalence]]*Base[[#This Row],[Population_totale]])</f>
        <v>0</v>
      </c>
      <c r="BE93" s="4">
        <v>52.74</v>
      </c>
      <c r="BF93" s="4">
        <f>Base[[#This Row],['[SC']Âge_moyen_retraite]]-Base[[#This Row],['[SC']'[Mort_prématurée']Âge_moyen_mort précoce]]</f>
        <v>10.159999999999997</v>
      </c>
      <c r="BG93" s="4">
        <f>Base[[#This Row],[Espérance_vie]]+Base[[#This Row],['[SC']Hausse_esp_de_vie]]-Base[[#This Row],['[SC']Âge_moyen_retraite]]</f>
        <v>19.90101171382144</v>
      </c>
      <c r="BH93" s="4">
        <v>106583.42676924677</v>
      </c>
      <c r="BI93" s="4">
        <v>97601.789429271477</v>
      </c>
      <c r="BJ93" s="4">
        <v>302038.31496633729</v>
      </c>
      <c r="BK93" s="4">
        <v>117293.58934859755</v>
      </c>
      <c r="BL93" s="4">
        <v>1523999.9999999995</v>
      </c>
      <c r="BM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3" s="4">
        <v>294804.96027377353</v>
      </c>
      <c r="BO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3" s="4">
        <f>(Base[[#This Row],['[SC']'[Mort_prématurée']Gains]]-Base[[#This Row],['[SC']'[Mort_prématurée']Coûts]])/Base[[#This Row],[Population_totale]]</f>
        <v>0</v>
      </c>
      <c r="BQ93" s="4">
        <f>IF(Base[[#This Row],[Pathologie]]&lt;&gt;"Mort prématurée",0,Base[[#This Row],[Risque]])</f>
        <v>0</v>
      </c>
      <c r="BR93" s="4">
        <v>2680</v>
      </c>
      <c r="BS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3" s="4">
        <f>Base[[#This Row],[Prévalence_prod]]*(1-Base[[#This Row],[Risque]])*Base[[#This Row],[Durée_arrêt]]*Base[[#This Row],[Population_emploi]]</f>
        <v>17120783.315259226</v>
      </c>
      <c r="BV93" s="4">
        <f>Base[[#This Row],['[Prod']'[Absentéisme']Total_jours_absence_avant]]-Base[[#This Row],['[Prod']'[Absentéisme']Total_jours_absence_après]]</f>
        <v>2329046.5728360154</v>
      </c>
      <c r="BW93" s="4">
        <f>IF(AND(Base[[#This Row],[Pathologie]]&lt;&gt;"Dépendance",Base[[#This Row],[Pathologie]]&lt;&gt;"Mort prématurée",Base[[#This Row],[Pathologie]]&lt;&gt;"Migraine"),0.0619,0)</f>
        <v>6.1899999999999997E-2</v>
      </c>
      <c r="BX93" s="4">
        <v>254</v>
      </c>
      <c r="BY93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3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3" s="4">
        <f>Base[[#This Row],[Prévalence_prod]]*Base[[#This Row],[Présentéisme]]*Base[[#This Row],['[Prod']Jours_ouvrés]]</f>
        <v>0.15098463934186357</v>
      </c>
      <c r="CB93" s="4">
        <f>Base[[#This Row],[Prévalence_prod]]*(1-Base[[#This Row],[Risque]])*Base[[#This Row],[Présentéisme]]*Base[[#This Row],['[Prod']Jours_ouvrés]]</f>
        <v>0.13290477649302265</v>
      </c>
      <c r="CC93" s="4">
        <f>Base[[#This Row],['[Prod']'[Présentéisme']Jours_avant]]-Base[[#This Row],['[Prod']'[Présentéisme']Jours_après]]</f>
        <v>1.8079862848840916E-2</v>
      </c>
      <c r="CD93" s="4">
        <f>Base[[#This Row],['[Prod']'[Présentéisme']Jours_gagnés]]/Base[[#This Row],['[Prod']Jours_ouvrés]]</f>
        <v>7.1180562397011481E-5</v>
      </c>
      <c r="CE93">
        <v>5.8333039429220801E-2</v>
      </c>
      <c r="CF93">
        <v>1.4658164114728258E-2</v>
      </c>
      <c r="CG93" s="4">
        <v>11</v>
      </c>
      <c r="CH93" s="4">
        <v>0.52204401140486179</v>
      </c>
      <c r="CI93" s="4">
        <v>1.2443904150185675E-2</v>
      </c>
      <c r="CJ93" s="4">
        <f>IF(Base[[#This Row],[Secteur]]&lt;&gt;"Moyenne",Base[[#This Row],['[Prod']'[Turnover']DMC_initiale]]*(1+Base[[#This Row],['[Prod']'[Turnover']Ecart_accidents]]*Base[[#This Row],['[Prod']Impact_motifs_turnover]]),CJ76*CI76+CJ77*CI77+CJ78*CI78+CJ79*CI79+CJ80*CI80+CJ81*CI81+CJ82*CI82+CJ83*CI83+CJ84*CI84+CJ85*CI85+CJ86*CI86+CJ87*CI87+CJ88*CI88+CJ89*CI89+CJ90*CI90+CJ91*CI91+CJ92*CI92)</f>
        <v>11.084174274737117</v>
      </c>
      <c r="CK93" s="4">
        <f>1/Base[[#This Row],['[Prod']'[Turnover']DMC_initiale]]</f>
        <v>9.0909090909090912E-2</v>
      </c>
      <c r="CL93" s="4">
        <f>1/Base[[#This Row],['[Prod']'[Turnover']DMC_finale]]</f>
        <v>9.0218718617514418E-2</v>
      </c>
    </row>
    <row r="94" spans="2:90" x14ac:dyDescent="0.25">
      <c r="B94" s="4" t="s">
        <v>320</v>
      </c>
      <c r="C94">
        <v>7.5</v>
      </c>
      <c r="D94" t="s">
        <v>84</v>
      </c>
      <c r="E94" t="s">
        <v>6</v>
      </c>
      <c r="F94" s="3">
        <v>0.11974637239689005</v>
      </c>
      <c r="G94" s="3">
        <v>8.741584028593305E-3</v>
      </c>
      <c r="H94" s="3">
        <v>8.741584028593305E-3</v>
      </c>
      <c r="I94" s="3">
        <v>6.8000000000000005E-2</v>
      </c>
      <c r="J94" s="3">
        <v>16.260750000000002</v>
      </c>
      <c r="K94" s="3">
        <v>7.0000000000000007E-2</v>
      </c>
      <c r="L94" s="2">
        <f>Base[[#This Row],[Coût]]*Base[[#This Row],[Part_ménages_dépenses_santé]]</f>
        <v>1.1382525000000001</v>
      </c>
      <c r="M94" s="2">
        <v>0.99809973356799431</v>
      </c>
      <c r="N94" s="6">
        <v>27700000</v>
      </c>
      <c r="O94" s="7">
        <f>Base[[#This Row],[Coût_salarié]]*10^9*Base[[#This Row],[Risque]]*Base[[#This Row],[Prévalence]]*Base[[#This Row],[Part_coûts_salarié]]/Base[[#This Row],[Population_emploi]]</f>
        <v>4.2932411739332398E-2</v>
      </c>
      <c r="P94">
        <v>50</v>
      </c>
      <c r="Q94">
        <v>50</v>
      </c>
      <c r="R94" s="2">
        <v>9.9999999999999978E-2</v>
      </c>
      <c r="S94" s="2">
        <v>0.33340000000000003</v>
      </c>
      <c r="T94" s="4">
        <v>8.741584028593305E-3</v>
      </c>
      <c r="U94" s="4">
        <f>IF(Bases_annexes!$F$5=0,16.6587111018772,0.77*Bases_annexes!$F$5/(IF(OR(ISBLANK('Données_d''entrée'!$E$44),'Données_d''entrée'!$E$44=0),35,'Données_d''entrée'!$E$44)*52))</f>
        <v>16.658711101877199</v>
      </c>
      <c r="V94" s="4">
        <v>80.324106187301894</v>
      </c>
      <c r="W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4" s="4">
        <v>234.5</v>
      </c>
      <c r="Y94" s="4">
        <f>(Base[[#This Row],['[Maladies']Coûts_évités_par_salarié]]+Base[[#This Row],['[Travail']Coûts_évités_par_salarié]])/Base[[#This Row],[Budget_santé_salarié]]</f>
        <v>2.8459880453795823E-3</v>
      </c>
      <c r="Z94" s="4">
        <v>0.8</v>
      </c>
      <c r="AA94" s="4">
        <f>Base[[#This Row],[Coût]]*Base[[#This Row],[Part_société_dépenses_santé]]</f>
        <v>13.008600000000001</v>
      </c>
      <c r="AB94" s="4">
        <v>67635124</v>
      </c>
      <c r="AC94" s="4">
        <v>82.297079063317852</v>
      </c>
      <c r="AD94" s="4">
        <v>8.741584028593305E-3</v>
      </c>
      <c r="AE94" s="4">
        <f>Base[[#This Row],['[SC']Prévalence_travail]]*Base[[#This Row],[Population_emploi]]</f>
        <v>242141.87759203455</v>
      </c>
      <c r="AF94" s="4">
        <f>Base[[#This Row],[Risque]]*Base[[#This Row],['[SC']Patients_en_emploi]]</f>
        <v>28995.611447017935</v>
      </c>
      <c r="AG94" s="4">
        <v>1022040000</v>
      </c>
      <c r="AH94" s="4">
        <f>IFERROR(Base[[#This Row],['[SC']Prestations]]/Base[[#This Row],['[SC']Patients_en_emploi]],0)</f>
        <v>4220.8312340005614</v>
      </c>
      <c r="AI94" s="4">
        <v>51.7</v>
      </c>
      <c r="AJ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4" s="4">
        <f>Base[[#This Row],['[SC']'[Travail']Coûts_évités]]/Base[[#This Row],[Population_emploi]]</f>
        <v>4.4182520738092963</v>
      </c>
      <c r="AL94" s="4">
        <f>Base[[#This Row],[Coût_société]]*10^9*Base[[#This Row],[Risque]]*Base[[#This Row],[Prévalence]]*Base[[#This Row],[Part_coûts_salarié]]/Base[[#This Row],[Population_emploi]]</f>
        <v>0.49065613416379883</v>
      </c>
      <c r="AM94" s="4">
        <f>IF(Base[[#This Row],[Pathologie]]&lt;&gt;"Dépendance",0,14909.24243952)</f>
        <v>0</v>
      </c>
      <c r="AN94" s="4">
        <f>IF(Base[[#This Row],[Pathologie]]&lt;&gt;"Dépendance",0,1316000)</f>
        <v>0</v>
      </c>
      <c r="AO94" s="4">
        <f>IF(Base[[#This Row],[Pathologie]]&lt;&gt;"Dépendance",0,Base[[#This Row],['[SC']Coût_personne_dépendante]]*Base[[#This Row],['[SC']Nb_personnes_dépendantes]])</f>
        <v>0</v>
      </c>
      <c r="AP94" s="4">
        <f>IF(Base[[#This Row],[Pathologie]]&lt;&gt;"Dépendance",0,Base[[#This Row],['[SC']Coût_total_dépendance]]/Base[[#This Row],[Population_totale]])</f>
        <v>0</v>
      </c>
      <c r="AQ94" s="4">
        <f>IF(Base[[#This Row],[Pathologie]]&lt;&gt;"Dépendance",0,4.5)</f>
        <v>0</v>
      </c>
      <c r="AR94" s="4">
        <v>0.50393265050357905</v>
      </c>
      <c r="AS94" s="4">
        <f>Base[[#This Row],[Espérance_vie]]+Base[[#This Row],['[SC']Hausse_esp_de_vie]]-Base[[#This Row],['[SC']Durée_moyenne_dépendance_avt]]+Base[[#This Row],[Risque]]</f>
        <v>82.920758086218328</v>
      </c>
      <c r="AT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4" s="4">
        <v>62.9</v>
      </c>
      <c r="AW94" s="4">
        <f t="shared" si="0"/>
        <v>336905600000</v>
      </c>
      <c r="AX94" s="4">
        <v>15049171</v>
      </c>
      <c r="AY94" s="4">
        <f>Base[[#This Row],['[SC']Budget_total_retraites]]/Base[[#This Row],['[SC']Nombre_de_retraités]]</f>
        <v>22386.987296509556</v>
      </c>
      <c r="AZ94" s="4">
        <f>Base[[#This Row],['[SC']Budget_par_retraité]]*Base[[#This Row],['[SC']Nb_personnes_dépendantes]]</f>
        <v>0</v>
      </c>
      <c r="BA94" s="4">
        <f>Base[[#This Row],['[SC']'[Dépendance']Coût_retraite_personnes_dépendantes]]/Base[[#This Row],[Population_totale]]</f>
        <v>0</v>
      </c>
      <c r="BB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4" s="4">
        <f>Base[[#This Row],['[SC']'[Dépendance']Gains]]-Base[[#This Row],['[SC']'[Dépendance']Coûts]]</f>
        <v>0</v>
      </c>
      <c r="BD94" s="4">
        <f>IF(Base[[#This Row],[Pathologie]]&lt;&gt;"Mort prématurée",0,Base[[#This Row],[Risque]]*Base[[#This Row],[Prévalence]]*Base[[#This Row],[Population_totale]])</f>
        <v>0</v>
      </c>
      <c r="BE94" s="4">
        <v>52.74</v>
      </c>
      <c r="BF94" s="4">
        <f>Base[[#This Row],['[SC']Âge_moyen_retraite]]-Base[[#This Row],['[SC']'[Mort_prématurée']Âge_moyen_mort précoce]]</f>
        <v>10.159999999999997</v>
      </c>
      <c r="BG94" s="4">
        <f>Base[[#This Row],[Espérance_vie]]+Base[[#This Row],['[SC']Hausse_esp_de_vie]]-Base[[#This Row],['[SC']Âge_moyen_retraite]]</f>
        <v>19.90101171382144</v>
      </c>
      <c r="BH94" s="4">
        <v>106583.42676924677</v>
      </c>
      <c r="BI94" s="4">
        <v>97601.789429271477</v>
      </c>
      <c r="BJ94" s="4">
        <v>302038.31496633729</v>
      </c>
      <c r="BK94" s="4">
        <v>117293.58934859755</v>
      </c>
      <c r="BL94" s="4">
        <v>1523999.9999999995</v>
      </c>
      <c r="BM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4" s="4">
        <v>294804.96027377353</v>
      </c>
      <c r="BO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4" s="4">
        <f>(Base[[#This Row],['[SC']'[Mort_prématurée']Gains]]-Base[[#This Row],['[SC']'[Mort_prématurée']Coûts]])/Base[[#This Row],[Population_totale]]</f>
        <v>0</v>
      </c>
      <c r="BQ94" s="4">
        <f>IF(Base[[#This Row],[Pathologie]]&lt;&gt;"Mort prématurée",0,Base[[#This Row],[Risque]])</f>
        <v>0</v>
      </c>
      <c r="BR94" s="4">
        <v>2680</v>
      </c>
      <c r="BS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4" s="4">
        <f>Base[[#This Row],[Prévalence_prod]]*(1-Base[[#This Row],[Risque]])*Base[[#This Row],[Durée_arrêt]]*Base[[#This Row],[Population_emploi]]</f>
        <v>17120783.315259226</v>
      </c>
      <c r="BV94" s="4">
        <f>Base[[#This Row],['[Prod']'[Absentéisme']Total_jours_absence_avant]]-Base[[#This Row],['[Prod']'[Absentéisme']Total_jours_absence_après]]</f>
        <v>2329046.5728360154</v>
      </c>
      <c r="BW94" s="4">
        <f>IF(AND(Base[[#This Row],[Pathologie]]&lt;&gt;"Dépendance",Base[[#This Row],[Pathologie]]&lt;&gt;"Mort prématurée",Base[[#This Row],[Pathologie]]&lt;&gt;"Migraine"),0.0619,0)</f>
        <v>6.1899999999999997E-2</v>
      </c>
      <c r="BX94" s="4">
        <v>254</v>
      </c>
      <c r="BY94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4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4" s="4">
        <f>Base[[#This Row],[Prévalence_prod]]*Base[[#This Row],[Présentéisme]]*Base[[#This Row],['[Prod']Jours_ouvrés]]</f>
        <v>0.15098463934186357</v>
      </c>
      <c r="CB94" s="4">
        <f>Base[[#This Row],[Prévalence_prod]]*(1-Base[[#This Row],[Risque]])*Base[[#This Row],[Présentéisme]]*Base[[#This Row],['[Prod']Jours_ouvrés]]</f>
        <v>0.13290477649302265</v>
      </c>
      <c r="CC94" s="4">
        <f>Base[[#This Row],['[Prod']'[Présentéisme']Jours_avant]]-Base[[#This Row],['[Prod']'[Présentéisme']Jours_après]]</f>
        <v>1.8079862848840916E-2</v>
      </c>
      <c r="CD94" s="4">
        <f>Base[[#This Row],['[Prod']'[Présentéisme']Jours_gagnés]]/Base[[#This Row],['[Prod']Jours_ouvrés]]</f>
        <v>7.1180562397011481E-5</v>
      </c>
      <c r="CE94">
        <v>5.8333039429220801E-2</v>
      </c>
      <c r="CF94">
        <v>1.4658164114728258E-2</v>
      </c>
      <c r="CG94" s="4">
        <v>11</v>
      </c>
      <c r="CH94" s="4">
        <v>0.49446424657188709</v>
      </c>
      <c r="CI94" s="4">
        <v>1.0795805058605798E-2</v>
      </c>
      <c r="CJ94" s="4">
        <f>IF(Base[[#This Row],[Secteur]]&lt;&gt;"Moyenne",Base[[#This Row],['[Prod']'[Turnover']DMC_initiale]]*(1+Base[[#This Row],['[Prod']'[Turnover']Ecart_accidents]]*Base[[#This Row],['[Prod']Impact_motifs_turnover]]),CJ77*CI77+CJ78*CI78+CJ79*CI79+CJ80*CI80+CJ81*CI81+CJ82*CI82+CJ83*CI83+CJ84*CI84+CJ85*CI85+CJ86*CI86+CJ87*CI87+CJ88*CI88+CJ89*CI89+CJ90*CI90+CJ91*CI91+CJ92*CI92+CJ93*CI93)</f>
        <v>11.079727318826279</v>
      </c>
      <c r="CK94" s="4">
        <f>1/Base[[#This Row],['[Prod']'[Turnover']DMC_initiale]]</f>
        <v>9.0909090909090912E-2</v>
      </c>
      <c r="CL94" s="4">
        <f>1/Base[[#This Row],['[Prod']'[Turnover']DMC_finale]]</f>
        <v>9.025492877436031E-2</v>
      </c>
    </row>
    <row r="95" spans="2:90" x14ac:dyDescent="0.25">
      <c r="B95" s="4" t="s">
        <v>321</v>
      </c>
      <c r="C95">
        <v>7.5</v>
      </c>
      <c r="D95" t="s">
        <v>84</v>
      </c>
      <c r="E95" t="s">
        <v>6</v>
      </c>
      <c r="F95" s="3">
        <v>0.11974637239689005</v>
      </c>
      <c r="G95" s="3">
        <v>8.741584028593305E-3</v>
      </c>
      <c r="H95" s="3">
        <v>8.741584028593305E-3</v>
      </c>
      <c r="I95" s="3">
        <v>6.8000000000000005E-2</v>
      </c>
      <c r="J95" s="3">
        <v>16.260750000000002</v>
      </c>
      <c r="K95" s="3">
        <v>7.0000000000000007E-2</v>
      </c>
      <c r="L95" s="2">
        <f>Base[[#This Row],[Coût]]*Base[[#This Row],[Part_ménages_dépenses_santé]]</f>
        <v>1.1382525000000001</v>
      </c>
      <c r="M95" s="2">
        <v>0.99809973356799431</v>
      </c>
      <c r="N95" s="6">
        <v>27700000</v>
      </c>
      <c r="O95" s="7">
        <f>Base[[#This Row],[Coût_salarié]]*10^9*Base[[#This Row],[Risque]]*Base[[#This Row],[Prévalence]]*Base[[#This Row],[Part_coûts_salarié]]/Base[[#This Row],[Population_emploi]]</f>
        <v>4.2932411739332398E-2</v>
      </c>
      <c r="P95">
        <v>50</v>
      </c>
      <c r="Q95">
        <v>50</v>
      </c>
      <c r="R95" s="2">
        <v>9.9999999999999978E-2</v>
      </c>
      <c r="S95" s="2">
        <v>0.33340000000000003</v>
      </c>
      <c r="T95" s="4">
        <v>8.741584028593305E-3</v>
      </c>
      <c r="U95" s="4">
        <f>IF(Bases_annexes!$F$5=0,16.6587111018772,0.77*Bases_annexes!$F$5/(IF(OR(ISBLANK('Données_d''entrée'!$E$44),'Données_d''entrée'!$E$44=0),35,'Données_d''entrée'!$E$44)*52))</f>
        <v>16.658711101877199</v>
      </c>
      <c r="V95" s="4">
        <v>80.324106187301894</v>
      </c>
      <c r="W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5" s="4">
        <v>234.5</v>
      </c>
      <c r="Y95" s="4">
        <f>(Base[[#This Row],['[Maladies']Coûts_évités_par_salarié]]+Base[[#This Row],['[Travail']Coûts_évités_par_salarié]])/Base[[#This Row],[Budget_santé_salarié]]</f>
        <v>2.8459880453795823E-3</v>
      </c>
      <c r="Z95" s="4">
        <v>0.8</v>
      </c>
      <c r="AA95" s="4">
        <f>Base[[#This Row],[Coût]]*Base[[#This Row],[Part_société_dépenses_santé]]</f>
        <v>13.008600000000001</v>
      </c>
      <c r="AB95" s="4">
        <v>67635124</v>
      </c>
      <c r="AC95" s="4">
        <v>82.297079063317852</v>
      </c>
      <c r="AD95" s="4">
        <v>8.741584028593305E-3</v>
      </c>
      <c r="AE95" s="4">
        <f>Base[[#This Row],['[SC']Prévalence_travail]]*Base[[#This Row],[Population_emploi]]</f>
        <v>242141.87759203455</v>
      </c>
      <c r="AF95" s="4">
        <f>Base[[#This Row],[Risque]]*Base[[#This Row],['[SC']Patients_en_emploi]]</f>
        <v>28995.611447017935</v>
      </c>
      <c r="AG95" s="4">
        <v>1022040000</v>
      </c>
      <c r="AH95" s="4">
        <f>IFERROR(Base[[#This Row],['[SC']Prestations]]/Base[[#This Row],['[SC']Patients_en_emploi]],0)</f>
        <v>4220.8312340005614</v>
      </c>
      <c r="AI95" s="4">
        <v>51.7</v>
      </c>
      <c r="AJ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5" s="4">
        <f>Base[[#This Row],['[SC']'[Travail']Coûts_évités]]/Base[[#This Row],[Population_emploi]]</f>
        <v>4.4182520738092963</v>
      </c>
      <c r="AL95" s="4">
        <f>Base[[#This Row],[Coût_société]]*10^9*Base[[#This Row],[Risque]]*Base[[#This Row],[Prévalence]]*Base[[#This Row],[Part_coûts_salarié]]/Base[[#This Row],[Population_emploi]]</f>
        <v>0.49065613416379883</v>
      </c>
      <c r="AM95" s="4">
        <f>IF(Base[[#This Row],[Pathologie]]&lt;&gt;"Dépendance",0,14909.24243952)</f>
        <v>0</v>
      </c>
      <c r="AN95" s="4">
        <f>IF(Base[[#This Row],[Pathologie]]&lt;&gt;"Dépendance",0,1316000)</f>
        <v>0</v>
      </c>
      <c r="AO95" s="4">
        <f>IF(Base[[#This Row],[Pathologie]]&lt;&gt;"Dépendance",0,Base[[#This Row],['[SC']Coût_personne_dépendante]]*Base[[#This Row],['[SC']Nb_personnes_dépendantes]])</f>
        <v>0</v>
      </c>
      <c r="AP95" s="4">
        <f>IF(Base[[#This Row],[Pathologie]]&lt;&gt;"Dépendance",0,Base[[#This Row],['[SC']Coût_total_dépendance]]/Base[[#This Row],[Population_totale]])</f>
        <v>0</v>
      </c>
      <c r="AQ95" s="4">
        <f>IF(Base[[#This Row],[Pathologie]]&lt;&gt;"Dépendance",0,4.5)</f>
        <v>0</v>
      </c>
      <c r="AR95" s="4">
        <v>0.50393265050357905</v>
      </c>
      <c r="AS95" s="4">
        <f>Base[[#This Row],[Espérance_vie]]+Base[[#This Row],['[SC']Hausse_esp_de_vie]]-Base[[#This Row],['[SC']Durée_moyenne_dépendance_avt]]+Base[[#This Row],[Risque]]</f>
        <v>82.920758086218328</v>
      </c>
      <c r="AT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5" s="4">
        <v>62.9</v>
      </c>
      <c r="AW95" s="4">
        <f t="shared" si="0"/>
        <v>336905600000</v>
      </c>
      <c r="AX95" s="4">
        <v>15049171</v>
      </c>
      <c r="AY95" s="4">
        <f>Base[[#This Row],['[SC']Budget_total_retraites]]/Base[[#This Row],['[SC']Nombre_de_retraités]]</f>
        <v>22386.987296509556</v>
      </c>
      <c r="AZ95" s="4">
        <f>Base[[#This Row],['[SC']Budget_par_retraité]]*Base[[#This Row],['[SC']Nb_personnes_dépendantes]]</f>
        <v>0</v>
      </c>
      <c r="BA95" s="4">
        <f>Base[[#This Row],['[SC']'[Dépendance']Coût_retraite_personnes_dépendantes]]/Base[[#This Row],[Population_totale]]</f>
        <v>0</v>
      </c>
      <c r="BB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5" s="4">
        <f>Base[[#This Row],['[SC']'[Dépendance']Gains]]-Base[[#This Row],['[SC']'[Dépendance']Coûts]]</f>
        <v>0</v>
      </c>
      <c r="BD95" s="4">
        <f>IF(Base[[#This Row],[Pathologie]]&lt;&gt;"Mort prématurée",0,Base[[#This Row],[Risque]]*Base[[#This Row],[Prévalence]]*Base[[#This Row],[Population_totale]])</f>
        <v>0</v>
      </c>
      <c r="BE95" s="4">
        <v>52.74</v>
      </c>
      <c r="BF95" s="4">
        <f>Base[[#This Row],['[SC']Âge_moyen_retraite]]-Base[[#This Row],['[SC']'[Mort_prématurée']Âge_moyen_mort précoce]]</f>
        <v>10.159999999999997</v>
      </c>
      <c r="BG95" s="4">
        <f>Base[[#This Row],[Espérance_vie]]+Base[[#This Row],['[SC']Hausse_esp_de_vie]]-Base[[#This Row],['[SC']Âge_moyen_retraite]]</f>
        <v>19.90101171382144</v>
      </c>
      <c r="BH95" s="4">
        <v>106583.42676924677</v>
      </c>
      <c r="BI95" s="4">
        <v>97601.789429271477</v>
      </c>
      <c r="BJ95" s="4">
        <v>302038.31496633729</v>
      </c>
      <c r="BK95" s="4">
        <v>117293.58934859755</v>
      </c>
      <c r="BL95" s="4">
        <v>1523999.9999999995</v>
      </c>
      <c r="BM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5" s="4">
        <v>294804.96027377353</v>
      </c>
      <c r="BO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5" s="4">
        <f>(Base[[#This Row],['[SC']'[Mort_prématurée']Gains]]-Base[[#This Row],['[SC']'[Mort_prématurée']Coûts]])/Base[[#This Row],[Population_totale]]</f>
        <v>0</v>
      </c>
      <c r="BQ95" s="4">
        <f>IF(Base[[#This Row],[Pathologie]]&lt;&gt;"Mort prématurée",0,Base[[#This Row],[Risque]])</f>
        <v>0</v>
      </c>
      <c r="BR95" s="4">
        <v>2680</v>
      </c>
      <c r="BS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5" s="4">
        <f>Base[[#This Row],[Prévalence_prod]]*(1-Base[[#This Row],[Risque]])*Base[[#This Row],[Durée_arrêt]]*Base[[#This Row],[Population_emploi]]</f>
        <v>17120783.315259226</v>
      </c>
      <c r="BV95" s="4">
        <f>Base[[#This Row],['[Prod']'[Absentéisme']Total_jours_absence_avant]]-Base[[#This Row],['[Prod']'[Absentéisme']Total_jours_absence_après]]</f>
        <v>2329046.5728360154</v>
      </c>
      <c r="BW95" s="4">
        <f>IF(AND(Base[[#This Row],[Pathologie]]&lt;&gt;"Dépendance",Base[[#This Row],[Pathologie]]&lt;&gt;"Mort prématurée",Base[[#This Row],[Pathologie]]&lt;&gt;"Migraine"),0.0619,0)</f>
        <v>6.1899999999999997E-2</v>
      </c>
      <c r="BX95" s="4">
        <v>254</v>
      </c>
      <c r="BY9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5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5" s="4">
        <f>Base[[#This Row],[Prévalence_prod]]*Base[[#This Row],[Présentéisme]]*Base[[#This Row],['[Prod']Jours_ouvrés]]</f>
        <v>0.15098463934186357</v>
      </c>
      <c r="CB95" s="4">
        <f>Base[[#This Row],[Prévalence_prod]]*(1-Base[[#This Row],[Risque]])*Base[[#This Row],[Présentéisme]]*Base[[#This Row],['[Prod']Jours_ouvrés]]</f>
        <v>0.13290477649302265</v>
      </c>
      <c r="CC95" s="4">
        <f>Base[[#This Row],['[Prod']'[Présentéisme']Jours_avant]]-Base[[#This Row],['[Prod']'[Présentéisme']Jours_après]]</f>
        <v>1.8079862848840916E-2</v>
      </c>
      <c r="CD95" s="4">
        <f>Base[[#This Row],['[Prod']'[Présentéisme']Jours_gagnés]]/Base[[#This Row],['[Prod']Jours_ouvrés]]</f>
        <v>7.1180562397011481E-5</v>
      </c>
      <c r="CE95">
        <v>5.8333039429220801E-2</v>
      </c>
      <c r="CF95">
        <v>1.4658164114728258E-2</v>
      </c>
      <c r="CG95" s="4">
        <v>11</v>
      </c>
      <c r="CH95" s="4">
        <v>0.85274500894619554</v>
      </c>
      <c r="CI95" s="4">
        <v>4.2903496994109176E-2</v>
      </c>
      <c r="CJ95" s="4">
        <f>IF(Base[[#This Row],[Secteur]]&lt;&gt;"Moyenne",Base[[#This Row],['[Prod']'[Turnover']DMC_initiale]]*(1+Base[[#This Row],['[Prod']'[Turnover']Ecart_accidents]]*Base[[#This Row],['[Prod']Impact_motifs_turnover]]),CJ78*CI78+CJ79*CI79+CJ80*CI80+CJ81*CI81+CJ82*CI82+CJ83*CI83+CJ84*CI84+CJ85*CI85+CJ86*CI86+CJ87*CI87+CJ88*CI88+CJ89*CI89+CJ90*CI90+CJ91*CI91+CJ92*CI92+CJ93*CI93+CJ94*CI94)</f>
        <v>11.137496439180635</v>
      </c>
      <c r="CK95" s="4">
        <f>1/Base[[#This Row],['[Prod']'[Turnover']DMC_initiale]]</f>
        <v>9.0909090909090912E-2</v>
      </c>
      <c r="CL95" s="4">
        <f>1/Base[[#This Row],['[Prod']'[Turnover']DMC_finale]]</f>
        <v>8.9786785159553156E-2</v>
      </c>
    </row>
    <row r="96" spans="2:90" x14ac:dyDescent="0.25">
      <c r="B96" s="4" t="s">
        <v>322</v>
      </c>
      <c r="C96">
        <v>7.5</v>
      </c>
      <c r="D96" t="s">
        <v>84</v>
      </c>
      <c r="E96" t="s">
        <v>6</v>
      </c>
      <c r="F96" s="3">
        <v>0.11974637239689005</v>
      </c>
      <c r="G96" s="3">
        <v>8.741584028593305E-3</v>
      </c>
      <c r="H96" s="3">
        <v>8.741584028593305E-3</v>
      </c>
      <c r="I96" s="3">
        <v>6.8000000000000005E-2</v>
      </c>
      <c r="J96" s="3">
        <v>16.260750000000002</v>
      </c>
      <c r="K96" s="3">
        <v>7.0000000000000007E-2</v>
      </c>
      <c r="L96" s="2">
        <f>Base[[#This Row],[Coût]]*Base[[#This Row],[Part_ménages_dépenses_santé]]</f>
        <v>1.1382525000000001</v>
      </c>
      <c r="M96" s="2">
        <v>0.99809973356799431</v>
      </c>
      <c r="N96" s="6">
        <v>27700000</v>
      </c>
      <c r="O96" s="7">
        <f>Base[[#This Row],[Coût_salarié]]*10^9*Base[[#This Row],[Risque]]*Base[[#This Row],[Prévalence]]*Base[[#This Row],[Part_coûts_salarié]]/Base[[#This Row],[Population_emploi]]</f>
        <v>4.2932411739332398E-2</v>
      </c>
      <c r="P96">
        <v>50</v>
      </c>
      <c r="Q96">
        <v>50</v>
      </c>
      <c r="R96" s="2">
        <v>9.9999999999999978E-2</v>
      </c>
      <c r="S96" s="2">
        <v>0.33340000000000003</v>
      </c>
      <c r="T96" s="4">
        <v>8.741584028593305E-3</v>
      </c>
      <c r="U96" s="4">
        <f>IF(Bases_annexes!$F$5=0,16.6587111018772,0.77*Bases_annexes!$F$5/(IF(OR(ISBLANK('Données_d''entrée'!$E$44),'Données_d''entrée'!$E$44=0),35,'Données_d''entrée'!$E$44)*52))</f>
        <v>16.658711101877199</v>
      </c>
      <c r="V96" s="4">
        <v>80.324106187301894</v>
      </c>
      <c r="W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6" s="4">
        <v>234.5</v>
      </c>
      <c r="Y96" s="4">
        <f>(Base[[#This Row],['[Maladies']Coûts_évités_par_salarié]]+Base[[#This Row],['[Travail']Coûts_évités_par_salarié]])/Base[[#This Row],[Budget_santé_salarié]]</f>
        <v>2.8459880453795823E-3</v>
      </c>
      <c r="Z96" s="4">
        <v>0.8</v>
      </c>
      <c r="AA96" s="4">
        <f>Base[[#This Row],[Coût]]*Base[[#This Row],[Part_société_dépenses_santé]]</f>
        <v>13.008600000000001</v>
      </c>
      <c r="AB96" s="4">
        <v>67635124</v>
      </c>
      <c r="AC96" s="4">
        <v>82.297079063317852</v>
      </c>
      <c r="AD96" s="4">
        <v>8.741584028593305E-3</v>
      </c>
      <c r="AE96" s="4">
        <f>Base[[#This Row],['[SC']Prévalence_travail]]*Base[[#This Row],[Population_emploi]]</f>
        <v>242141.87759203455</v>
      </c>
      <c r="AF96" s="4">
        <f>Base[[#This Row],[Risque]]*Base[[#This Row],['[SC']Patients_en_emploi]]</f>
        <v>28995.611447017935</v>
      </c>
      <c r="AG96" s="4">
        <v>1022040000</v>
      </c>
      <c r="AH96" s="4">
        <f>IFERROR(Base[[#This Row],['[SC']Prestations]]/Base[[#This Row],['[SC']Patients_en_emploi]],0)</f>
        <v>4220.8312340005614</v>
      </c>
      <c r="AI96" s="4">
        <v>51.7</v>
      </c>
      <c r="AJ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6" s="4">
        <f>Base[[#This Row],['[SC']'[Travail']Coûts_évités]]/Base[[#This Row],[Population_emploi]]</f>
        <v>4.4182520738092963</v>
      </c>
      <c r="AL96" s="4">
        <f>Base[[#This Row],[Coût_société]]*10^9*Base[[#This Row],[Risque]]*Base[[#This Row],[Prévalence]]*Base[[#This Row],[Part_coûts_salarié]]/Base[[#This Row],[Population_emploi]]</f>
        <v>0.49065613416379883</v>
      </c>
      <c r="AM96" s="4">
        <f>IF(Base[[#This Row],[Pathologie]]&lt;&gt;"Dépendance",0,14909.24243952)</f>
        <v>0</v>
      </c>
      <c r="AN96" s="4">
        <f>IF(Base[[#This Row],[Pathologie]]&lt;&gt;"Dépendance",0,1316000)</f>
        <v>0</v>
      </c>
      <c r="AO96" s="4">
        <f>IF(Base[[#This Row],[Pathologie]]&lt;&gt;"Dépendance",0,Base[[#This Row],['[SC']Coût_personne_dépendante]]*Base[[#This Row],['[SC']Nb_personnes_dépendantes]])</f>
        <v>0</v>
      </c>
      <c r="AP96" s="4">
        <f>IF(Base[[#This Row],[Pathologie]]&lt;&gt;"Dépendance",0,Base[[#This Row],['[SC']Coût_total_dépendance]]/Base[[#This Row],[Population_totale]])</f>
        <v>0</v>
      </c>
      <c r="AQ96" s="4">
        <f>IF(Base[[#This Row],[Pathologie]]&lt;&gt;"Dépendance",0,4.5)</f>
        <v>0</v>
      </c>
      <c r="AR96" s="4">
        <v>0.50393265050357905</v>
      </c>
      <c r="AS96" s="4">
        <f>Base[[#This Row],[Espérance_vie]]+Base[[#This Row],['[SC']Hausse_esp_de_vie]]-Base[[#This Row],['[SC']Durée_moyenne_dépendance_avt]]+Base[[#This Row],[Risque]]</f>
        <v>82.920758086218328</v>
      </c>
      <c r="AT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6" s="4">
        <v>62.9</v>
      </c>
      <c r="AW96" s="4">
        <f t="shared" si="0"/>
        <v>336905600000</v>
      </c>
      <c r="AX96" s="4">
        <v>15049171</v>
      </c>
      <c r="AY96" s="4">
        <f>Base[[#This Row],['[SC']Budget_total_retraites]]/Base[[#This Row],['[SC']Nombre_de_retraités]]</f>
        <v>22386.987296509556</v>
      </c>
      <c r="AZ96" s="4">
        <f>Base[[#This Row],['[SC']Budget_par_retraité]]*Base[[#This Row],['[SC']Nb_personnes_dépendantes]]</f>
        <v>0</v>
      </c>
      <c r="BA96" s="4">
        <f>Base[[#This Row],['[SC']'[Dépendance']Coût_retraite_personnes_dépendantes]]/Base[[#This Row],[Population_totale]]</f>
        <v>0</v>
      </c>
      <c r="BB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6" s="4">
        <f>Base[[#This Row],['[SC']'[Dépendance']Gains]]-Base[[#This Row],['[SC']'[Dépendance']Coûts]]</f>
        <v>0</v>
      </c>
      <c r="BD96" s="4">
        <f>IF(Base[[#This Row],[Pathologie]]&lt;&gt;"Mort prématurée",0,Base[[#This Row],[Risque]]*Base[[#This Row],[Prévalence]]*Base[[#This Row],[Population_totale]])</f>
        <v>0</v>
      </c>
      <c r="BE96" s="4">
        <v>52.74</v>
      </c>
      <c r="BF96" s="4">
        <f>Base[[#This Row],['[SC']Âge_moyen_retraite]]-Base[[#This Row],['[SC']'[Mort_prématurée']Âge_moyen_mort précoce]]</f>
        <v>10.159999999999997</v>
      </c>
      <c r="BG96" s="4">
        <f>Base[[#This Row],[Espérance_vie]]+Base[[#This Row],['[SC']Hausse_esp_de_vie]]-Base[[#This Row],['[SC']Âge_moyen_retraite]]</f>
        <v>19.90101171382144</v>
      </c>
      <c r="BH96" s="4">
        <v>106583.42676924677</v>
      </c>
      <c r="BI96" s="4">
        <v>97601.789429271477</v>
      </c>
      <c r="BJ96" s="4">
        <v>302038.31496633729</v>
      </c>
      <c r="BK96" s="4">
        <v>117293.58934859755</v>
      </c>
      <c r="BL96" s="4">
        <v>1523999.9999999995</v>
      </c>
      <c r="BM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6" s="4">
        <v>294804.96027377353</v>
      </c>
      <c r="BO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6" s="4">
        <f>(Base[[#This Row],['[SC']'[Mort_prématurée']Gains]]-Base[[#This Row],['[SC']'[Mort_prématurée']Coûts]])/Base[[#This Row],[Population_totale]]</f>
        <v>0</v>
      </c>
      <c r="BQ96" s="4">
        <f>IF(Base[[#This Row],[Pathologie]]&lt;&gt;"Mort prématurée",0,Base[[#This Row],[Risque]])</f>
        <v>0</v>
      </c>
      <c r="BR96" s="4">
        <v>2680</v>
      </c>
      <c r="BS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6" s="4">
        <f>Base[[#This Row],[Prévalence_prod]]*(1-Base[[#This Row],[Risque]])*Base[[#This Row],[Durée_arrêt]]*Base[[#This Row],[Population_emploi]]</f>
        <v>17120783.315259226</v>
      </c>
      <c r="BV96" s="4">
        <f>Base[[#This Row],['[Prod']'[Absentéisme']Total_jours_absence_avant]]-Base[[#This Row],['[Prod']'[Absentéisme']Total_jours_absence_après]]</f>
        <v>2329046.5728360154</v>
      </c>
      <c r="BW96" s="4">
        <f>IF(AND(Base[[#This Row],[Pathologie]]&lt;&gt;"Dépendance",Base[[#This Row],[Pathologie]]&lt;&gt;"Mort prématurée",Base[[#This Row],[Pathologie]]&lt;&gt;"Migraine"),0.0619,0)</f>
        <v>6.1899999999999997E-2</v>
      </c>
      <c r="BX96" s="4">
        <v>254</v>
      </c>
      <c r="BY9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6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6" s="4">
        <f>Base[[#This Row],[Prévalence_prod]]*Base[[#This Row],[Présentéisme]]*Base[[#This Row],['[Prod']Jours_ouvrés]]</f>
        <v>0.15098463934186357</v>
      </c>
      <c r="CB96" s="4">
        <f>Base[[#This Row],[Prévalence_prod]]*(1-Base[[#This Row],[Risque]])*Base[[#This Row],[Présentéisme]]*Base[[#This Row],['[Prod']Jours_ouvrés]]</f>
        <v>0.13290477649302265</v>
      </c>
      <c r="CC96" s="4">
        <f>Base[[#This Row],['[Prod']'[Présentéisme']Jours_avant]]-Base[[#This Row],['[Prod']'[Présentéisme']Jours_après]]</f>
        <v>1.8079862848840916E-2</v>
      </c>
      <c r="CD96" s="4">
        <f>Base[[#This Row],['[Prod']'[Présentéisme']Jours_gagnés]]/Base[[#This Row],['[Prod']Jours_ouvrés]]</f>
        <v>7.1180562397011481E-5</v>
      </c>
      <c r="CE96">
        <v>5.8333039429220801E-2</v>
      </c>
      <c r="CF96">
        <v>1.4658164114728258E-2</v>
      </c>
      <c r="CG96" s="4">
        <v>11</v>
      </c>
      <c r="CH96" s="4">
        <v>1.6219398392978641</v>
      </c>
      <c r="CI96" s="4">
        <v>9.628527536862988E-2</v>
      </c>
      <c r="CJ96" s="4">
        <f>IF(Base[[#This Row],[Secteur]]&lt;&gt;"Moyenne",Base[[#This Row],['[Prod']'[Turnover']DMC_initiale]]*(1+Base[[#This Row],['[Prod']'[Turnover']Ecart_accidents]]*Base[[#This Row],['[Prod']Impact_motifs_turnover]]),CJ79*CI79+CJ80*CI80+CJ81*CI81+CJ82*CI82+CJ83*CI83+CJ84*CI84+CJ85*CI85+CJ86*CI86+CJ87*CI87+CJ88*CI88+CJ89*CI89+CJ90*CI90+CJ91*CI91+CJ92*CI92+CJ93*CI93+CJ94*CI94+CJ95*CI95)</f>
        <v>11.261521263835085</v>
      </c>
      <c r="CK96" s="4">
        <f>1/Base[[#This Row],['[Prod']'[Turnover']DMC_initiale]]</f>
        <v>9.0909090909090912E-2</v>
      </c>
      <c r="CL96" s="4">
        <f>1/Base[[#This Row],['[Prod']'[Turnover']DMC_finale]]</f>
        <v>8.8797949812639457E-2</v>
      </c>
    </row>
    <row r="97" spans="2:90" x14ac:dyDescent="0.25">
      <c r="B97" s="4" t="s">
        <v>323</v>
      </c>
      <c r="C97">
        <v>7.5</v>
      </c>
      <c r="D97" t="s">
        <v>84</v>
      </c>
      <c r="E97" t="s">
        <v>6</v>
      </c>
      <c r="F97" s="3">
        <v>0.11974637239689005</v>
      </c>
      <c r="G97" s="3">
        <v>8.741584028593305E-3</v>
      </c>
      <c r="H97" s="3">
        <v>8.741584028593305E-3</v>
      </c>
      <c r="I97" s="3">
        <v>6.8000000000000005E-2</v>
      </c>
      <c r="J97" s="3">
        <v>16.260750000000002</v>
      </c>
      <c r="K97" s="3">
        <v>7.0000000000000007E-2</v>
      </c>
      <c r="L97" s="2">
        <f>Base[[#This Row],[Coût]]*Base[[#This Row],[Part_ménages_dépenses_santé]]</f>
        <v>1.1382525000000001</v>
      </c>
      <c r="M97" s="2">
        <v>0.99809973356799431</v>
      </c>
      <c r="N97" s="6">
        <v>27700000</v>
      </c>
      <c r="O97" s="7">
        <f>Base[[#This Row],[Coût_salarié]]*10^9*Base[[#This Row],[Risque]]*Base[[#This Row],[Prévalence]]*Base[[#This Row],[Part_coûts_salarié]]/Base[[#This Row],[Population_emploi]]</f>
        <v>4.2932411739332398E-2</v>
      </c>
      <c r="P97">
        <v>50</v>
      </c>
      <c r="Q97">
        <v>50</v>
      </c>
      <c r="R97" s="2">
        <v>9.9999999999999978E-2</v>
      </c>
      <c r="S97" s="2">
        <v>0.33340000000000003</v>
      </c>
      <c r="T97" s="4">
        <v>8.741584028593305E-3</v>
      </c>
      <c r="U97" s="4">
        <f>IF(Bases_annexes!$F$5=0,16.6587111018772,0.77*Bases_annexes!$F$5/(IF(OR(ISBLANK('Données_d''entrée'!$E$44),'Données_d''entrée'!$E$44=0),35,'Données_d''entrée'!$E$44)*52))</f>
        <v>16.658711101877199</v>
      </c>
      <c r="V97" s="4">
        <v>80.324106187301894</v>
      </c>
      <c r="W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7" s="4">
        <v>234.5</v>
      </c>
      <c r="Y97" s="4">
        <f>(Base[[#This Row],['[Maladies']Coûts_évités_par_salarié]]+Base[[#This Row],['[Travail']Coûts_évités_par_salarié]])/Base[[#This Row],[Budget_santé_salarié]]</f>
        <v>2.8459880453795823E-3</v>
      </c>
      <c r="Z97" s="4">
        <v>0.8</v>
      </c>
      <c r="AA97" s="4">
        <f>Base[[#This Row],[Coût]]*Base[[#This Row],[Part_société_dépenses_santé]]</f>
        <v>13.008600000000001</v>
      </c>
      <c r="AB97" s="4">
        <v>67635124</v>
      </c>
      <c r="AC97" s="4">
        <v>82.297079063317852</v>
      </c>
      <c r="AD97" s="4">
        <v>8.741584028593305E-3</v>
      </c>
      <c r="AE97" s="4">
        <f>Base[[#This Row],['[SC']Prévalence_travail]]*Base[[#This Row],[Population_emploi]]</f>
        <v>242141.87759203455</v>
      </c>
      <c r="AF97" s="4">
        <f>Base[[#This Row],[Risque]]*Base[[#This Row],['[SC']Patients_en_emploi]]</f>
        <v>28995.611447017935</v>
      </c>
      <c r="AG97" s="4">
        <v>1022040000</v>
      </c>
      <c r="AH97" s="4">
        <f>IFERROR(Base[[#This Row],['[SC']Prestations]]/Base[[#This Row],['[SC']Patients_en_emploi]],0)</f>
        <v>4220.8312340005614</v>
      </c>
      <c r="AI97" s="4">
        <v>51.7</v>
      </c>
      <c r="AJ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7" s="4">
        <f>Base[[#This Row],['[SC']'[Travail']Coûts_évités]]/Base[[#This Row],[Population_emploi]]</f>
        <v>4.4182520738092963</v>
      </c>
      <c r="AL97" s="4">
        <f>Base[[#This Row],[Coût_société]]*10^9*Base[[#This Row],[Risque]]*Base[[#This Row],[Prévalence]]*Base[[#This Row],[Part_coûts_salarié]]/Base[[#This Row],[Population_emploi]]</f>
        <v>0.49065613416379883</v>
      </c>
      <c r="AM97" s="4">
        <f>IF(Base[[#This Row],[Pathologie]]&lt;&gt;"Dépendance",0,14909.24243952)</f>
        <v>0</v>
      </c>
      <c r="AN97" s="4">
        <f>IF(Base[[#This Row],[Pathologie]]&lt;&gt;"Dépendance",0,1316000)</f>
        <v>0</v>
      </c>
      <c r="AO97" s="4">
        <f>IF(Base[[#This Row],[Pathologie]]&lt;&gt;"Dépendance",0,Base[[#This Row],['[SC']Coût_personne_dépendante]]*Base[[#This Row],['[SC']Nb_personnes_dépendantes]])</f>
        <v>0</v>
      </c>
      <c r="AP97" s="4">
        <f>IF(Base[[#This Row],[Pathologie]]&lt;&gt;"Dépendance",0,Base[[#This Row],['[SC']Coût_total_dépendance]]/Base[[#This Row],[Population_totale]])</f>
        <v>0</v>
      </c>
      <c r="AQ97" s="4">
        <f>IF(Base[[#This Row],[Pathologie]]&lt;&gt;"Dépendance",0,4.5)</f>
        <v>0</v>
      </c>
      <c r="AR97" s="4">
        <v>0.50393265050357905</v>
      </c>
      <c r="AS97" s="4">
        <f>Base[[#This Row],[Espérance_vie]]+Base[[#This Row],['[SC']Hausse_esp_de_vie]]-Base[[#This Row],['[SC']Durée_moyenne_dépendance_avt]]+Base[[#This Row],[Risque]]</f>
        <v>82.920758086218328</v>
      </c>
      <c r="AT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7" s="4">
        <v>62.9</v>
      </c>
      <c r="AW97" s="4">
        <f t="shared" si="0"/>
        <v>336905600000</v>
      </c>
      <c r="AX97" s="4">
        <v>15049171</v>
      </c>
      <c r="AY97" s="4">
        <f>Base[[#This Row],['[SC']Budget_total_retraites]]/Base[[#This Row],['[SC']Nombre_de_retraités]]</f>
        <v>22386.987296509556</v>
      </c>
      <c r="AZ97" s="4">
        <f>Base[[#This Row],['[SC']Budget_par_retraité]]*Base[[#This Row],['[SC']Nb_personnes_dépendantes]]</f>
        <v>0</v>
      </c>
      <c r="BA97" s="4">
        <f>Base[[#This Row],['[SC']'[Dépendance']Coût_retraite_personnes_dépendantes]]/Base[[#This Row],[Population_totale]]</f>
        <v>0</v>
      </c>
      <c r="BB9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7" s="4">
        <f>Base[[#This Row],['[SC']'[Dépendance']Gains]]-Base[[#This Row],['[SC']'[Dépendance']Coûts]]</f>
        <v>0</v>
      </c>
      <c r="BD97" s="4">
        <f>IF(Base[[#This Row],[Pathologie]]&lt;&gt;"Mort prématurée",0,Base[[#This Row],[Risque]]*Base[[#This Row],[Prévalence]]*Base[[#This Row],[Population_totale]])</f>
        <v>0</v>
      </c>
      <c r="BE97" s="4">
        <v>52.74</v>
      </c>
      <c r="BF97" s="4">
        <f>Base[[#This Row],['[SC']Âge_moyen_retraite]]-Base[[#This Row],['[SC']'[Mort_prématurée']Âge_moyen_mort précoce]]</f>
        <v>10.159999999999997</v>
      </c>
      <c r="BG97" s="4">
        <f>Base[[#This Row],[Espérance_vie]]+Base[[#This Row],['[SC']Hausse_esp_de_vie]]-Base[[#This Row],['[SC']Âge_moyen_retraite]]</f>
        <v>19.90101171382144</v>
      </c>
      <c r="BH97" s="4">
        <v>106583.42676924677</v>
      </c>
      <c r="BI97" s="4">
        <v>97601.789429271477</v>
      </c>
      <c r="BJ97" s="4">
        <v>302038.31496633729</v>
      </c>
      <c r="BK97" s="4">
        <v>117293.58934859755</v>
      </c>
      <c r="BL97" s="4">
        <v>1523999.9999999995</v>
      </c>
      <c r="BM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7" s="4">
        <v>294804.96027377353</v>
      </c>
      <c r="BO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7" s="4">
        <f>(Base[[#This Row],['[SC']'[Mort_prématurée']Gains]]-Base[[#This Row],['[SC']'[Mort_prématurée']Coûts]])/Base[[#This Row],[Population_totale]]</f>
        <v>0</v>
      </c>
      <c r="BQ97" s="4">
        <f>IF(Base[[#This Row],[Pathologie]]&lt;&gt;"Mort prématurée",0,Base[[#This Row],[Risque]])</f>
        <v>0</v>
      </c>
      <c r="BR97" s="4">
        <v>2680</v>
      </c>
      <c r="BS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7" s="4">
        <f>Base[[#This Row],[Prévalence_prod]]*(1-Base[[#This Row],[Risque]])*Base[[#This Row],[Durée_arrêt]]*Base[[#This Row],[Population_emploi]]</f>
        <v>17120783.315259226</v>
      </c>
      <c r="BV97" s="4">
        <f>Base[[#This Row],['[Prod']'[Absentéisme']Total_jours_absence_avant]]-Base[[#This Row],['[Prod']'[Absentéisme']Total_jours_absence_après]]</f>
        <v>2329046.5728360154</v>
      </c>
      <c r="BW97" s="4">
        <f>IF(AND(Base[[#This Row],[Pathologie]]&lt;&gt;"Dépendance",Base[[#This Row],[Pathologie]]&lt;&gt;"Mort prématurée",Base[[#This Row],[Pathologie]]&lt;&gt;"Migraine"),0.0619,0)</f>
        <v>6.1899999999999997E-2</v>
      </c>
      <c r="BX97" s="4">
        <v>254</v>
      </c>
      <c r="BY97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7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7" s="4">
        <f>Base[[#This Row],[Prévalence_prod]]*Base[[#This Row],[Présentéisme]]*Base[[#This Row],['[Prod']Jours_ouvrés]]</f>
        <v>0.15098463934186357</v>
      </c>
      <c r="CB97" s="4">
        <f>Base[[#This Row],[Prévalence_prod]]*(1-Base[[#This Row],[Risque]])*Base[[#This Row],[Présentéisme]]*Base[[#This Row],['[Prod']Jours_ouvrés]]</f>
        <v>0.13290477649302265</v>
      </c>
      <c r="CC97" s="4">
        <f>Base[[#This Row],['[Prod']'[Présentéisme']Jours_avant]]-Base[[#This Row],['[Prod']'[Présentéisme']Jours_après]]</f>
        <v>1.8079862848840916E-2</v>
      </c>
      <c r="CD97" s="4">
        <f>Base[[#This Row],['[Prod']'[Présentéisme']Jours_gagnés]]/Base[[#This Row],['[Prod']Jours_ouvrés]]</f>
        <v>7.1180562397011481E-5</v>
      </c>
      <c r="CE97">
        <v>5.8333039429220801E-2</v>
      </c>
      <c r="CF97">
        <v>1.4658164114728258E-2</v>
      </c>
      <c r="CG97" s="4">
        <v>11</v>
      </c>
      <c r="CH97" s="4">
        <v>0.96913802401210614</v>
      </c>
      <c r="CI97" s="4">
        <v>0.10293966445307301</v>
      </c>
      <c r="CJ97" s="4">
        <f>IF(Base[[#This Row],[Secteur]]&lt;&gt;"Moyenne",Base[[#This Row],['[Prod']'[Turnover']DMC_initiale]]*(1+Base[[#This Row],['[Prod']'[Turnover']Ecart_accidents]]*Base[[#This Row],['[Prod']Impact_motifs_turnover]]),CJ80*CI80+CJ81*CI81+CJ82*CI82+CJ83*CI83+CJ84*CI84+CJ85*CI85+CJ86*CI86+CJ87*CI87+CJ88*CI88+CJ89*CI89+CJ90*CI90+CJ91*CI91+CJ92*CI92+CJ93*CI93+CJ94*CI94+CJ95*CI95+CJ96*CI96)</f>
        <v>11.156263626263723</v>
      </c>
      <c r="CK97" s="4">
        <f>1/Base[[#This Row],['[Prod']'[Turnover']DMC_initiale]]</f>
        <v>9.0909090909090912E-2</v>
      </c>
      <c r="CL97" s="4">
        <f>1/Base[[#This Row],['[Prod']'[Turnover']DMC_finale]]</f>
        <v>8.9635744860477456E-2</v>
      </c>
    </row>
    <row r="98" spans="2:90" x14ac:dyDescent="0.25">
      <c r="B98" s="4" t="s">
        <v>324</v>
      </c>
      <c r="C98">
        <v>7.5</v>
      </c>
      <c r="D98" t="s">
        <v>84</v>
      </c>
      <c r="E98" t="s">
        <v>6</v>
      </c>
      <c r="F98" s="3">
        <v>0.11974637239689005</v>
      </c>
      <c r="G98" s="3">
        <v>8.741584028593305E-3</v>
      </c>
      <c r="H98" s="3">
        <v>8.741584028593305E-3</v>
      </c>
      <c r="I98" s="3">
        <v>6.8000000000000005E-2</v>
      </c>
      <c r="J98" s="3">
        <v>16.260750000000002</v>
      </c>
      <c r="K98" s="3">
        <v>7.0000000000000007E-2</v>
      </c>
      <c r="L98" s="2">
        <f>Base[[#This Row],[Coût]]*Base[[#This Row],[Part_ménages_dépenses_santé]]</f>
        <v>1.1382525000000001</v>
      </c>
      <c r="M98" s="2">
        <v>0.99809973356799431</v>
      </c>
      <c r="N98" s="6">
        <v>27700000</v>
      </c>
      <c r="O98" s="7">
        <f>Base[[#This Row],[Coût_salarié]]*10^9*Base[[#This Row],[Risque]]*Base[[#This Row],[Prévalence]]*Base[[#This Row],[Part_coûts_salarié]]/Base[[#This Row],[Population_emploi]]</f>
        <v>4.2932411739332398E-2</v>
      </c>
      <c r="P98">
        <v>50</v>
      </c>
      <c r="Q98">
        <v>50</v>
      </c>
      <c r="R98" s="2">
        <v>9.9999999999999978E-2</v>
      </c>
      <c r="S98" s="2">
        <v>0.33340000000000003</v>
      </c>
      <c r="T98" s="4">
        <v>8.741584028593305E-3</v>
      </c>
      <c r="U98" s="4">
        <f>IF(Bases_annexes!$F$5=0,16.6587111018772,0.77*Bases_annexes!$F$5/(IF(OR(ISBLANK('Données_d''entrée'!$E$44),'Données_d''entrée'!$E$44=0),35,'Données_d''entrée'!$E$44)*52))</f>
        <v>16.658711101877199</v>
      </c>
      <c r="V98" s="4">
        <v>80.324106187301894</v>
      </c>
      <c r="W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8" s="4">
        <v>234.5</v>
      </c>
      <c r="Y98" s="4">
        <f>(Base[[#This Row],['[Maladies']Coûts_évités_par_salarié]]+Base[[#This Row],['[Travail']Coûts_évités_par_salarié]])/Base[[#This Row],[Budget_santé_salarié]]</f>
        <v>2.8459880453795823E-3</v>
      </c>
      <c r="Z98" s="4">
        <v>0.8</v>
      </c>
      <c r="AA98" s="4">
        <f>Base[[#This Row],[Coût]]*Base[[#This Row],[Part_société_dépenses_santé]]</f>
        <v>13.008600000000001</v>
      </c>
      <c r="AB98" s="4">
        <v>67635124</v>
      </c>
      <c r="AC98" s="4">
        <v>82.297079063317852</v>
      </c>
      <c r="AD98" s="4">
        <v>8.741584028593305E-3</v>
      </c>
      <c r="AE98" s="4">
        <f>Base[[#This Row],['[SC']Prévalence_travail]]*Base[[#This Row],[Population_emploi]]</f>
        <v>242141.87759203455</v>
      </c>
      <c r="AF98" s="4">
        <f>Base[[#This Row],[Risque]]*Base[[#This Row],['[SC']Patients_en_emploi]]</f>
        <v>28995.611447017935</v>
      </c>
      <c r="AG98" s="4">
        <v>1022040000</v>
      </c>
      <c r="AH98" s="4">
        <f>IFERROR(Base[[#This Row],['[SC']Prestations]]/Base[[#This Row],['[SC']Patients_en_emploi]],0)</f>
        <v>4220.8312340005614</v>
      </c>
      <c r="AI98" s="4">
        <v>51.7</v>
      </c>
      <c r="AJ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8" s="4">
        <f>Base[[#This Row],['[SC']'[Travail']Coûts_évités]]/Base[[#This Row],[Population_emploi]]</f>
        <v>4.4182520738092963</v>
      </c>
      <c r="AL98" s="4">
        <f>Base[[#This Row],[Coût_société]]*10^9*Base[[#This Row],[Risque]]*Base[[#This Row],[Prévalence]]*Base[[#This Row],[Part_coûts_salarié]]/Base[[#This Row],[Population_emploi]]</f>
        <v>0.49065613416379883</v>
      </c>
      <c r="AM98" s="4">
        <f>IF(Base[[#This Row],[Pathologie]]&lt;&gt;"Dépendance",0,14909.24243952)</f>
        <v>0</v>
      </c>
      <c r="AN98" s="4">
        <f>IF(Base[[#This Row],[Pathologie]]&lt;&gt;"Dépendance",0,1316000)</f>
        <v>0</v>
      </c>
      <c r="AO98" s="4">
        <f>IF(Base[[#This Row],[Pathologie]]&lt;&gt;"Dépendance",0,Base[[#This Row],['[SC']Coût_personne_dépendante]]*Base[[#This Row],['[SC']Nb_personnes_dépendantes]])</f>
        <v>0</v>
      </c>
      <c r="AP98" s="4">
        <f>IF(Base[[#This Row],[Pathologie]]&lt;&gt;"Dépendance",0,Base[[#This Row],['[SC']Coût_total_dépendance]]/Base[[#This Row],[Population_totale]])</f>
        <v>0</v>
      </c>
      <c r="AQ98" s="4">
        <f>IF(Base[[#This Row],[Pathologie]]&lt;&gt;"Dépendance",0,4.5)</f>
        <v>0</v>
      </c>
      <c r="AR98" s="4">
        <v>0.50393265050357905</v>
      </c>
      <c r="AS98" s="4">
        <f>Base[[#This Row],[Espérance_vie]]+Base[[#This Row],['[SC']Hausse_esp_de_vie]]-Base[[#This Row],['[SC']Durée_moyenne_dépendance_avt]]+Base[[#This Row],[Risque]]</f>
        <v>82.920758086218328</v>
      </c>
      <c r="AT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8" s="4">
        <v>62.9</v>
      </c>
      <c r="AW98" s="4">
        <f t="shared" si="0"/>
        <v>336905600000</v>
      </c>
      <c r="AX98" s="4">
        <v>15049171</v>
      </c>
      <c r="AY98" s="4">
        <f>Base[[#This Row],['[SC']Budget_total_retraites]]/Base[[#This Row],['[SC']Nombre_de_retraités]]</f>
        <v>22386.987296509556</v>
      </c>
      <c r="AZ98" s="4">
        <f>Base[[#This Row],['[SC']Budget_par_retraité]]*Base[[#This Row],['[SC']Nb_personnes_dépendantes]]</f>
        <v>0</v>
      </c>
      <c r="BA98" s="4">
        <f>Base[[#This Row],['[SC']'[Dépendance']Coût_retraite_personnes_dépendantes]]/Base[[#This Row],[Population_totale]]</f>
        <v>0</v>
      </c>
      <c r="BB9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8" s="4">
        <f>Base[[#This Row],['[SC']'[Dépendance']Gains]]-Base[[#This Row],['[SC']'[Dépendance']Coûts]]</f>
        <v>0</v>
      </c>
      <c r="BD98" s="4">
        <f>IF(Base[[#This Row],[Pathologie]]&lt;&gt;"Mort prématurée",0,Base[[#This Row],[Risque]]*Base[[#This Row],[Prévalence]]*Base[[#This Row],[Population_totale]])</f>
        <v>0</v>
      </c>
      <c r="BE98" s="4">
        <v>52.74</v>
      </c>
      <c r="BF98" s="4">
        <f>Base[[#This Row],['[SC']Âge_moyen_retraite]]-Base[[#This Row],['[SC']'[Mort_prématurée']Âge_moyen_mort précoce]]</f>
        <v>10.159999999999997</v>
      </c>
      <c r="BG98" s="4">
        <f>Base[[#This Row],[Espérance_vie]]+Base[[#This Row],['[SC']Hausse_esp_de_vie]]-Base[[#This Row],['[SC']Âge_moyen_retraite]]</f>
        <v>19.90101171382144</v>
      </c>
      <c r="BH98" s="4">
        <v>106583.42676924677</v>
      </c>
      <c r="BI98" s="4">
        <v>97601.789429271477</v>
      </c>
      <c r="BJ98" s="4">
        <v>302038.31496633729</v>
      </c>
      <c r="BK98" s="4">
        <v>117293.58934859755</v>
      </c>
      <c r="BL98" s="4">
        <v>1523999.9999999995</v>
      </c>
      <c r="BM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8" s="4">
        <v>294804.96027377353</v>
      </c>
      <c r="BO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8" s="4">
        <f>(Base[[#This Row],['[SC']'[Mort_prématurée']Gains]]-Base[[#This Row],['[SC']'[Mort_prématurée']Coûts]])/Base[[#This Row],[Population_totale]]</f>
        <v>0</v>
      </c>
      <c r="BQ98" s="4">
        <f>IF(Base[[#This Row],[Pathologie]]&lt;&gt;"Mort prématurée",0,Base[[#This Row],[Risque]])</f>
        <v>0</v>
      </c>
      <c r="BR98" s="4">
        <v>2680</v>
      </c>
      <c r="BS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8" s="4">
        <f>Base[[#This Row],[Prévalence_prod]]*(1-Base[[#This Row],[Risque]])*Base[[#This Row],[Durée_arrêt]]*Base[[#This Row],[Population_emploi]]</f>
        <v>17120783.315259226</v>
      </c>
      <c r="BV98" s="4">
        <f>Base[[#This Row],['[Prod']'[Absentéisme']Total_jours_absence_avant]]-Base[[#This Row],['[Prod']'[Absentéisme']Total_jours_absence_après]]</f>
        <v>2329046.5728360154</v>
      </c>
      <c r="BW98" s="4">
        <f>IF(AND(Base[[#This Row],[Pathologie]]&lt;&gt;"Dépendance",Base[[#This Row],[Pathologie]]&lt;&gt;"Mort prématurée",Base[[#This Row],[Pathologie]]&lt;&gt;"Migraine"),0.0619,0)</f>
        <v>6.1899999999999997E-2</v>
      </c>
      <c r="BX98" s="4">
        <v>254</v>
      </c>
      <c r="BY98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8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8" s="4">
        <f>Base[[#This Row],[Prévalence_prod]]*Base[[#This Row],[Présentéisme]]*Base[[#This Row],['[Prod']Jours_ouvrés]]</f>
        <v>0.15098463934186357</v>
      </c>
      <c r="CB98" s="4">
        <f>Base[[#This Row],[Prévalence_prod]]*(1-Base[[#This Row],[Risque]])*Base[[#This Row],[Présentéisme]]*Base[[#This Row],['[Prod']Jours_ouvrés]]</f>
        <v>0.13290477649302265</v>
      </c>
      <c r="CC98" s="4">
        <f>Base[[#This Row],['[Prod']'[Présentéisme']Jours_avant]]-Base[[#This Row],['[Prod']'[Présentéisme']Jours_après]]</f>
        <v>1.8079862848840916E-2</v>
      </c>
      <c r="CD98" s="4">
        <f>Base[[#This Row],['[Prod']'[Présentéisme']Jours_gagnés]]/Base[[#This Row],['[Prod']Jours_ouvrés]]</f>
        <v>7.1180562397011481E-5</v>
      </c>
      <c r="CE98">
        <v>5.8333039429220801E-2</v>
      </c>
      <c r="CF98">
        <v>1.4658164114728258E-2</v>
      </c>
      <c r="CG98" s="4">
        <v>11</v>
      </c>
      <c r="CH98" s="4">
        <v>1.3987208237662601</v>
      </c>
      <c r="CI98" s="4">
        <v>2.1768516166491274E-2</v>
      </c>
      <c r="CJ98" s="4">
        <f>IF(Base[[#This Row],[Secteur]]&lt;&gt;"Moyenne",Base[[#This Row],['[Prod']'[Turnover']DMC_initiale]]*(1+Base[[#This Row],['[Prod']'[Turnover']Ecart_accidents]]*Base[[#This Row],['[Prod']Impact_motifs_turnover]]),CJ81*CI81+CJ82*CI82+CJ83*CI83+CJ84*CI84+CJ85*CI85+CJ86*CI86+CJ87*CI87+CJ88*CI88+CJ89*CI89+CJ90*CI90+CJ91*CI91+CJ92*CI92+CJ93*CI93+CJ94*CI94+CJ95*CI95+CJ96*CI96+CJ97*CI97)</f>
        <v>11.225529473239991</v>
      </c>
      <c r="CK98" s="4">
        <f>1/Base[[#This Row],['[Prod']'[Turnover']DMC_initiale]]</f>
        <v>9.0909090909090912E-2</v>
      </c>
      <c r="CL98" s="4">
        <f>1/Base[[#This Row],['[Prod']'[Turnover']DMC_finale]]</f>
        <v>8.9082657738670828E-2</v>
      </c>
    </row>
    <row r="99" spans="2:90" x14ac:dyDescent="0.25">
      <c r="B99" s="4" t="s">
        <v>325</v>
      </c>
      <c r="C99">
        <v>7.5</v>
      </c>
      <c r="D99" t="s">
        <v>84</v>
      </c>
      <c r="E99" t="s">
        <v>6</v>
      </c>
      <c r="F99" s="3">
        <v>0.11974637239689005</v>
      </c>
      <c r="G99" s="3">
        <v>8.741584028593305E-3</v>
      </c>
      <c r="H99" s="3">
        <v>8.741584028593305E-3</v>
      </c>
      <c r="I99" s="3">
        <v>6.8000000000000005E-2</v>
      </c>
      <c r="J99" s="3">
        <v>16.260750000000002</v>
      </c>
      <c r="K99" s="3">
        <v>7.0000000000000007E-2</v>
      </c>
      <c r="L99" s="2">
        <f>Base[[#This Row],[Coût]]*Base[[#This Row],[Part_ménages_dépenses_santé]]</f>
        <v>1.1382525000000001</v>
      </c>
      <c r="M99" s="2">
        <v>0.99809973356799431</v>
      </c>
      <c r="N99" s="6">
        <v>27700000</v>
      </c>
      <c r="O99" s="7">
        <f>Base[[#This Row],[Coût_salarié]]*10^9*Base[[#This Row],[Risque]]*Base[[#This Row],[Prévalence]]*Base[[#This Row],[Part_coûts_salarié]]/Base[[#This Row],[Population_emploi]]</f>
        <v>4.2932411739332398E-2</v>
      </c>
      <c r="P99">
        <v>50</v>
      </c>
      <c r="Q99">
        <v>50</v>
      </c>
      <c r="R99" s="2">
        <v>9.9999999999999978E-2</v>
      </c>
      <c r="S99" s="2">
        <v>0.33340000000000003</v>
      </c>
      <c r="T99" s="4">
        <v>8.741584028593305E-3</v>
      </c>
      <c r="U99" s="4">
        <f>IF(Bases_annexes!$F$5=0,16.6587111018772,0.77*Bases_annexes!$F$5/(IF(OR(ISBLANK('Données_d''entrée'!$E$44),'Données_d''entrée'!$E$44=0),35,'Données_d''entrée'!$E$44)*52))</f>
        <v>16.658711101877199</v>
      </c>
      <c r="V99" s="4">
        <v>80.324106187301894</v>
      </c>
      <c r="W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99" s="4">
        <v>234.5</v>
      </c>
      <c r="Y99" s="4">
        <f>(Base[[#This Row],['[Maladies']Coûts_évités_par_salarié]]+Base[[#This Row],['[Travail']Coûts_évités_par_salarié]])/Base[[#This Row],[Budget_santé_salarié]]</f>
        <v>2.8459880453795823E-3</v>
      </c>
      <c r="Z99" s="4">
        <v>0.8</v>
      </c>
      <c r="AA99" s="4">
        <f>Base[[#This Row],[Coût]]*Base[[#This Row],[Part_société_dépenses_santé]]</f>
        <v>13.008600000000001</v>
      </c>
      <c r="AB99" s="4">
        <v>67635124</v>
      </c>
      <c r="AC99" s="4">
        <v>82.297079063317852</v>
      </c>
      <c r="AD99" s="4">
        <v>8.741584028593305E-3</v>
      </c>
      <c r="AE99" s="4">
        <f>Base[[#This Row],['[SC']Prévalence_travail]]*Base[[#This Row],[Population_emploi]]</f>
        <v>242141.87759203455</v>
      </c>
      <c r="AF99" s="4">
        <f>Base[[#This Row],[Risque]]*Base[[#This Row],['[SC']Patients_en_emploi]]</f>
        <v>28995.611447017935</v>
      </c>
      <c r="AG99" s="4">
        <v>1022040000</v>
      </c>
      <c r="AH99" s="4">
        <f>IFERROR(Base[[#This Row],['[SC']Prestations]]/Base[[#This Row],['[SC']Patients_en_emploi]],0)</f>
        <v>4220.8312340005614</v>
      </c>
      <c r="AI99" s="4">
        <v>51.7</v>
      </c>
      <c r="AJ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99" s="4">
        <f>Base[[#This Row],['[SC']'[Travail']Coûts_évités]]/Base[[#This Row],[Population_emploi]]</f>
        <v>4.4182520738092963</v>
      </c>
      <c r="AL99" s="4">
        <f>Base[[#This Row],[Coût_société]]*10^9*Base[[#This Row],[Risque]]*Base[[#This Row],[Prévalence]]*Base[[#This Row],[Part_coûts_salarié]]/Base[[#This Row],[Population_emploi]]</f>
        <v>0.49065613416379883</v>
      </c>
      <c r="AM99" s="4">
        <f>IF(Base[[#This Row],[Pathologie]]&lt;&gt;"Dépendance",0,14909.24243952)</f>
        <v>0</v>
      </c>
      <c r="AN99" s="4">
        <f>IF(Base[[#This Row],[Pathologie]]&lt;&gt;"Dépendance",0,1316000)</f>
        <v>0</v>
      </c>
      <c r="AO99" s="4">
        <f>IF(Base[[#This Row],[Pathologie]]&lt;&gt;"Dépendance",0,Base[[#This Row],['[SC']Coût_personne_dépendante]]*Base[[#This Row],['[SC']Nb_personnes_dépendantes]])</f>
        <v>0</v>
      </c>
      <c r="AP99" s="4">
        <f>IF(Base[[#This Row],[Pathologie]]&lt;&gt;"Dépendance",0,Base[[#This Row],['[SC']Coût_total_dépendance]]/Base[[#This Row],[Population_totale]])</f>
        <v>0</v>
      </c>
      <c r="AQ99" s="4">
        <f>IF(Base[[#This Row],[Pathologie]]&lt;&gt;"Dépendance",0,4.5)</f>
        <v>0</v>
      </c>
      <c r="AR99" s="4">
        <v>0.50393265050357905</v>
      </c>
      <c r="AS99" s="4">
        <f>Base[[#This Row],[Espérance_vie]]+Base[[#This Row],['[SC']Hausse_esp_de_vie]]-Base[[#This Row],['[SC']Durée_moyenne_dépendance_avt]]+Base[[#This Row],[Risque]]</f>
        <v>82.920758086218328</v>
      </c>
      <c r="AT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99" s="4">
        <v>62.9</v>
      </c>
      <c r="AW99" s="4">
        <f t="shared" si="0"/>
        <v>336905600000</v>
      </c>
      <c r="AX99" s="4">
        <v>15049171</v>
      </c>
      <c r="AY99" s="4">
        <f>Base[[#This Row],['[SC']Budget_total_retraites]]/Base[[#This Row],['[SC']Nombre_de_retraités]]</f>
        <v>22386.987296509556</v>
      </c>
      <c r="AZ99" s="4">
        <f>Base[[#This Row],['[SC']Budget_par_retraité]]*Base[[#This Row],['[SC']Nb_personnes_dépendantes]]</f>
        <v>0</v>
      </c>
      <c r="BA99" s="4">
        <f>Base[[#This Row],['[SC']'[Dépendance']Coût_retraite_personnes_dépendantes]]/Base[[#This Row],[Population_totale]]</f>
        <v>0</v>
      </c>
      <c r="BB9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99" s="4">
        <f>Base[[#This Row],['[SC']'[Dépendance']Gains]]-Base[[#This Row],['[SC']'[Dépendance']Coûts]]</f>
        <v>0</v>
      </c>
      <c r="BD99" s="4">
        <f>IF(Base[[#This Row],[Pathologie]]&lt;&gt;"Mort prématurée",0,Base[[#This Row],[Risque]]*Base[[#This Row],[Prévalence]]*Base[[#This Row],[Population_totale]])</f>
        <v>0</v>
      </c>
      <c r="BE99" s="4">
        <v>52.74</v>
      </c>
      <c r="BF99" s="4">
        <f>Base[[#This Row],['[SC']Âge_moyen_retraite]]-Base[[#This Row],['[SC']'[Mort_prématurée']Âge_moyen_mort précoce]]</f>
        <v>10.159999999999997</v>
      </c>
      <c r="BG99" s="4">
        <f>Base[[#This Row],[Espérance_vie]]+Base[[#This Row],['[SC']Hausse_esp_de_vie]]-Base[[#This Row],['[SC']Âge_moyen_retraite]]</f>
        <v>19.90101171382144</v>
      </c>
      <c r="BH99" s="4">
        <v>106583.42676924677</v>
      </c>
      <c r="BI99" s="4">
        <v>97601.789429271477</v>
      </c>
      <c r="BJ99" s="4">
        <v>302038.31496633729</v>
      </c>
      <c r="BK99" s="4">
        <v>117293.58934859755</v>
      </c>
      <c r="BL99" s="4">
        <v>1523999.9999999995</v>
      </c>
      <c r="BM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99" s="4">
        <v>294804.96027377353</v>
      </c>
      <c r="BO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99" s="4">
        <f>(Base[[#This Row],['[SC']'[Mort_prématurée']Gains]]-Base[[#This Row],['[SC']'[Mort_prématurée']Coûts]])/Base[[#This Row],[Population_totale]]</f>
        <v>0</v>
      </c>
      <c r="BQ99" s="4">
        <f>IF(Base[[#This Row],[Pathologie]]&lt;&gt;"Mort prématurée",0,Base[[#This Row],[Risque]])</f>
        <v>0</v>
      </c>
      <c r="BR99" s="4">
        <v>2680</v>
      </c>
      <c r="BS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99" s="4">
        <f>Base[[#This Row],[Prévalence_prod]]*(1-Base[[#This Row],[Risque]])*Base[[#This Row],[Durée_arrêt]]*Base[[#This Row],[Population_emploi]]</f>
        <v>17120783.315259226</v>
      </c>
      <c r="BV99" s="4">
        <f>Base[[#This Row],['[Prod']'[Absentéisme']Total_jours_absence_avant]]-Base[[#This Row],['[Prod']'[Absentéisme']Total_jours_absence_après]]</f>
        <v>2329046.5728360154</v>
      </c>
      <c r="BW99" s="4">
        <f>IF(AND(Base[[#This Row],[Pathologie]]&lt;&gt;"Dépendance",Base[[#This Row],[Pathologie]]&lt;&gt;"Mort prématurée",Base[[#This Row],[Pathologie]]&lt;&gt;"Migraine"),0.0619,0)</f>
        <v>6.1899999999999997E-2</v>
      </c>
      <c r="BX99" s="4">
        <v>254</v>
      </c>
      <c r="BY99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99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99" s="4">
        <f>Base[[#This Row],[Prévalence_prod]]*Base[[#This Row],[Présentéisme]]*Base[[#This Row],['[Prod']Jours_ouvrés]]</f>
        <v>0.15098463934186357</v>
      </c>
      <c r="CB99" s="4">
        <f>Base[[#This Row],[Prévalence_prod]]*(1-Base[[#This Row],[Risque]])*Base[[#This Row],[Présentéisme]]*Base[[#This Row],['[Prod']Jours_ouvrés]]</f>
        <v>0.13290477649302265</v>
      </c>
      <c r="CC99" s="4">
        <f>Base[[#This Row],['[Prod']'[Présentéisme']Jours_avant]]-Base[[#This Row],['[Prod']'[Présentéisme']Jours_après]]</f>
        <v>1.8079862848840916E-2</v>
      </c>
      <c r="CD99" s="4">
        <f>Base[[#This Row],['[Prod']'[Présentéisme']Jours_gagnés]]/Base[[#This Row],['[Prod']Jours_ouvrés]]</f>
        <v>7.1180562397011481E-5</v>
      </c>
      <c r="CE99">
        <v>5.8333039429220801E-2</v>
      </c>
      <c r="CF99">
        <v>1.4658164114728258E-2</v>
      </c>
      <c r="CG99" s="4">
        <v>11</v>
      </c>
      <c r="CH99" s="4">
        <v>1.1624525375985588</v>
      </c>
      <c r="CI99" s="4">
        <v>3.7953151649308701E-2</v>
      </c>
      <c r="CJ99" s="4">
        <f>IF(Base[[#This Row],[Secteur]]&lt;&gt;"Moyenne",Base[[#This Row],['[Prod']'[Turnover']DMC_initiale]]*(1+Base[[#This Row],['[Prod']'[Turnover']Ecart_accidents]]*Base[[#This Row],['[Prod']Impact_motifs_turnover]]),CJ82*CI82+CJ83*CI83+CJ84*CI84+CJ85*CI85+CJ86*CI86+CJ87*CI87+CJ88*CI88+CJ89*CI89+CJ90*CI90+CJ91*CI91+CJ92*CI92+CJ93*CI93+CJ94*CI94+CJ95*CI95+CJ96*CI96+CJ97*CI97+CJ98*CI98)</f>
        <v>11.18743362078872</v>
      </c>
      <c r="CK99" s="4">
        <f>1/Base[[#This Row],['[Prod']'[Turnover']DMC_initiale]]</f>
        <v>9.0909090909090912E-2</v>
      </c>
      <c r="CL99" s="4">
        <f>1/Base[[#This Row],['[Prod']'[Turnover']DMC_finale]]</f>
        <v>8.9386005217655939E-2</v>
      </c>
    </row>
    <row r="100" spans="2:90" x14ac:dyDescent="0.25">
      <c r="B100" s="4" t="s">
        <v>326</v>
      </c>
      <c r="C100">
        <v>7.5</v>
      </c>
      <c r="D100" t="s">
        <v>84</v>
      </c>
      <c r="E100" t="s">
        <v>6</v>
      </c>
      <c r="F100" s="3">
        <v>0.11974637239689005</v>
      </c>
      <c r="G100" s="3">
        <v>8.741584028593305E-3</v>
      </c>
      <c r="H100" s="3">
        <v>8.741584028593305E-3</v>
      </c>
      <c r="I100" s="3">
        <v>6.8000000000000005E-2</v>
      </c>
      <c r="J100" s="3">
        <v>16.260750000000002</v>
      </c>
      <c r="K100" s="3">
        <v>7.0000000000000007E-2</v>
      </c>
      <c r="L100" s="2">
        <f>Base[[#This Row],[Coût]]*Base[[#This Row],[Part_ménages_dépenses_santé]]</f>
        <v>1.1382525000000001</v>
      </c>
      <c r="M100" s="2">
        <v>0.99809973356799431</v>
      </c>
      <c r="N100" s="6">
        <v>27700000</v>
      </c>
      <c r="O100" s="7">
        <f>Base[[#This Row],[Coût_salarié]]*10^9*Base[[#This Row],[Risque]]*Base[[#This Row],[Prévalence]]*Base[[#This Row],[Part_coûts_salarié]]/Base[[#This Row],[Population_emploi]]</f>
        <v>4.2932411739332398E-2</v>
      </c>
      <c r="P100">
        <v>50</v>
      </c>
      <c r="Q100">
        <v>50</v>
      </c>
      <c r="R100" s="2">
        <v>9.9999999999999978E-2</v>
      </c>
      <c r="S100" s="2">
        <v>0.33340000000000003</v>
      </c>
      <c r="T100" s="4">
        <v>8.741584028593305E-3</v>
      </c>
      <c r="U100" s="4">
        <f>IF(Bases_annexes!$F$5=0,16.6587111018772,0.77*Bases_annexes!$F$5/(IF(OR(ISBLANK('Données_d''entrée'!$E$44),'Données_d''entrée'!$E$44=0),35,'Données_d''entrée'!$E$44)*52))</f>
        <v>16.658711101877199</v>
      </c>
      <c r="V100" s="4">
        <v>80.324106187301894</v>
      </c>
      <c r="W1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0" s="4">
        <v>234.5</v>
      </c>
      <c r="Y100" s="4">
        <f>(Base[[#This Row],['[Maladies']Coûts_évités_par_salarié]]+Base[[#This Row],['[Travail']Coûts_évités_par_salarié]])/Base[[#This Row],[Budget_santé_salarié]]</f>
        <v>2.8459880453795823E-3</v>
      </c>
      <c r="Z100" s="4">
        <v>0.8</v>
      </c>
      <c r="AA100" s="4">
        <f>Base[[#This Row],[Coût]]*Base[[#This Row],[Part_société_dépenses_santé]]</f>
        <v>13.008600000000001</v>
      </c>
      <c r="AB100" s="4">
        <v>67635124</v>
      </c>
      <c r="AC100" s="4">
        <v>82.297079063317852</v>
      </c>
      <c r="AD100" s="4">
        <v>8.741584028593305E-3</v>
      </c>
      <c r="AE100" s="4">
        <f>Base[[#This Row],['[SC']Prévalence_travail]]*Base[[#This Row],[Population_emploi]]</f>
        <v>242141.87759203455</v>
      </c>
      <c r="AF100" s="4">
        <f>Base[[#This Row],[Risque]]*Base[[#This Row],['[SC']Patients_en_emploi]]</f>
        <v>28995.611447017935</v>
      </c>
      <c r="AG100" s="4">
        <v>1022040000</v>
      </c>
      <c r="AH100" s="4">
        <f>IFERROR(Base[[#This Row],['[SC']Prestations]]/Base[[#This Row],['[SC']Patients_en_emploi]],0)</f>
        <v>4220.8312340005614</v>
      </c>
      <c r="AI100" s="4">
        <v>51.7</v>
      </c>
      <c r="AJ1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0" s="4">
        <f>Base[[#This Row],['[SC']'[Travail']Coûts_évités]]/Base[[#This Row],[Population_emploi]]</f>
        <v>4.4182520738092963</v>
      </c>
      <c r="AL100" s="4">
        <f>Base[[#This Row],[Coût_société]]*10^9*Base[[#This Row],[Risque]]*Base[[#This Row],[Prévalence]]*Base[[#This Row],[Part_coûts_salarié]]/Base[[#This Row],[Population_emploi]]</f>
        <v>0.49065613416379883</v>
      </c>
      <c r="AM100" s="4">
        <f>IF(Base[[#This Row],[Pathologie]]&lt;&gt;"Dépendance",0,14909.24243952)</f>
        <v>0</v>
      </c>
      <c r="AN100" s="4">
        <f>IF(Base[[#This Row],[Pathologie]]&lt;&gt;"Dépendance",0,1316000)</f>
        <v>0</v>
      </c>
      <c r="AO100" s="4">
        <f>IF(Base[[#This Row],[Pathologie]]&lt;&gt;"Dépendance",0,Base[[#This Row],['[SC']Coût_personne_dépendante]]*Base[[#This Row],['[SC']Nb_personnes_dépendantes]])</f>
        <v>0</v>
      </c>
      <c r="AP100" s="4">
        <f>IF(Base[[#This Row],[Pathologie]]&lt;&gt;"Dépendance",0,Base[[#This Row],['[SC']Coût_total_dépendance]]/Base[[#This Row],[Population_totale]])</f>
        <v>0</v>
      </c>
      <c r="AQ100" s="4">
        <f>IF(Base[[#This Row],[Pathologie]]&lt;&gt;"Dépendance",0,4.5)</f>
        <v>0</v>
      </c>
      <c r="AR100" s="4">
        <v>0.50393265050357905</v>
      </c>
      <c r="AS100" s="4">
        <f>Base[[#This Row],[Espérance_vie]]+Base[[#This Row],['[SC']Hausse_esp_de_vie]]-Base[[#This Row],['[SC']Durée_moyenne_dépendance_avt]]+Base[[#This Row],[Risque]]</f>
        <v>82.920758086218328</v>
      </c>
      <c r="AT1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0" s="4">
        <v>62.9</v>
      </c>
      <c r="AW100" s="4">
        <f t="shared" si="0"/>
        <v>336905600000</v>
      </c>
      <c r="AX100" s="4">
        <v>15049171</v>
      </c>
      <c r="AY100" s="4">
        <f>Base[[#This Row],['[SC']Budget_total_retraites]]/Base[[#This Row],['[SC']Nombre_de_retraités]]</f>
        <v>22386.987296509556</v>
      </c>
      <c r="AZ100" s="4">
        <f>Base[[#This Row],['[SC']Budget_par_retraité]]*Base[[#This Row],['[SC']Nb_personnes_dépendantes]]</f>
        <v>0</v>
      </c>
      <c r="BA100" s="4">
        <f>Base[[#This Row],['[SC']'[Dépendance']Coût_retraite_personnes_dépendantes]]/Base[[#This Row],[Population_totale]]</f>
        <v>0</v>
      </c>
      <c r="BB10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0" s="4">
        <f>Base[[#This Row],['[SC']'[Dépendance']Gains]]-Base[[#This Row],['[SC']'[Dépendance']Coûts]]</f>
        <v>0</v>
      </c>
      <c r="BD100" s="4">
        <f>IF(Base[[#This Row],[Pathologie]]&lt;&gt;"Mort prématurée",0,Base[[#This Row],[Risque]]*Base[[#This Row],[Prévalence]]*Base[[#This Row],[Population_totale]])</f>
        <v>0</v>
      </c>
      <c r="BE100" s="4">
        <v>52.74</v>
      </c>
      <c r="BF100" s="4">
        <f>Base[[#This Row],['[SC']Âge_moyen_retraite]]-Base[[#This Row],['[SC']'[Mort_prématurée']Âge_moyen_mort précoce]]</f>
        <v>10.159999999999997</v>
      </c>
      <c r="BG100" s="4">
        <f>Base[[#This Row],[Espérance_vie]]+Base[[#This Row],['[SC']Hausse_esp_de_vie]]-Base[[#This Row],['[SC']Âge_moyen_retraite]]</f>
        <v>19.90101171382144</v>
      </c>
      <c r="BH100" s="4">
        <v>106583.42676924677</v>
      </c>
      <c r="BI100" s="4">
        <v>97601.789429271477</v>
      </c>
      <c r="BJ100" s="4">
        <v>302038.31496633729</v>
      </c>
      <c r="BK100" s="4">
        <v>117293.58934859755</v>
      </c>
      <c r="BL100" s="4">
        <v>1523999.9999999995</v>
      </c>
      <c r="BM1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0" s="4">
        <v>294804.96027377353</v>
      </c>
      <c r="BO1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0" s="4">
        <f>(Base[[#This Row],['[SC']'[Mort_prématurée']Gains]]-Base[[#This Row],['[SC']'[Mort_prématurée']Coûts]])/Base[[#This Row],[Population_totale]]</f>
        <v>0</v>
      </c>
      <c r="BQ100" s="4">
        <f>IF(Base[[#This Row],[Pathologie]]&lt;&gt;"Mort prématurée",0,Base[[#This Row],[Risque]])</f>
        <v>0</v>
      </c>
      <c r="BR100" s="4">
        <v>2680</v>
      </c>
      <c r="BS1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0" s="4">
        <f>Base[[#This Row],[Prévalence_prod]]*(1-Base[[#This Row],[Risque]])*Base[[#This Row],[Durée_arrêt]]*Base[[#This Row],[Population_emploi]]</f>
        <v>17120783.315259226</v>
      </c>
      <c r="BV100" s="4">
        <f>Base[[#This Row],['[Prod']'[Absentéisme']Total_jours_absence_avant]]-Base[[#This Row],['[Prod']'[Absentéisme']Total_jours_absence_après]]</f>
        <v>2329046.5728360154</v>
      </c>
      <c r="BW100" s="4">
        <f>IF(AND(Base[[#This Row],[Pathologie]]&lt;&gt;"Dépendance",Base[[#This Row],[Pathologie]]&lt;&gt;"Mort prématurée",Base[[#This Row],[Pathologie]]&lt;&gt;"Migraine"),0.0619,0)</f>
        <v>6.1899999999999997E-2</v>
      </c>
      <c r="BX100" s="4">
        <v>254</v>
      </c>
      <c r="BY100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0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0" s="4">
        <f>Base[[#This Row],[Prévalence_prod]]*Base[[#This Row],[Présentéisme]]*Base[[#This Row],['[Prod']Jours_ouvrés]]</f>
        <v>0.15098463934186357</v>
      </c>
      <c r="CB100" s="4">
        <f>Base[[#This Row],[Prévalence_prod]]*(1-Base[[#This Row],[Risque]])*Base[[#This Row],[Présentéisme]]*Base[[#This Row],['[Prod']Jours_ouvrés]]</f>
        <v>0.13290477649302265</v>
      </c>
      <c r="CC100" s="4">
        <f>Base[[#This Row],['[Prod']'[Présentéisme']Jours_avant]]-Base[[#This Row],['[Prod']'[Présentéisme']Jours_après]]</f>
        <v>1.8079862848840916E-2</v>
      </c>
      <c r="CD100" s="4">
        <f>Base[[#This Row],['[Prod']'[Présentéisme']Jours_gagnés]]/Base[[#This Row],['[Prod']Jours_ouvrés]]</f>
        <v>7.1180562397011481E-5</v>
      </c>
      <c r="CE100">
        <v>5.8333039429220801E-2</v>
      </c>
      <c r="CF100">
        <v>1.4658164114728258E-2</v>
      </c>
      <c r="CG100" s="4">
        <v>11</v>
      </c>
      <c r="CH100" s="4">
        <v>0.19346787829229528</v>
      </c>
      <c r="CI100" s="4">
        <v>2.8126549817953091E-2</v>
      </c>
      <c r="CJ100" s="4">
        <f>IF(Base[[#This Row],[Secteur]]&lt;&gt;"Moyenne",Base[[#This Row],['[Prod']'[Turnover']DMC_initiale]]*(1+Base[[#This Row],['[Prod']'[Turnover']Ecart_accidents]]*Base[[#This Row],['[Prod']Impact_motifs_turnover]]),CJ83*CI83+CJ84*CI84+CJ85*CI85+CJ86*CI86+CJ87*CI87+CJ88*CI88+CJ89*CI89+CJ90*CI90+CJ91*CI91+CJ92*CI92+CJ93*CI93+CJ94*CI94+CJ95*CI95+CJ96*CI96+CJ97*CI97+CJ98*CI98+CJ99*CI99)</f>
        <v>11.031194723020304</v>
      </c>
      <c r="CK100" s="4">
        <f>1/Base[[#This Row],['[Prod']'[Turnover']DMC_initiale]]</f>
        <v>9.0909090909090912E-2</v>
      </c>
      <c r="CL100" s="4">
        <f>1/Base[[#This Row],['[Prod']'[Turnover']DMC_finale]]</f>
        <v>9.065201232584201E-2</v>
      </c>
    </row>
    <row r="101" spans="2:90" x14ac:dyDescent="0.25">
      <c r="B101" s="4" t="s">
        <v>327</v>
      </c>
      <c r="C101">
        <v>7.5</v>
      </c>
      <c r="D101" t="s">
        <v>84</v>
      </c>
      <c r="E101" t="s">
        <v>6</v>
      </c>
      <c r="F101" s="3">
        <v>0.11974637239689005</v>
      </c>
      <c r="G101" s="3">
        <v>8.741584028593305E-3</v>
      </c>
      <c r="H101" s="3">
        <v>8.741584028593305E-3</v>
      </c>
      <c r="I101" s="3">
        <v>6.8000000000000005E-2</v>
      </c>
      <c r="J101" s="3">
        <v>16.260750000000002</v>
      </c>
      <c r="K101" s="3">
        <v>7.0000000000000007E-2</v>
      </c>
      <c r="L101" s="2">
        <f>Base[[#This Row],[Coût]]*Base[[#This Row],[Part_ménages_dépenses_santé]]</f>
        <v>1.1382525000000001</v>
      </c>
      <c r="M101" s="2">
        <v>0.99809973356799431</v>
      </c>
      <c r="N101" s="6">
        <v>27700000</v>
      </c>
      <c r="O101" s="7">
        <f>Base[[#This Row],[Coût_salarié]]*10^9*Base[[#This Row],[Risque]]*Base[[#This Row],[Prévalence]]*Base[[#This Row],[Part_coûts_salarié]]/Base[[#This Row],[Population_emploi]]</f>
        <v>4.2932411739332398E-2</v>
      </c>
      <c r="P101">
        <v>50</v>
      </c>
      <c r="Q101">
        <v>50</v>
      </c>
      <c r="R101" s="2">
        <v>9.9999999999999978E-2</v>
      </c>
      <c r="S101" s="2">
        <v>0.33340000000000003</v>
      </c>
      <c r="T101" s="4">
        <v>8.741584028593305E-3</v>
      </c>
      <c r="U101" s="4">
        <f>IF(Bases_annexes!$F$5=0,16.6587111018772,0.77*Bases_annexes!$F$5/(IF(OR(ISBLANK('Données_d''entrée'!$E$44),'Données_d''entrée'!$E$44=0),35,'Données_d''entrée'!$E$44)*52))</f>
        <v>16.658711101877199</v>
      </c>
      <c r="V101" s="4">
        <v>80.324106187301894</v>
      </c>
      <c r="W1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1" s="4">
        <v>234.5</v>
      </c>
      <c r="Y101" s="4">
        <f>(Base[[#This Row],['[Maladies']Coûts_évités_par_salarié]]+Base[[#This Row],['[Travail']Coûts_évités_par_salarié]])/Base[[#This Row],[Budget_santé_salarié]]</f>
        <v>2.8459880453795823E-3</v>
      </c>
      <c r="Z101" s="4">
        <v>0.8</v>
      </c>
      <c r="AA101" s="4">
        <f>Base[[#This Row],[Coût]]*Base[[#This Row],[Part_société_dépenses_santé]]</f>
        <v>13.008600000000001</v>
      </c>
      <c r="AB101" s="4">
        <v>67635124</v>
      </c>
      <c r="AC101" s="4">
        <v>82.297079063317852</v>
      </c>
      <c r="AD101" s="4">
        <v>8.741584028593305E-3</v>
      </c>
      <c r="AE101" s="4">
        <f>Base[[#This Row],['[SC']Prévalence_travail]]*Base[[#This Row],[Population_emploi]]</f>
        <v>242141.87759203455</v>
      </c>
      <c r="AF101" s="4">
        <f>Base[[#This Row],[Risque]]*Base[[#This Row],['[SC']Patients_en_emploi]]</f>
        <v>28995.611447017935</v>
      </c>
      <c r="AG101" s="4">
        <v>1022040000</v>
      </c>
      <c r="AH101" s="4">
        <f>IFERROR(Base[[#This Row],['[SC']Prestations]]/Base[[#This Row],['[SC']Patients_en_emploi]],0)</f>
        <v>4220.8312340005614</v>
      </c>
      <c r="AI101" s="4">
        <v>51.7</v>
      </c>
      <c r="AJ1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1" s="4">
        <f>Base[[#This Row],['[SC']'[Travail']Coûts_évités]]/Base[[#This Row],[Population_emploi]]</f>
        <v>4.4182520738092963</v>
      </c>
      <c r="AL101" s="4">
        <f>Base[[#This Row],[Coût_société]]*10^9*Base[[#This Row],[Risque]]*Base[[#This Row],[Prévalence]]*Base[[#This Row],[Part_coûts_salarié]]/Base[[#This Row],[Population_emploi]]</f>
        <v>0.49065613416379883</v>
      </c>
      <c r="AM101" s="4">
        <f>IF(Base[[#This Row],[Pathologie]]&lt;&gt;"Dépendance",0,14909.24243952)</f>
        <v>0</v>
      </c>
      <c r="AN101" s="4">
        <f>IF(Base[[#This Row],[Pathologie]]&lt;&gt;"Dépendance",0,1316000)</f>
        <v>0</v>
      </c>
      <c r="AO101" s="4">
        <f>IF(Base[[#This Row],[Pathologie]]&lt;&gt;"Dépendance",0,Base[[#This Row],['[SC']Coût_personne_dépendante]]*Base[[#This Row],['[SC']Nb_personnes_dépendantes]])</f>
        <v>0</v>
      </c>
      <c r="AP101" s="4">
        <f>IF(Base[[#This Row],[Pathologie]]&lt;&gt;"Dépendance",0,Base[[#This Row],['[SC']Coût_total_dépendance]]/Base[[#This Row],[Population_totale]])</f>
        <v>0</v>
      </c>
      <c r="AQ101" s="4">
        <f>IF(Base[[#This Row],[Pathologie]]&lt;&gt;"Dépendance",0,4.5)</f>
        <v>0</v>
      </c>
      <c r="AR101" s="4">
        <v>0.50393265050357905</v>
      </c>
      <c r="AS101" s="4">
        <f>Base[[#This Row],[Espérance_vie]]+Base[[#This Row],['[SC']Hausse_esp_de_vie]]-Base[[#This Row],['[SC']Durée_moyenne_dépendance_avt]]+Base[[#This Row],[Risque]]</f>
        <v>82.920758086218328</v>
      </c>
      <c r="AT1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1" s="4">
        <v>62.9</v>
      </c>
      <c r="AW101" s="4">
        <f t="shared" si="0"/>
        <v>336905600000</v>
      </c>
      <c r="AX101" s="4">
        <v>15049171</v>
      </c>
      <c r="AY101" s="4">
        <f>Base[[#This Row],['[SC']Budget_total_retraites]]/Base[[#This Row],['[SC']Nombre_de_retraités]]</f>
        <v>22386.987296509556</v>
      </c>
      <c r="AZ101" s="4">
        <f>Base[[#This Row],['[SC']Budget_par_retraité]]*Base[[#This Row],['[SC']Nb_personnes_dépendantes]]</f>
        <v>0</v>
      </c>
      <c r="BA101" s="4">
        <f>Base[[#This Row],['[SC']'[Dépendance']Coût_retraite_personnes_dépendantes]]/Base[[#This Row],[Population_totale]]</f>
        <v>0</v>
      </c>
      <c r="BB10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1" s="4">
        <f>Base[[#This Row],['[SC']'[Dépendance']Gains]]-Base[[#This Row],['[SC']'[Dépendance']Coûts]]</f>
        <v>0</v>
      </c>
      <c r="BD101" s="4">
        <f>IF(Base[[#This Row],[Pathologie]]&lt;&gt;"Mort prématurée",0,Base[[#This Row],[Risque]]*Base[[#This Row],[Prévalence]]*Base[[#This Row],[Population_totale]])</f>
        <v>0</v>
      </c>
      <c r="BE101" s="4">
        <v>52.74</v>
      </c>
      <c r="BF101" s="4">
        <f>Base[[#This Row],['[SC']Âge_moyen_retraite]]-Base[[#This Row],['[SC']'[Mort_prématurée']Âge_moyen_mort précoce]]</f>
        <v>10.159999999999997</v>
      </c>
      <c r="BG101" s="4">
        <f>Base[[#This Row],[Espérance_vie]]+Base[[#This Row],['[SC']Hausse_esp_de_vie]]-Base[[#This Row],['[SC']Âge_moyen_retraite]]</f>
        <v>19.90101171382144</v>
      </c>
      <c r="BH101" s="4">
        <v>106583.42676924677</v>
      </c>
      <c r="BI101" s="4">
        <v>97601.789429271477</v>
      </c>
      <c r="BJ101" s="4">
        <v>302038.31496633729</v>
      </c>
      <c r="BK101" s="4">
        <v>117293.58934859755</v>
      </c>
      <c r="BL101" s="4">
        <v>1523999.9999999995</v>
      </c>
      <c r="BM1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1" s="4">
        <v>294804.96027377353</v>
      </c>
      <c r="BO1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1" s="4">
        <f>(Base[[#This Row],['[SC']'[Mort_prématurée']Gains]]-Base[[#This Row],['[SC']'[Mort_prématurée']Coûts]])/Base[[#This Row],[Population_totale]]</f>
        <v>0</v>
      </c>
      <c r="BQ101" s="4">
        <f>IF(Base[[#This Row],[Pathologie]]&lt;&gt;"Mort prématurée",0,Base[[#This Row],[Risque]])</f>
        <v>0</v>
      </c>
      <c r="BR101" s="4">
        <v>2680</v>
      </c>
      <c r="BS1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1" s="4">
        <f>Base[[#This Row],[Prévalence_prod]]*(1-Base[[#This Row],[Risque]])*Base[[#This Row],[Durée_arrêt]]*Base[[#This Row],[Population_emploi]]</f>
        <v>17120783.315259226</v>
      </c>
      <c r="BV101" s="4">
        <f>Base[[#This Row],['[Prod']'[Absentéisme']Total_jours_absence_avant]]-Base[[#This Row],['[Prod']'[Absentéisme']Total_jours_absence_après]]</f>
        <v>2329046.5728360154</v>
      </c>
      <c r="BW101" s="4">
        <f>IF(AND(Base[[#This Row],[Pathologie]]&lt;&gt;"Dépendance",Base[[#This Row],[Pathologie]]&lt;&gt;"Mort prématurée",Base[[#This Row],[Pathologie]]&lt;&gt;"Migraine"),0.0619,0)</f>
        <v>6.1899999999999997E-2</v>
      </c>
      <c r="BX101" s="4">
        <v>254</v>
      </c>
      <c r="BY10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1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1" s="4">
        <f>Base[[#This Row],[Prévalence_prod]]*Base[[#This Row],[Présentéisme]]*Base[[#This Row],['[Prod']Jours_ouvrés]]</f>
        <v>0.15098463934186357</v>
      </c>
      <c r="CB101" s="4">
        <f>Base[[#This Row],[Prévalence_prod]]*(1-Base[[#This Row],[Risque]])*Base[[#This Row],[Présentéisme]]*Base[[#This Row],['[Prod']Jours_ouvrés]]</f>
        <v>0.13290477649302265</v>
      </c>
      <c r="CC101" s="4">
        <f>Base[[#This Row],['[Prod']'[Présentéisme']Jours_avant]]-Base[[#This Row],['[Prod']'[Présentéisme']Jours_après]]</f>
        <v>1.8079862848840916E-2</v>
      </c>
      <c r="CD101" s="4">
        <f>Base[[#This Row],['[Prod']'[Présentéisme']Jours_gagnés]]/Base[[#This Row],['[Prod']Jours_ouvrés]]</f>
        <v>7.1180562397011481E-5</v>
      </c>
      <c r="CE101">
        <v>5.8333039429220801E-2</v>
      </c>
      <c r="CF101">
        <v>1.4658164114728258E-2</v>
      </c>
      <c r="CG101" s="4">
        <v>11</v>
      </c>
      <c r="CH101" s="4">
        <v>0.13729577077682142</v>
      </c>
      <c r="CI101" s="4">
        <v>1.373516710817578E-2</v>
      </c>
      <c r="CJ101" s="4">
        <f>IF(Base[[#This Row],[Secteur]]&lt;&gt;"Moyenne",Base[[#This Row],['[Prod']'[Turnover']DMC_initiale]]*(1+Base[[#This Row],['[Prod']'[Turnover']Ecart_accidents]]*Base[[#This Row],['[Prod']Impact_motifs_turnover]]),CJ84*CI84+CJ85*CI85+CJ86*CI86+CJ87*CI87+CJ88*CI88+CJ89*CI89+CJ90*CI90+CJ91*CI91+CJ92*CI92+CJ93*CI93+CJ94*CI94+CJ95*CI95+CJ96*CI96+CJ97*CI97+CJ98*CI98+CJ99*CI99+CJ100*CI100)</f>
        <v>11.022137543343351</v>
      </c>
      <c r="CK101" s="4">
        <f>1/Base[[#This Row],['[Prod']'[Turnover']DMC_initiale]]</f>
        <v>9.0909090909090912E-2</v>
      </c>
      <c r="CL101" s="4">
        <f>1/Base[[#This Row],['[Prod']'[Turnover']DMC_finale]]</f>
        <v>9.0726503463380792E-2</v>
      </c>
    </row>
    <row r="102" spans="2:90" x14ac:dyDescent="0.25">
      <c r="B102" s="4" t="s">
        <v>328</v>
      </c>
      <c r="C102">
        <v>7.5</v>
      </c>
      <c r="D102" t="s">
        <v>84</v>
      </c>
      <c r="E102" t="s">
        <v>6</v>
      </c>
      <c r="F102" s="3">
        <v>0.11974637239689005</v>
      </c>
      <c r="G102" s="3">
        <v>8.741584028593305E-3</v>
      </c>
      <c r="H102" s="3">
        <v>8.741584028593305E-3</v>
      </c>
      <c r="I102" s="3">
        <v>6.8000000000000005E-2</v>
      </c>
      <c r="J102" s="3">
        <v>16.260750000000002</v>
      </c>
      <c r="K102" s="3">
        <v>7.0000000000000007E-2</v>
      </c>
      <c r="L102" s="2">
        <f>Base[[#This Row],[Coût]]*Base[[#This Row],[Part_ménages_dépenses_santé]]</f>
        <v>1.1382525000000001</v>
      </c>
      <c r="M102" s="2">
        <v>0.99809973356799431</v>
      </c>
      <c r="N102" s="6">
        <v>27700000</v>
      </c>
      <c r="O102" s="7">
        <f>Base[[#This Row],[Coût_salarié]]*10^9*Base[[#This Row],[Risque]]*Base[[#This Row],[Prévalence]]*Base[[#This Row],[Part_coûts_salarié]]/Base[[#This Row],[Population_emploi]]</f>
        <v>4.2932411739332398E-2</v>
      </c>
      <c r="P102">
        <v>50</v>
      </c>
      <c r="Q102">
        <v>50</v>
      </c>
      <c r="R102" s="2">
        <v>9.9999999999999978E-2</v>
      </c>
      <c r="S102" s="2">
        <v>0.33340000000000003</v>
      </c>
      <c r="T102" s="4">
        <v>8.741584028593305E-3</v>
      </c>
      <c r="U102" s="4">
        <f>IF(Bases_annexes!$F$5=0,16.6587111018772,0.77*Bases_annexes!$F$5/(IF(OR(ISBLANK('Données_d''entrée'!$E$44),'Données_d''entrée'!$E$44=0),35,'Données_d''entrée'!$E$44)*52))</f>
        <v>16.658711101877199</v>
      </c>
      <c r="V102" s="4">
        <v>80.324106187301894</v>
      </c>
      <c r="W1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2" s="4">
        <v>234.5</v>
      </c>
      <c r="Y102" s="4">
        <f>(Base[[#This Row],['[Maladies']Coûts_évités_par_salarié]]+Base[[#This Row],['[Travail']Coûts_évités_par_salarié]])/Base[[#This Row],[Budget_santé_salarié]]</f>
        <v>2.8459880453795823E-3</v>
      </c>
      <c r="Z102" s="4">
        <v>0.8</v>
      </c>
      <c r="AA102" s="4">
        <f>Base[[#This Row],[Coût]]*Base[[#This Row],[Part_société_dépenses_santé]]</f>
        <v>13.008600000000001</v>
      </c>
      <c r="AB102" s="4">
        <v>67635124</v>
      </c>
      <c r="AC102" s="4">
        <v>82.297079063317852</v>
      </c>
      <c r="AD102" s="4">
        <v>8.741584028593305E-3</v>
      </c>
      <c r="AE102" s="4">
        <f>Base[[#This Row],['[SC']Prévalence_travail]]*Base[[#This Row],[Population_emploi]]</f>
        <v>242141.87759203455</v>
      </c>
      <c r="AF102" s="4">
        <f>Base[[#This Row],[Risque]]*Base[[#This Row],['[SC']Patients_en_emploi]]</f>
        <v>28995.611447017935</v>
      </c>
      <c r="AG102" s="4">
        <v>1022040000</v>
      </c>
      <c r="AH102" s="4">
        <f>IFERROR(Base[[#This Row],['[SC']Prestations]]/Base[[#This Row],['[SC']Patients_en_emploi]],0)</f>
        <v>4220.8312340005614</v>
      </c>
      <c r="AI102" s="4">
        <v>51.7</v>
      </c>
      <c r="AJ1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2" s="4">
        <f>Base[[#This Row],['[SC']'[Travail']Coûts_évités]]/Base[[#This Row],[Population_emploi]]</f>
        <v>4.4182520738092963</v>
      </c>
      <c r="AL102" s="4">
        <f>Base[[#This Row],[Coût_société]]*10^9*Base[[#This Row],[Risque]]*Base[[#This Row],[Prévalence]]*Base[[#This Row],[Part_coûts_salarié]]/Base[[#This Row],[Population_emploi]]</f>
        <v>0.49065613416379883</v>
      </c>
      <c r="AM102" s="4">
        <f>IF(Base[[#This Row],[Pathologie]]&lt;&gt;"Dépendance",0,14909.24243952)</f>
        <v>0</v>
      </c>
      <c r="AN102" s="4">
        <f>IF(Base[[#This Row],[Pathologie]]&lt;&gt;"Dépendance",0,1316000)</f>
        <v>0</v>
      </c>
      <c r="AO102" s="4">
        <f>IF(Base[[#This Row],[Pathologie]]&lt;&gt;"Dépendance",0,Base[[#This Row],['[SC']Coût_personne_dépendante]]*Base[[#This Row],['[SC']Nb_personnes_dépendantes]])</f>
        <v>0</v>
      </c>
      <c r="AP102" s="4">
        <f>IF(Base[[#This Row],[Pathologie]]&lt;&gt;"Dépendance",0,Base[[#This Row],['[SC']Coût_total_dépendance]]/Base[[#This Row],[Population_totale]])</f>
        <v>0</v>
      </c>
      <c r="AQ102" s="4">
        <f>IF(Base[[#This Row],[Pathologie]]&lt;&gt;"Dépendance",0,4.5)</f>
        <v>0</v>
      </c>
      <c r="AR102" s="4">
        <v>0.50393265050357905</v>
      </c>
      <c r="AS102" s="4">
        <f>Base[[#This Row],[Espérance_vie]]+Base[[#This Row],['[SC']Hausse_esp_de_vie]]-Base[[#This Row],['[SC']Durée_moyenne_dépendance_avt]]+Base[[#This Row],[Risque]]</f>
        <v>82.920758086218328</v>
      </c>
      <c r="AT1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2" s="4">
        <v>62.9</v>
      </c>
      <c r="AW102" s="4">
        <f t="shared" si="0"/>
        <v>336905600000</v>
      </c>
      <c r="AX102" s="4">
        <v>15049171</v>
      </c>
      <c r="AY102" s="4">
        <f>Base[[#This Row],['[SC']Budget_total_retraites]]/Base[[#This Row],['[SC']Nombre_de_retraités]]</f>
        <v>22386.987296509556</v>
      </c>
      <c r="AZ102" s="4">
        <f>Base[[#This Row],['[SC']Budget_par_retraité]]*Base[[#This Row],['[SC']Nb_personnes_dépendantes]]</f>
        <v>0</v>
      </c>
      <c r="BA102" s="4">
        <f>Base[[#This Row],['[SC']'[Dépendance']Coût_retraite_personnes_dépendantes]]/Base[[#This Row],[Population_totale]]</f>
        <v>0</v>
      </c>
      <c r="BB10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2" s="4">
        <f>Base[[#This Row],['[SC']'[Dépendance']Gains]]-Base[[#This Row],['[SC']'[Dépendance']Coûts]]</f>
        <v>0</v>
      </c>
      <c r="BD102" s="4">
        <f>IF(Base[[#This Row],[Pathologie]]&lt;&gt;"Mort prématurée",0,Base[[#This Row],[Risque]]*Base[[#This Row],[Prévalence]]*Base[[#This Row],[Population_totale]])</f>
        <v>0</v>
      </c>
      <c r="BE102" s="4">
        <v>52.74</v>
      </c>
      <c r="BF102" s="4">
        <f>Base[[#This Row],['[SC']Âge_moyen_retraite]]-Base[[#This Row],['[SC']'[Mort_prématurée']Âge_moyen_mort précoce]]</f>
        <v>10.159999999999997</v>
      </c>
      <c r="BG102" s="4">
        <f>Base[[#This Row],[Espérance_vie]]+Base[[#This Row],['[SC']Hausse_esp_de_vie]]-Base[[#This Row],['[SC']Âge_moyen_retraite]]</f>
        <v>19.90101171382144</v>
      </c>
      <c r="BH102" s="4">
        <v>106583.42676924677</v>
      </c>
      <c r="BI102" s="4">
        <v>97601.789429271477</v>
      </c>
      <c r="BJ102" s="4">
        <v>302038.31496633729</v>
      </c>
      <c r="BK102" s="4">
        <v>117293.58934859755</v>
      </c>
      <c r="BL102" s="4">
        <v>1523999.9999999995</v>
      </c>
      <c r="BM1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2" s="4">
        <v>294804.96027377353</v>
      </c>
      <c r="BO1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2" s="4">
        <f>(Base[[#This Row],['[SC']'[Mort_prématurée']Gains]]-Base[[#This Row],['[SC']'[Mort_prématurée']Coûts]])/Base[[#This Row],[Population_totale]]</f>
        <v>0</v>
      </c>
      <c r="BQ102" s="4">
        <f>IF(Base[[#This Row],[Pathologie]]&lt;&gt;"Mort prématurée",0,Base[[#This Row],[Risque]])</f>
        <v>0</v>
      </c>
      <c r="BR102" s="4">
        <v>2680</v>
      </c>
      <c r="BS1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2" s="4">
        <f>Base[[#This Row],[Prévalence_prod]]*(1-Base[[#This Row],[Risque]])*Base[[#This Row],[Durée_arrêt]]*Base[[#This Row],[Population_emploi]]</f>
        <v>17120783.315259226</v>
      </c>
      <c r="BV102" s="4">
        <f>Base[[#This Row],['[Prod']'[Absentéisme']Total_jours_absence_avant]]-Base[[#This Row],['[Prod']'[Absentéisme']Total_jours_absence_après]]</f>
        <v>2329046.5728360154</v>
      </c>
      <c r="BW102" s="4">
        <f>IF(AND(Base[[#This Row],[Pathologie]]&lt;&gt;"Dépendance",Base[[#This Row],[Pathologie]]&lt;&gt;"Mort prématurée",Base[[#This Row],[Pathologie]]&lt;&gt;"Migraine"),0.0619,0)</f>
        <v>6.1899999999999997E-2</v>
      </c>
      <c r="BX102" s="4">
        <v>254</v>
      </c>
      <c r="BY10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2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2" s="4">
        <f>Base[[#This Row],[Prévalence_prod]]*Base[[#This Row],[Présentéisme]]*Base[[#This Row],['[Prod']Jours_ouvrés]]</f>
        <v>0.15098463934186357</v>
      </c>
      <c r="CB102" s="4">
        <f>Base[[#This Row],[Prévalence_prod]]*(1-Base[[#This Row],[Risque]])*Base[[#This Row],[Présentéisme]]*Base[[#This Row],['[Prod']Jours_ouvrés]]</f>
        <v>0.13290477649302265</v>
      </c>
      <c r="CC102" s="4">
        <f>Base[[#This Row],['[Prod']'[Présentéisme']Jours_avant]]-Base[[#This Row],['[Prod']'[Présentéisme']Jours_après]]</f>
        <v>1.8079862848840916E-2</v>
      </c>
      <c r="CD102" s="4">
        <f>Base[[#This Row],['[Prod']'[Présentéisme']Jours_gagnés]]/Base[[#This Row],['[Prod']Jours_ouvrés]]</f>
        <v>7.1180562397011481E-5</v>
      </c>
      <c r="CE102">
        <v>5.8333039429220801E-2</v>
      </c>
      <c r="CF102">
        <v>1.4658164114728258E-2</v>
      </c>
      <c r="CG102" s="4">
        <v>11</v>
      </c>
      <c r="CH102" s="4">
        <v>0.60922528771817497</v>
      </c>
      <c r="CI102" s="4">
        <v>3.8601807163334179E-3</v>
      </c>
      <c r="CJ102" s="4">
        <f>IF(Base[[#This Row],[Secteur]]&lt;&gt;"Moyenne",Base[[#This Row],['[Prod']'[Turnover']DMC_initiale]]*(1+Base[[#This Row],['[Prod']'[Turnover']Ecart_accidents]]*Base[[#This Row],['[Prod']Impact_motifs_turnover]]),CJ85*CI85+CJ86*CI86+CJ87*CI87+CJ88*CI88+CJ89*CI89+CJ90*CI90+CJ91*CI91+CJ92*CI92+CJ93*CI93+CJ94*CI94+CJ95*CI95+CJ96*CI96+CJ97*CI97+CJ98*CI98+CJ99*CI99+CJ100*CI100+CJ101*CI101)</f>
        <v>11.098231366752371</v>
      </c>
      <c r="CK102" s="4">
        <f>1/Base[[#This Row],['[Prod']'[Turnover']DMC_initiale]]</f>
        <v>9.0909090909090912E-2</v>
      </c>
      <c r="CL102" s="4">
        <f>1/Base[[#This Row],['[Prod']'[Turnover']DMC_finale]]</f>
        <v>9.0104447001867274E-2</v>
      </c>
    </row>
    <row r="103" spans="2:90" x14ac:dyDescent="0.25">
      <c r="B103" s="4" t="s">
        <v>329</v>
      </c>
      <c r="C103">
        <v>7.5</v>
      </c>
      <c r="D103" t="s">
        <v>84</v>
      </c>
      <c r="E103" t="s">
        <v>6</v>
      </c>
      <c r="F103" s="3">
        <v>0.11974637239689005</v>
      </c>
      <c r="G103" s="3">
        <v>8.741584028593305E-3</v>
      </c>
      <c r="H103" s="3">
        <v>8.741584028593305E-3</v>
      </c>
      <c r="I103" s="3">
        <v>6.8000000000000005E-2</v>
      </c>
      <c r="J103" s="3">
        <v>16.260750000000002</v>
      </c>
      <c r="K103" s="3">
        <v>7.0000000000000007E-2</v>
      </c>
      <c r="L103" s="2">
        <f>Base[[#This Row],[Coût]]*Base[[#This Row],[Part_ménages_dépenses_santé]]</f>
        <v>1.1382525000000001</v>
      </c>
      <c r="M103" s="2">
        <v>0.99809973356799431</v>
      </c>
      <c r="N103" s="6">
        <v>27700000</v>
      </c>
      <c r="O103" s="7">
        <f>Base[[#This Row],[Coût_salarié]]*10^9*Base[[#This Row],[Risque]]*Base[[#This Row],[Prévalence]]*Base[[#This Row],[Part_coûts_salarié]]/Base[[#This Row],[Population_emploi]]</f>
        <v>4.2932411739332398E-2</v>
      </c>
      <c r="P103">
        <v>50</v>
      </c>
      <c r="Q103">
        <v>50</v>
      </c>
      <c r="R103" s="2">
        <v>9.9999999999999978E-2</v>
      </c>
      <c r="S103" s="2">
        <v>0.33340000000000003</v>
      </c>
      <c r="T103" s="4">
        <v>8.741584028593305E-3</v>
      </c>
      <c r="U103" s="4">
        <f>IF(Bases_annexes!$F$5=0,16.6587111018772,0.77*Bases_annexes!$F$5/(IF(OR(ISBLANK('Données_d''entrée'!$E$44),'Données_d''entrée'!$E$44=0),35,'Données_d''entrée'!$E$44)*52))</f>
        <v>16.658711101877199</v>
      </c>
      <c r="V103" s="4">
        <v>80.324106187301894</v>
      </c>
      <c r="W1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3" s="4">
        <v>234.5</v>
      </c>
      <c r="Y103" s="4">
        <f>(Base[[#This Row],['[Maladies']Coûts_évités_par_salarié]]+Base[[#This Row],['[Travail']Coûts_évités_par_salarié]])/Base[[#This Row],[Budget_santé_salarié]]</f>
        <v>2.8459880453795823E-3</v>
      </c>
      <c r="Z103" s="4">
        <v>0.8</v>
      </c>
      <c r="AA103" s="4">
        <f>Base[[#This Row],[Coût]]*Base[[#This Row],[Part_société_dépenses_santé]]</f>
        <v>13.008600000000001</v>
      </c>
      <c r="AB103" s="4">
        <v>67635124</v>
      </c>
      <c r="AC103" s="4">
        <v>82.297079063317852</v>
      </c>
      <c r="AD103" s="4">
        <v>8.741584028593305E-3</v>
      </c>
      <c r="AE103" s="4">
        <f>Base[[#This Row],['[SC']Prévalence_travail]]*Base[[#This Row],[Population_emploi]]</f>
        <v>242141.87759203455</v>
      </c>
      <c r="AF103" s="4">
        <f>Base[[#This Row],[Risque]]*Base[[#This Row],['[SC']Patients_en_emploi]]</f>
        <v>28995.611447017935</v>
      </c>
      <c r="AG103" s="4">
        <v>1022040000</v>
      </c>
      <c r="AH103" s="4">
        <f>IFERROR(Base[[#This Row],['[SC']Prestations]]/Base[[#This Row],['[SC']Patients_en_emploi]],0)</f>
        <v>4220.8312340005614</v>
      </c>
      <c r="AI103" s="4">
        <v>51.7</v>
      </c>
      <c r="AJ1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3" s="4">
        <f>Base[[#This Row],['[SC']'[Travail']Coûts_évités]]/Base[[#This Row],[Population_emploi]]</f>
        <v>4.4182520738092963</v>
      </c>
      <c r="AL103" s="4">
        <f>Base[[#This Row],[Coût_société]]*10^9*Base[[#This Row],[Risque]]*Base[[#This Row],[Prévalence]]*Base[[#This Row],[Part_coûts_salarié]]/Base[[#This Row],[Population_emploi]]</f>
        <v>0.49065613416379883</v>
      </c>
      <c r="AM103" s="4">
        <f>IF(Base[[#This Row],[Pathologie]]&lt;&gt;"Dépendance",0,14909.24243952)</f>
        <v>0</v>
      </c>
      <c r="AN103" s="4">
        <f>IF(Base[[#This Row],[Pathologie]]&lt;&gt;"Dépendance",0,1316000)</f>
        <v>0</v>
      </c>
      <c r="AO103" s="4">
        <f>IF(Base[[#This Row],[Pathologie]]&lt;&gt;"Dépendance",0,Base[[#This Row],['[SC']Coût_personne_dépendante]]*Base[[#This Row],['[SC']Nb_personnes_dépendantes]])</f>
        <v>0</v>
      </c>
      <c r="AP103" s="4">
        <f>IF(Base[[#This Row],[Pathologie]]&lt;&gt;"Dépendance",0,Base[[#This Row],['[SC']Coût_total_dépendance]]/Base[[#This Row],[Population_totale]])</f>
        <v>0</v>
      </c>
      <c r="AQ103" s="4">
        <f>IF(Base[[#This Row],[Pathologie]]&lt;&gt;"Dépendance",0,4.5)</f>
        <v>0</v>
      </c>
      <c r="AR103" s="4">
        <v>0.50393265050357905</v>
      </c>
      <c r="AS103" s="4">
        <f>Base[[#This Row],[Espérance_vie]]+Base[[#This Row],['[SC']Hausse_esp_de_vie]]-Base[[#This Row],['[SC']Durée_moyenne_dépendance_avt]]+Base[[#This Row],[Risque]]</f>
        <v>82.920758086218328</v>
      </c>
      <c r="AT1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3" s="4">
        <v>62.9</v>
      </c>
      <c r="AW103" s="4">
        <f t="shared" si="0"/>
        <v>336905600000</v>
      </c>
      <c r="AX103" s="4">
        <v>15049171</v>
      </c>
      <c r="AY103" s="4">
        <f>Base[[#This Row],['[SC']Budget_total_retraites]]/Base[[#This Row],['[SC']Nombre_de_retraités]]</f>
        <v>22386.987296509556</v>
      </c>
      <c r="AZ103" s="4">
        <f>Base[[#This Row],['[SC']Budget_par_retraité]]*Base[[#This Row],['[SC']Nb_personnes_dépendantes]]</f>
        <v>0</v>
      </c>
      <c r="BA103" s="4">
        <f>Base[[#This Row],['[SC']'[Dépendance']Coût_retraite_personnes_dépendantes]]/Base[[#This Row],[Population_totale]]</f>
        <v>0</v>
      </c>
      <c r="BB10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3" s="4">
        <f>Base[[#This Row],['[SC']'[Dépendance']Gains]]-Base[[#This Row],['[SC']'[Dépendance']Coûts]]</f>
        <v>0</v>
      </c>
      <c r="BD103" s="4">
        <f>IF(Base[[#This Row],[Pathologie]]&lt;&gt;"Mort prématurée",0,Base[[#This Row],[Risque]]*Base[[#This Row],[Prévalence]]*Base[[#This Row],[Population_totale]])</f>
        <v>0</v>
      </c>
      <c r="BE103" s="4">
        <v>52.74</v>
      </c>
      <c r="BF103" s="4">
        <f>Base[[#This Row],['[SC']Âge_moyen_retraite]]-Base[[#This Row],['[SC']'[Mort_prématurée']Âge_moyen_mort précoce]]</f>
        <v>10.159999999999997</v>
      </c>
      <c r="BG103" s="4">
        <f>Base[[#This Row],[Espérance_vie]]+Base[[#This Row],['[SC']Hausse_esp_de_vie]]-Base[[#This Row],['[SC']Âge_moyen_retraite]]</f>
        <v>19.90101171382144</v>
      </c>
      <c r="BH103" s="4">
        <v>106583.42676924677</v>
      </c>
      <c r="BI103" s="4">
        <v>97601.789429271477</v>
      </c>
      <c r="BJ103" s="4">
        <v>302038.31496633729</v>
      </c>
      <c r="BK103" s="4">
        <v>117293.58934859755</v>
      </c>
      <c r="BL103" s="4">
        <v>1523999.9999999995</v>
      </c>
      <c r="BM1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3" s="4">
        <v>294804.96027377353</v>
      </c>
      <c r="BO1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3" s="4">
        <f>(Base[[#This Row],['[SC']'[Mort_prématurée']Gains]]-Base[[#This Row],['[SC']'[Mort_prématurée']Coûts]])/Base[[#This Row],[Population_totale]]</f>
        <v>0</v>
      </c>
      <c r="BQ103" s="4">
        <f>IF(Base[[#This Row],[Pathologie]]&lt;&gt;"Mort prématurée",0,Base[[#This Row],[Risque]])</f>
        <v>0</v>
      </c>
      <c r="BR103" s="4">
        <v>2680</v>
      </c>
      <c r="BS1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3" s="4">
        <f>Base[[#This Row],[Prévalence_prod]]*(1-Base[[#This Row],[Risque]])*Base[[#This Row],[Durée_arrêt]]*Base[[#This Row],[Population_emploi]]</f>
        <v>17120783.315259226</v>
      </c>
      <c r="BV103" s="4">
        <f>Base[[#This Row],['[Prod']'[Absentéisme']Total_jours_absence_avant]]-Base[[#This Row],['[Prod']'[Absentéisme']Total_jours_absence_après]]</f>
        <v>2329046.5728360154</v>
      </c>
      <c r="BW103" s="4">
        <f>IF(AND(Base[[#This Row],[Pathologie]]&lt;&gt;"Dépendance",Base[[#This Row],[Pathologie]]&lt;&gt;"Mort prématurée",Base[[#This Row],[Pathologie]]&lt;&gt;"Migraine"),0.0619,0)</f>
        <v>6.1899999999999997E-2</v>
      </c>
      <c r="BX103" s="4">
        <v>254</v>
      </c>
      <c r="BY103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3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3" s="4">
        <f>Base[[#This Row],[Prévalence_prod]]*Base[[#This Row],[Présentéisme]]*Base[[#This Row],['[Prod']Jours_ouvrés]]</f>
        <v>0.15098463934186357</v>
      </c>
      <c r="CB103" s="4">
        <f>Base[[#This Row],[Prévalence_prod]]*(1-Base[[#This Row],[Risque]])*Base[[#This Row],[Présentéisme]]*Base[[#This Row],['[Prod']Jours_ouvrés]]</f>
        <v>0.13290477649302265</v>
      </c>
      <c r="CC103" s="4">
        <f>Base[[#This Row],['[Prod']'[Présentéisme']Jours_avant]]-Base[[#This Row],['[Prod']'[Présentéisme']Jours_après]]</f>
        <v>1.8079862848840916E-2</v>
      </c>
      <c r="CD103" s="4">
        <f>Base[[#This Row],['[Prod']'[Présentéisme']Jours_gagnés]]/Base[[#This Row],['[Prod']Jours_ouvrés]]</f>
        <v>7.1180562397011481E-5</v>
      </c>
      <c r="CE103">
        <v>5.8333039429220801E-2</v>
      </c>
      <c r="CF103">
        <v>1.4658164114728258E-2</v>
      </c>
      <c r="CG103" s="4">
        <v>11</v>
      </c>
      <c r="CH103" s="4">
        <v>0.78414927716175975</v>
      </c>
      <c r="CI103" s="4">
        <v>0.12835819090128339</v>
      </c>
      <c r="CJ103" s="4">
        <f>IF(Base[[#This Row],[Secteur]]&lt;&gt;"Moyenne",Base[[#This Row],['[Prod']'[Turnover']DMC_initiale]]*(1+Base[[#This Row],['[Prod']'[Turnover']Ecart_accidents]]*Base[[#This Row],['[Prod']Impact_motifs_turnover]]),CJ86*CI86+CJ87*CI87+CJ88*CI88+CJ89*CI89+CJ90*CI90+CJ91*CI91+CJ92*CI92+CJ93*CI93+CJ94*CI94+CJ95*CI95+CJ96*CI96+CJ97*CI97+CJ98*CI98+CJ99*CI99+CJ100*CI100+CJ101*CI101+CJ102*CI102)</f>
        <v>11.126436076745907</v>
      </c>
      <c r="CK103" s="4">
        <f>1/Base[[#This Row],['[Prod']'[Turnover']DMC_initiale]]</f>
        <v>9.0909090909090912E-2</v>
      </c>
      <c r="CL103" s="4">
        <f>1/Base[[#This Row],['[Prod']'[Turnover']DMC_finale]]</f>
        <v>8.9876038751526707E-2</v>
      </c>
    </row>
    <row r="104" spans="2:90" x14ac:dyDescent="0.25">
      <c r="B104" s="4" t="s">
        <v>330</v>
      </c>
      <c r="C104">
        <v>7.5</v>
      </c>
      <c r="D104" t="s">
        <v>84</v>
      </c>
      <c r="E104" t="s">
        <v>6</v>
      </c>
      <c r="F104" s="3">
        <v>0.11974637239689005</v>
      </c>
      <c r="G104" s="3">
        <v>8.741584028593305E-3</v>
      </c>
      <c r="H104" s="3">
        <v>8.741584028593305E-3</v>
      </c>
      <c r="I104" s="3">
        <v>6.8000000000000005E-2</v>
      </c>
      <c r="J104" s="3">
        <v>16.260750000000002</v>
      </c>
      <c r="K104" s="3">
        <v>7.0000000000000007E-2</v>
      </c>
      <c r="L104" s="2">
        <f>Base[[#This Row],[Coût]]*Base[[#This Row],[Part_ménages_dépenses_santé]]</f>
        <v>1.1382525000000001</v>
      </c>
      <c r="M104" s="2">
        <v>0.99809973356799431</v>
      </c>
      <c r="N104" s="6">
        <v>27700000</v>
      </c>
      <c r="O104" s="7">
        <f>Base[[#This Row],[Coût_salarié]]*10^9*Base[[#This Row],[Risque]]*Base[[#This Row],[Prévalence]]*Base[[#This Row],[Part_coûts_salarié]]/Base[[#This Row],[Population_emploi]]</f>
        <v>4.2932411739332398E-2</v>
      </c>
      <c r="P104">
        <v>50</v>
      </c>
      <c r="Q104">
        <v>50</v>
      </c>
      <c r="R104" s="2">
        <v>9.9999999999999978E-2</v>
      </c>
      <c r="S104" s="2">
        <v>0.33340000000000003</v>
      </c>
      <c r="T104" s="4">
        <v>8.741584028593305E-3</v>
      </c>
      <c r="U104" s="4">
        <f>IF(Bases_annexes!$F$5=0,16.6587111018772,0.77*Bases_annexes!$F$5/(IF(OR(ISBLANK('Données_d''entrée'!$E$44),'Données_d''entrée'!$E$44=0),35,'Données_d''entrée'!$E$44)*52))</f>
        <v>16.658711101877199</v>
      </c>
      <c r="V104" s="4">
        <v>80.324106187301894</v>
      </c>
      <c r="W1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4" s="4">
        <v>234.5</v>
      </c>
      <c r="Y104" s="4">
        <f>(Base[[#This Row],['[Maladies']Coûts_évités_par_salarié]]+Base[[#This Row],['[Travail']Coûts_évités_par_salarié]])/Base[[#This Row],[Budget_santé_salarié]]</f>
        <v>2.8459880453795823E-3</v>
      </c>
      <c r="Z104" s="4">
        <v>0.8</v>
      </c>
      <c r="AA104" s="4">
        <f>Base[[#This Row],[Coût]]*Base[[#This Row],[Part_société_dépenses_santé]]</f>
        <v>13.008600000000001</v>
      </c>
      <c r="AB104" s="4">
        <v>67635124</v>
      </c>
      <c r="AC104" s="4">
        <v>82.297079063317852</v>
      </c>
      <c r="AD104" s="4">
        <v>8.741584028593305E-3</v>
      </c>
      <c r="AE104" s="4">
        <f>Base[[#This Row],['[SC']Prévalence_travail]]*Base[[#This Row],[Population_emploi]]</f>
        <v>242141.87759203455</v>
      </c>
      <c r="AF104" s="4">
        <f>Base[[#This Row],[Risque]]*Base[[#This Row],['[SC']Patients_en_emploi]]</f>
        <v>28995.611447017935</v>
      </c>
      <c r="AG104" s="4">
        <v>1022040000</v>
      </c>
      <c r="AH104" s="4">
        <f>IFERROR(Base[[#This Row],['[SC']Prestations]]/Base[[#This Row],['[SC']Patients_en_emploi]],0)</f>
        <v>4220.8312340005614</v>
      </c>
      <c r="AI104" s="4">
        <v>51.7</v>
      </c>
      <c r="AJ1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4" s="4">
        <f>Base[[#This Row],['[SC']'[Travail']Coûts_évités]]/Base[[#This Row],[Population_emploi]]</f>
        <v>4.4182520738092963</v>
      </c>
      <c r="AL104" s="4">
        <f>Base[[#This Row],[Coût_société]]*10^9*Base[[#This Row],[Risque]]*Base[[#This Row],[Prévalence]]*Base[[#This Row],[Part_coûts_salarié]]/Base[[#This Row],[Population_emploi]]</f>
        <v>0.49065613416379883</v>
      </c>
      <c r="AM104" s="4">
        <f>IF(Base[[#This Row],[Pathologie]]&lt;&gt;"Dépendance",0,14909.24243952)</f>
        <v>0</v>
      </c>
      <c r="AN104" s="4">
        <f>IF(Base[[#This Row],[Pathologie]]&lt;&gt;"Dépendance",0,1316000)</f>
        <v>0</v>
      </c>
      <c r="AO104" s="4">
        <f>IF(Base[[#This Row],[Pathologie]]&lt;&gt;"Dépendance",0,Base[[#This Row],['[SC']Coût_personne_dépendante]]*Base[[#This Row],['[SC']Nb_personnes_dépendantes]])</f>
        <v>0</v>
      </c>
      <c r="AP104" s="4">
        <f>IF(Base[[#This Row],[Pathologie]]&lt;&gt;"Dépendance",0,Base[[#This Row],['[SC']Coût_total_dépendance]]/Base[[#This Row],[Population_totale]])</f>
        <v>0</v>
      </c>
      <c r="AQ104" s="4">
        <f>IF(Base[[#This Row],[Pathologie]]&lt;&gt;"Dépendance",0,4.5)</f>
        <v>0</v>
      </c>
      <c r="AR104" s="4">
        <v>0.50393265050357905</v>
      </c>
      <c r="AS104" s="4">
        <f>Base[[#This Row],[Espérance_vie]]+Base[[#This Row],['[SC']Hausse_esp_de_vie]]-Base[[#This Row],['[SC']Durée_moyenne_dépendance_avt]]+Base[[#This Row],[Risque]]</f>
        <v>82.920758086218328</v>
      </c>
      <c r="AT1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4" s="4">
        <v>62.9</v>
      </c>
      <c r="AW104" s="4">
        <f t="shared" si="0"/>
        <v>336905600000</v>
      </c>
      <c r="AX104" s="4">
        <v>15049171</v>
      </c>
      <c r="AY104" s="4">
        <f>Base[[#This Row],['[SC']Budget_total_retraites]]/Base[[#This Row],['[SC']Nombre_de_retraités]]</f>
        <v>22386.987296509556</v>
      </c>
      <c r="AZ104" s="4">
        <f>Base[[#This Row],['[SC']Budget_par_retraité]]*Base[[#This Row],['[SC']Nb_personnes_dépendantes]]</f>
        <v>0</v>
      </c>
      <c r="BA104" s="4">
        <f>Base[[#This Row],['[SC']'[Dépendance']Coût_retraite_personnes_dépendantes]]/Base[[#This Row],[Population_totale]]</f>
        <v>0</v>
      </c>
      <c r="BB10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4" s="4">
        <f>Base[[#This Row],['[SC']'[Dépendance']Gains]]-Base[[#This Row],['[SC']'[Dépendance']Coûts]]</f>
        <v>0</v>
      </c>
      <c r="BD104" s="4">
        <f>IF(Base[[#This Row],[Pathologie]]&lt;&gt;"Mort prématurée",0,Base[[#This Row],[Risque]]*Base[[#This Row],[Prévalence]]*Base[[#This Row],[Population_totale]])</f>
        <v>0</v>
      </c>
      <c r="BE104" s="4">
        <v>52.74</v>
      </c>
      <c r="BF104" s="4">
        <f>Base[[#This Row],['[SC']Âge_moyen_retraite]]-Base[[#This Row],['[SC']'[Mort_prématurée']Âge_moyen_mort précoce]]</f>
        <v>10.159999999999997</v>
      </c>
      <c r="BG104" s="4">
        <f>Base[[#This Row],[Espérance_vie]]+Base[[#This Row],['[SC']Hausse_esp_de_vie]]-Base[[#This Row],['[SC']Âge_moyen_retraite]]</f>
        <v>19.90101171382144</v>
      </c>
      <c r="BH104" s="4">
        <v>106583.42676924677</v>
      </c>
      <c r="BI104" s="4">
        <v>97601.789429271477</v>
      </c>
      <c r="BJ104" s="4">
        <v>302038.31496633729</v>
      </c>
      <c r="BK104" s="4">
        <v>117293.58934859755</v>
      </c>
      <c r="BL104" s="4">
        <v>1523999.9999999995</v>
      </c>
      <c r="BM1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4" s="4">
        <v>294804.96027377353</v>
      </c>
      <c r="BO1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4" s="4">
        <f>(Base[[#This Row],['[SC']'[Mort_prématurée']Gains]]-Base[[#This Row],['[SC']'[Mort_prématurée']Coûts]])/Base[[#This Row],[Population_totale]]</f>
        <v>0</v>
      </c>
      <c r="BQ104" s="4">
        <f>IF(Base[[#This Row],[Pathologie]]&lt;&gt;"Mort prématurée",0,Base[[#This Row],[Risque]])</f>
        <v>0</v>
      </c>
      <c r="BR104" s="4">
        <v>2680</v>
      </c>
      <c r="BS1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4" s="4">
        <f>Base[[#This Row],[Prévalence_prod]]*(1-Base[[#This Row],[Risque]])*Base[[#This Row],[Durée_arrêt]]*Base[[#This Row],[Population_emploi]]</f>
        <v>17120783.315259226</v>
      </c>
      <c r="BV104" s="4">
        <f>Base[[#This Row],['[Prod']'[Absentéisme']Total_jours_absence_avant]]-Base[[#This Row],['[Prod']'[Absentéisme']Total_jours_absence_après]]</f>
        <v>2329046.5728360154</v>
      </c>
      <c r="BW104" s="4">
        <f>IF(AND(Base[[#This Row],[Pathologie]]&lt;&gt;"Dépendance",Base[[#This Row],[Pathologie]]&lt;&gt;"Mort prématurée",Base[[#This Row],[Pathologie]]&lt;&gt;"Migraine"),0.0619,0)</f>
        <v>6.1899999999999997E-2</v>
      </c>
      <c r="BX104" s="4">
        <v>254</v>
      </c>
      <c r="BY104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4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4" s="4">
        <f>Base[[#This Row],[Prévalence_prod]]*Base[[#This Row],[Présentéisme]]*Base[[#This Row],['[Prod']Jours_ouvrés]]</f>
        <v>0.15098463934186357</v>
      </c>
      <c r="CB104" s="4">
        <f>Base[[#This Row],[Prévalence_prod]]*(1-Base[[#This Row],[Risque]])*Base[[#This Row],[Présentéisme]]*Base[[#This Row],['[Prod']Jours_ouvrés]]</f>
        <v>0.13290477649302265</v>
      </c>
      <c r="CC104" s="4">
        <f>Base[[#This Row],['[Prod']'[Présentéisme']Jours_avant]]-Base[[#This Row],['[Prod']'[Présentéisme']Jours_après]]</f>
        <v>1.8079862848840916E-2</v>
      </c>
      <c r="CD104" s="4">
        <f>Base[[#This Row],['[Prod']'[Présentéisme']Jours_gagnés]]/Base[[#This Row],['[Prod']Jours_ouvrés]]</f>
        <v>7.1180562397011481E-5</v>
      </c>
      <c r="CE104">
        <v>5.8333039429220801E-2</v>
      </c>
      <c r="CF104">
        <v>1.4658164114728258E-2</v>
      </c>
      <c r="CG104" s="4">
        <v>11</v>
      </c>
      <c r="CH104" s="4">
        <v>0.99648427619813984</v>
      </c>
      <c r="CI104" s="4">
        <v>0.42377466100567313</v>
      </c>
      <c r="CJ104" s="4">
        <f>IF(Base[[#This Row],[Secteur]]&lt;&gt;"Moyenne",Base[[#This Row],['[Prod']'[Turnover']DMC_initiale]]*(1+Base[[#This Row],['[Prod']'[Turnover']Ecart_accidents]]*Base[[#This Row],['[Prod']Impact_motifs_turnover]]),CJ87*CI87+CJ88*CI88+CJ89*CI89+CJ90*CI90+CJ91*CI91+CJ92*CI92+CJ93*CI93+CJ94*CI94+CJ95*CI95+CJ96*CI96+CJ97*CI97+CJ98*CI98+CJ99*CI99+CJ100*CI100+CJ101*CI101+CJ102*CI102+CJ103*CI103)</f>
        <v>11.160672930640844</v>
      </c>
      <c r="CK104" s="4">
        <f>1/Base[[#This Row],['[Prod']'[Turnover']DMC_initiale]]</f>
        <v>9.0909090909090912E-2</v>
      </c>
      <c r="CL104" s="4">
        <f>1/Base[[#This Row],['[Prod']'[Turnover']DMC_finale]]</f>
        <v>8.9600332006376626E-2</v>
      </c>
    </row>
    <row r="105" spans="2:90" x14ac:dyDescent="0.25">
      <c r="B105" s="4" t="s">
        <v>331</v>
      </c>
      <c r="C105">
        <v>7.5</v>
      </c>
      <c r="D105" t="s">
        <v>84</v>
      </c>
      <c r="E105" t="s">
        <v>6</v>
      </c>
      <c r="F105" s="3">
        <v>0.11974637239689005</v>
      </c>
      <c r="G105" s="3">
        <v>8.741584028593305E-3</v>
      </c>
      <c r="H105" s="3">
        <v>8.741584028593305E-3</v>
      </c>
      <c r="I105" s="3">
        <v>6.8000000000000005E-2</v>
      </c>
      <c r="J105" s="3">
        <v>16.260750000000002</v>
      </c>
      <c r="K105" s="3">
        <v>7.0000000000000007E-2</v>
      </c>
      <c r="L105" s="2">
        <f>Base[[#This Row],[Coût]]*Base[[#This Row],[Part_ménages_dépenses_santé]]</f>
        <v>1.1382525000000001</v>
      </c>
      <c r="M105" s="2">
        <v>0.99809973356799431</v>
      </c>
      <c r="N105" s="6">
        <v>27700000</v>
      </c>
      <c r="O105" s="7">
        <f>Base[[#This Row],[Coût_salarié]]*10^9*Base[[#This Row],[Risque]]*Base[[#This Row],[Prévalence]]*Base[[#This Row],[Part_coûts_salarié]]/Base[[#This Row],[Population_emploi]]</f>
        <v>4.2932411739332398E-2</v>
      </c>
      <c r="P105">
        <v>50</v>
      </c>
      <c r="Q105">
        <v>50</v>
      </c>
      <c r="R105" s="2">
        <v>9.9999999999999978E-2</v>
      </c>
      <c r="S105" s="2">
        <v>0.33340000000000003</v>
      </c>
      <c r="T105" s="4">
        <v>8.741584028593305E-3</v>
      </c>
      <c r="U105" s="4">
        <f>IF(Bases_annexes!$F$5=0,16.6587111018772,0.77*Bases_annexes!$F$5/(IF(OR(ISBLANK('Données_d''entrée'!$E$44),'Données_d''entrée'!$E$44=0),35,'Données_d''entrée'!$E$44)*52))</f>
        <v>16.658711101877199</v>
      </c>
      <c r="V105" s="4">
        <v>80.324106187301894</v>
      </c>
      <c r="W1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5" s="4">
        <v>234.5</v>
      </c>
      <c r="Y105" s="4">
        <f>(Base[[#This Row],['[Maladies']Coûts_évités_par_salarié]]+Base[[#This Row],['[Travail']Coûts_évités_par_salarié]])/Base[[#This Row],[Budget_santé_salarié]]</f>
        <v>2.8459880453795823E-3</v>
      </c>
      <c r="Z105" s="4">
        <v>0.8</v>
      </c>
      <c r="AA105" s="4">
        <f>Base[[#This Row],[Coût]]*Base[[#This Row],[Part_société_dépenses_santé]]</f>
        <v>13.008600000000001</v>
      </c>
      <c r="AB105" s="4">
        <v>67635124</v>
      </c>
      <c r="AC105" s="4">
        <v>82.297079063317852</v>
      </c>
      <c r="AD105" s="4">
        <v>8.741584028593305E-3</v>
      </c>
      <c r="AE105" s="4">
        <f>Base[[#This Row],['[SC']Prévalence_travail]]*Base[[#This Row],[Population_emploi]]</f>
        <v>242141.87759203455</v>
      </c>
      <c r="AF105" s="4">
        <f>Base[[#This Row],[Risque]]*Base[[#This Row],['[SC']Patients_en_emploi]]</f>
        <v>28995.611447017935</v>
      </c>
      <c r="AG105" s="4">
        <v>1022040000</v>
      </c>
      <c r="AH105" s="4">
        <f>IFERROR(Base[[#This Row],['[SC']Prestations]]/Base[[#This Row],['[SC']Patients_en_emploi]],0)</f>
        <v>4220.8312340005614</v>
      </c>
      <c r="AI105" s="4">
        <v>51.7</v>
      </c>
      <c r="AJ1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5" s="4">
        <f>Base[[#This Row],['[SC']'[Travail']Coûts_évités]]/Base[[#This Row],[Population_emploi]]</f>
        <v>4.4182520738092963</v>
      </c>
      <c r="AL105" s="4">
        <f>Base[[#This Row],[Coût_société]]*10^9*Base[[#This Row],[Risque]]*Base[[#This Row],[Prévalence]]*Base[[#This Row],[Part_coûts_salarié]]/Base[[#This Row],[Population_emploi]]</f>
        <v>0.49065613416379883</v>
      </c>
      <c r="AM105" s="4">
        <f>IF(Base[[#This Row],[Pathologie]]&lt;&gt;"Dépendance",0,14909.24243952)</f>
        <v>0</v>
      </c>
      <c r="AN105" s="4">
        <f>IF(Base[[#This Row],[Pathologie]]&lt;&gt;"Dépendance",0,1316000)</f>
        <v>0</v>
      </c>
      <c r="AO105" s="4">
        <f>IF(Base[[#This Row],[Pathologie]]&lt;&gt;"Dépendance",0,Base[[#This Row],['[SC']Coût_personne_dépendante]]*Base[[#This Row],['[SC']Nb_personnes_dépendantes]])</f>
        <v>0</v>
      </c>
      <c r="AP105" s="4">
        <f>IF(Base[[#This Row],[Pathologie]]&lt;&gt;"Dépendance",0,Base[[#This Row],['[SC']Coût_total_dépendance]]/Base[[#This Row],[Population_totale]])</f>
        <v>0</v>
      </c>
      <c r="AQ105" s="4">
        <f>IF(Base[[#This Row],[Pathologie]]&lt;&gt;"Dépendance",0,4.5)</f>
        <v>0</v>
      </c>
      <c r="AR105" s="4">
        <v>0.50393265050357905</v>
      </c>
      <c r="AS105" s="4">
        <f>Base[[#This Row],[Espérance_vie]]+Base[[#This Row],['[SC']Hausse_esp_de_vie]]-Base[[#This Row],['[SC']Durée_moyenne_dépendance_avt]]+Base[[#This Row],[Risque]]</f>
        <v>82.920758086218328</v>
      </c>
      <c r="AT1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5" s="4">
        <v>62.9</v>
      </c>
      <c r="AW105" s="4">
        <f t="shared" si="0"/>
        <v>336905600000</v>
      </c>
      <c r="AX105" s="4">
        <v>15049171</v>
      </c>
      <c r="AY105" s="4">
        <f>Base[[#This Row],['[SC']Budget_total_retraites]]/Base[[#This Row],['[SC']Nombre_de_retraités]]</f>
        <v>22386.987296509556</v>
      </c>
      <c r="AZ105" s="4">
        <f>Base[[#This Row],['[SC']Budget_par_retraité]]*Base[[#This Row],['[SC']Nb_personnes_dépendantes]]</f>
        <v>0</v>
      </c>
      <c r="BA105" s="4">
        <f>Base[[#This Row],['[SC']'[Dépendance']Coût_retraite_personnes_dépendantes]]/Base[[#This Row],[Population_totale]]</f>
        <v>0</v>
      </c>
      <c r="BB10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5" s="4">
        <f>Base[[#This Row],['[SC']'[Dépendance']Gains]]-Base[[#This Row],['[SC']'[Dépendance']Coûts]]</f>
        <v>0</v>
      </c>
      <c r="BD105" s="4">
        <f>IF(Base[[#This Row],[Pathologie]]&lt;&gt;"Mort prématurée",0,Base[[#This Row],[Risque]]*Base[[#This Row],[Prévalence]]*Base[[#This Row],[Population_totale]])</f>
        <v>0</v>
      </c>
      <c r="BE105" s="4">
        <v>52.74</v>
      </c>
      <c r="BF105" s="4">
        <f>Base[[#This Row],['[SC']Âge_moyen_retraite]]-Base[[#This Row],['[SC']'[Mort_prématurée']Âge_moyen_mort précoce]]</f>
        <v>10.159999999999997</v>
      </c>
      <c r="BG105" s="4">
        <f>Base[[#This Row],[Espérance_vie]]+Base[[#This Row],['[SC']Hausse_esp_de_vie]]-Base[[#This Row],['[SC']Âge_moyen_retraite]]</f>
        <v>19.90101171382144</v>
      </c>
      <c r="BH105" s="4">
        <v>106583.42676924677</v>
      </c>
      <c r="BI105" s="4">
        <v>97601.789429271477</v>
      </c>
      <c r="BJ105" s="4">
        <v>302038.31496633729</v>
      </c>
      <c r="BK105" s="4">
        <v>117293.58934859755</v>
      </c>
      <c r="BL105" s="4">
        <v>1523999.9999999995</v>
      </c>
      <c r="BM1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5" s="4">
        <v>294804.96027377353</v>
      </c>
      <c r="BO1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5" s="4">
        <f>(Base[[#This Row],['[SC']'[Mort_prématurée']Gains]]-Base[[#This Row],['[SC']'[Mort_prématurée']Coûts]])/Base[[#This Row],[Population_totale]]</f>
        <v>0</v>
      </c>
      <c r="BQ105" s="4">
        <f>IF(Base[[#This Row],[Pathologie]]&lt;&gt;"Mort prématurée",0,Base[[#This Row],[Risque]])</f>
        <v>0</v>
      </c>
      <c r="BR105" s="4">
        <v>2680</v>
      </c>
      <c r="BS1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5" s="4">
        <f>Base[[#This Row],[Prévalence_prod]]*(1-Base[[#This Row],[Risque]])*Base[[#This Row],[Durée_arrêt]]*Base[[#This Row],[Population_emploi]]</f>
        <v>17120783.315259226</v>
      </c>
      <c r="BV105" s="4">
        <f>Base[[#This Row],['[Prod']'[Absentéisme']Total_jours_absence_avant]]-Base[[#This Row],['[Prod']'[Absentéisme']Total_jours_absence_après]]</f>
        <v>2329046.5728360154</v>
      </c>
      <c r="BW105" s="4">
        <f>IF(AND(Base[[#This Row],[Pathologie]]&lt;&gt;"Dépendance",Base[[#This Row],[Pathologie]]&lt;&gt;"Mort prématurée",Base[[#This Row],[Pathologie]]&lt;&gt;"Migraine"),0.0619,0)</f>
        <v>6.1899999999999997E-2</v>
      </c>
      <c r="BX105" s="4">
        <v>254</v>
      </c>
      <c r="BY10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5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5" s="4">
        <f>Base[[#This Row],[Prévalence_prod]]*Base[[#This Row],[Présentéisme]]*Base[[#This Row],['[Prod']Jours_ouvrés]]</f>
        <v>0.15098463934186357</v>
      </c>
      <c r="CB105" s="4">
        <f>Base[[#This Row],[Prévalence_prod]]*(1-Base[[#This Row],[Risque]])*Base[[#This Row],[Présentéisme]]*Base[[#This Row],['[Prod']Jours_ouvrés]]</f>
        <v>0.13290477649302265</v>
      </c>
      <c r="CC105" s="4">
        <f>Base[[#This Row],['[Prod']'[Présentéisme']Jours_avant]]-Base[[#This Row],['[Prod']'[Présentéisme']Jours_après]]</f>
        <v>1.8079862848840916E-2</v>
      </c>
      <c r="CD105" s="4">
        <f>Base[[#This Row],['[Prod']'[Présentéisme']Jours_gagnés]]/Base[[#This Row],['[Prod']Jours_ouvrés]]</f>
        <v>7.1180562397011481E-5</v>
      </c>
      <c r="CE105">
        <v>5.8333039429220801E-2</v>
      </c>
      <c r="CF105">
        <v>1.4658164114728258E-2</v>
      </c>
      <c r="CG105" s="4">
        <v>11</v>
      </c>
      <c r="CH105" s="4">
        <v>1.1593596509901765</v>
      </c>
      <c r="CI105" s="4">
        <v>4.0741311947357597E-2</v>
      </c>
      <c r="CJ105" s="4">
        <f>IF(Base[[#This Row],[Secteur]]&lt;&gt;"Moyenne",Base[[#This Row],['[Prod']'[Turnover']DMC_initiale]]*(1+Base[[#This Row],['[Prod']'[Turnover']Ecart_accidents]]*Base[[#This Row],['[Prod']Impact_motifs_turnover]]),CJ88*CI88+CJ89*CI89+CJ90*CI90+CJ91*CI91+CJ92*CI92+CJ93*CI93+CJ94*CI94+CJ95*CI95+CJ96*CI96+CJ97*CI97+CJ98*CI98+CJ99*CI99+CJ100*CI100+CJ101*CI101+CJ102*CI102+CJ103*CI103+CJ104*CI104)</f>
        <v>11.186934924354288</v>
      </c>
      <c r="CK105" s="4">
        <f>1/Base[[#This Row],['[Prod']'[Turnover']DMC_initiale]]</f>
        <v>9.0909090909090912E-2</v>
      </c>
      <c r="CL105" s="4">
        <f>1/Base[[#This Row],['[Prod']'[Turnover']DMC_finale]]</f>
        <v>8.9389989908940148E-2</v>
      </c>
    </row>
    <row r="106" spans="2:90" x14ac:dyDescent="0.25">
      <c r="B106" s="4" t="s">
        <v>332</v>
      </c>
      <c r="C106">
        <v>7.5</v>
      </c>
      <c r="D106" t="s">
        <v>84</v>
      </c>
      <c r="E106" t="s">
        <v>6</v>
      </c>
      <c r="F106" s="3">
        <v>0.11974637239689005</v>
      </c>
      <c r="G106" s="3">
        <v>8.741584028593305E-3</v>
      </c>
      <c r="H106" s="3">
        <v>8.741584028593305E-3</v>
      </c>
      <c r="I106" s="3">
        <v>6.8000000000000005E-2</v>
      </c>
      <c r="J106" s="3">
        <v>16.260750000000002</v>
      </c>
      <c r="K106" s="3">
        <v>7.0000000000000007E-2</v>
      </c>
      <c r="L106" s="2">
        <f>Base[[#This Row],[Coût]]*Base[[#This Row],[Part_ménages_dépenses_santé]]</f>
        <v>1.1382525000000001</v>
      </c>
      <c r="M106" s="2">
        <v>0.99809973356799431</v>
      </c>
      <c r="N106" s="6">
        <v>27700000</v>
      </c>
      <c r="O106" s="7">
        <f>Base[[#This Row],[Coût_salarié]]*10^9*Base[[#This Row],[Risque]]*Base[[#This Row],[Prévalence]]*Base[[#This Row],[Part_coûts_salarié]]/Base[[#This Row],[Population_emploi]]</f>
        <v>4.2932411739332398E-2</v>
      </c>
      <c r="P106">
        <v>50</v>
      </c>
      <c r="Q106">
        <v>50</v>
      </c>
      <c r="R106" s="2">
        <v>9.9999999999999978E-2</v>
      </c>
      <c r="S106" s="2">
        <v>0.33340000000000003</v>
      </c>
      <c r="T106" s="4">
        <v>8.741584028593305E-3</v>
      </c>
      <c r="U106" s="4">
        <f>IF(Bases_annexes!$F$5=0,16.6587111018772,0.77*Bases_annexes!$F$5/(IF(OR(ISBLANK('Données_d''entrée'!$E$44),'Données_d''entrée'!$E$44=0),35,'Données_d''entrée'!$E$44)*52))</f>
        <v>16.658711101877199</v>
      </c>
      <c r="V106" s="4">
        <v>80.324106187301894</v>
      </c>
      <c r="W1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0.62445178490217967</v>
      </c>
      <c r="X106" s="4">
        <v>234.5</v>
      </c>
      <c r="Y106" s="4">
        <f>(Base[[#This Row],['[Maladies']Coûts_évités_par_salarié]]+Base[[#This Row],['[Travail']Coûts_évités_par_salarié]])/Base[[#This Row],[Budget_santé_salarié]]</f>
        <v>2.8459880453795823E-3</v>
      </c>
      <c r="Z106" s="4">
        <v>0.8</v>
      </c>
      <c r="AA106" s="4">
        <f>Base[[#This Row],[Coût]]*Base[[#This Row],[Part_société_dépenses_santé]]</f>
        <v>13.008600000000001</v>
      </c>
      <c r="AB106" s="4">
        <v>67635124</v>
      </c>
      <c r="AC106" s="4">
        <v>82.297079063317852</v>
      </c>
      <c r="AD106" s="4">
        <v>8.741584028593305E-3</v>
      </c>
      <c r="AE106" s="4">
        <f>Base[[#This Row],['[SC']Prévalence_travail]]*Base[[#This Row],[Population_emploi]]</f>
        <v>242141.87759203455</v>
      </c>
      <c r="AF106" s="4">
        <f>Base[[#This Row],[Risque]]*Base[[#This Row],['[SC']Patients_en_emploi]]</f>
        <v>28995.611447017935</v>
      </c>
      <c r="AG106" s="4">
        <v>1022040000</v>
      </c>
      <c r="AH106" s="4">
        <f>IFERROR(Base[[#This Row],['[SC']Prestations]]/Base[[#This Row],['[SC']Patients_en_emploi]],0)</f>
        <v>4220.8312340005614</v>
      </c>
      <c r="AI106" s="4">
        <v>51.7</v>
      </c>
      <c r="AJ1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122385582.44451751</v>
      </c>
      <c r="AK106" s="4">
        <f>Base[[#This Row],['[SC']'[Travail']Coûts_évités]]/Base[[#This Row],[Population_emploi]]</f>
        <v>4.4182520738092963</v>
      </c>
      <c r="AL106" s="4">
        <f>Base[[#This Row],[Coût_société]]*10^9*Base[[#This Row],[Risque]]*Base[[#This Row],[Prévalence]]*Base[[#This Row],[Part_coûts_salarié]]/Base[[#This Row],[Population_emploi]]</f>
        <v>0.49065613416379883</v>
      </c>
      <c r="AM106" s="4">
        <f>IF(Base[[#This Row],[Pathologie]]&lt;&gt;"Dépendance",0,14909.24243952)</f>
        <v>0</v>
      </c>
      <c r="AN106" s="4">
        <f>IF(Base[[#This Row],[Pathologie]]&lt;&gt;"Dépendance",0,1316000)</f>
        <v>0</v>
      </c>
      <c r="AO106" s="4">
        <f>IF(Base[[#This Row],[Pathologie]]&lt;&gt;"Dépendance",0,Base[[#This Row],['[SC']Coût_personne_dépendante]]*Base[[#This Row],['[SC']Nb_personnes_dépendantes]])</f>
        <v>0</v>
      </c>
      <c r="AP106" s="4">
        <f>IF(Base[[#This Row],[Pathologie]]&lt;&gt;"Dépendance",0,Base[[#This Row],['[SC']Coût_total_dépendance]]/Base[[#This Row],[Population_totale]])</f>
        <v>0</v>
      </c>
      <c r="AQ106" s="4">
        <f>IF(Base[[#This Row],[Pathologie]]&lt;&gt;"Dépendance",0,4.5)</f>
        <v>0</v>
      </c>
      <c r="AR106" s="4">
        <v>0.50393265050357905</v>
      </c>
      <c r="AS106" s="4">
        <f>Base[[#This Row],[Espérance_vie]]+Base[[#This Row],['[SC']Hausse_esp_de_vie]]-Base[[#This Row],['[SC']Durée_moyenne_dépendance_avt]]+Base[[#This Row],[Risque]]</f>
        <v>82.920758086218328</v>
      </c>
      <c r="AT1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6" s="4">
        <v>62.9</v>
      </c>
      <c r="AW106" s="4">
        <f t="shared" si="0"/>
        <v>336905600000</v>
      </c>
      <c r="AX106" s="4">
        <v>15049171</v>
      </c>
      <c r="AY106" s="4">
        <f>Base[[#This Row],['[SC']Budget_total_retraites]]/Base[[#This Row],['[SC']Nombre_de_retraités]]</f>
        <v>22386.987296509556</v>
      </c>
      <c r="AZ106" s="4">
        <f>Base[[#This Row],['[SC']Budget_par_retraité]]*Base[[#This Row],['[SC']Nb_personnes_dépendantes]]</f>
        <v>0</v>
      </c>
      <c r="BA106" s="4">
        <f>Base[[#This Row],['[SC']'[Dépendance']Coût_retraite_personnes_dépendantes]]/Base[[#This Row],[Population_totale]]</f>
        <v>0</v>
      </c>
      <c r="BB10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6" s="4">
        <f>Base[[#This Row],['[SC']'[Dépendance']Gains]]-Base[[#This Row],['[SC']'[Dépendance']Coûts]]</f>
        <v>0</v>
      </c>
      <c r="BD106" s="4">
        <f>IF(Base[[#This Row],[Pathologie]]&lt;&gt;"Mort prématurée",0,Base[[#This Row],[Risque]]*Base[[#This Row],[Prévalence]]*Base[[#This Row],[Population_totale]])</f>
        <v>0</v>
      </c>
      <c r="BE106" s="4">
        <v>52.74</v>
      </c>
      <c r="BF106" s="4">
        <f>Base[[#This Row],['[SC']Âge_moyen_retraite]]-Base[[#This Row],['[SC']'[Mort_prématurée']Âge_moyen_mort précoce]]</f>
        <v>10.159999999999997</v>
      </c>
      <c r="BG106" s="4">
        <f>Base[[#This Row],[Espérance_vie]]+Base[[#This Row],['[SC']Hausse_esp_de_vie]]-Base[[#This Row],['[SC']Âge_moyen_retraite]]</f>
        <v>19.90101171382144</v>
      </c>
      <c r="BH106" s="4">
        <v>106583.42676924677</v>
      </c>
      <c r="BI106" s="4">
        <v>97601.789429271477</v>
      </c>
      <c r="BJ106" s="4">
        <v>302038.31496633729</v>
      </c>
      <c r="BK106" s="4">
        <v>117293.58934859755</v>
      </c>
      <c r="BL106" s="4">
        <v>1523999.9999999995</v>
      </c>
      <c r="BM1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6" s="4">
        <v>294804.96027377353</v>
      </c>
      <c r="BO1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6" s="4">
        <f>(Base[[#This Row],['[SC']'[Mort_prématurée']Gains]]-Base[[#This Row],['[SC']'[Mort_prématurée']Coûts]])/Base[[#This Row],[Population_totale]]</f>
        <v>0</v>
      </c>
      <c r="BQ106" s="4">
        <f>IF(Base[[#This Row],[Pathologie]]&lt;&gt;"Mort prématurée",0,Base[[#This Row],[Risque]])</f>
        <v>0</v>
      </c>
      <c r="BR106" s="4">
        <v>2680</v>
      </c>
      <c r="BS1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1.83168216715414E-3</v>
      </c>
      <c r="BT1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106" s="4">
        <f>Base[[#This Row],[Prévalence_prod]]*(1-Base[[#This Row],[Risque]])*Base[[#This Row],[Durée_arrêt]]*Base[[#This Row],[Population_emploi]]</f>
        <v>17120783.315259226</v>
      </c>
      <c r="BV106" s="4">
        <f>Base[[#This Row],['[Prod']'[Absentéisme']Total_jours_absence_avant]]-Base[[#This Row],['[Prod']'[Absentéisme']Total_jours_absence_après]]</f>
        <v>2329046.5728360154</v>
      </c>
      <c r="BW106" s="4">
        <f>IF(AND(Base[[#This Row],[Pathologie]]&lt;&gt;"Dépendance",Base[[#This Row],[Pathologie]]&lt;&gt;"Mort prématurée",Base[[#This Row],[Pathologie]]&lt;&gt;"Migraine"),0.0619,0)</f>
        <v>6.1899999999999997E-2</v>
      </c>
      <c r="BX106" s="4">
        <v>254</v>
      </c>
      <c r="BY10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106" s="4">
        <f>(Base[[#This Row],['[Prod']'[Absentéisme']Jours_théoriques]]-Base[[#This Row],['[Prod']'[Absentéisme']Total_jours_absence_évités]])/(Base[[#This Row],[Population_emploi]]*Base[[#This Row],['[Prod']Jours_ouvrés]])</f>
        <v>5.3734884949586201E-3</v>
      </c>
      <c r="CA106" s="4">
        <f>Base[[#This Row],[Prévalence_prod]]*Base[[#This Row],[Présentéisme]]*Base[[#This Row],['[Prod']Jours_ouvrés]]</f>
        <v>0.15098463934186357</v>
      </c>
      <c r="CB106" s="4">
        <f>Base[[#This Row],[Prévalence_prod]]*(1-Base[[#This Row],[Risque]])*Base[[#This Row],[Présentéisme]]*Base[[#This Row],['[Prod']Jours_ouvrés]]</f>
        <v>0.13290477649302265</v>
      </c>
      <c r="CC106" s="4">
        <f>Base[[#This Row],['[Prod']'[Présentéisme']Jours_avant]]-Base[[#This Row],['[Prod']'[Présentéisme']Jours_après]]</f>
        <v>1.8079862848840916E-2</v>
      </c>
      <c r="CD106" s="4">
        <f>Base[[#This Row],['[Prod']'[Présentéisme']Jours_gagnés]]/Base[[#This Row],['[Prod']Jours_ouvrés]]</f>
        <v>7.1180562397011481E-5</v>
      </c>
      <c r="CE106">
        <v>5.8333039429220801E-2</v>
      </c>
      <c r="CF106">
        <v>1.4658164114728258E-2</v>
      </c>
      <c r="CG106" s="4">
        <v>11</v>
      </c>
      <c r="CH106" s="4">
        <v>0.85076983926913452</v>
      </c>
      <c r="CI106" s="4">
        <v>0</v>
      </c>
      <c r="CJ106" s="4">
        <f>IF(Base[[#This Row],[Secteur]]&lt;&gt;"Moyenne",Base[[#This Row],['[Prod']'[Turnover']DMC_initiale]]*(1+Base[[#This Row],['[Prod']'[Turnover']Ecart_accidents]]*Base[[#This Row],['[Prod']Impact_motifs_turnover]]),CJ89*CI89+CJ90*CI90+CJ91*CI91+CJ92*CI92+CJ93*CI93+CJ94*CI94+CJ95*CI95+CJ96*CI96+CJ97*CI97+CJ98*CI98+CJ99*CI99+CJ100*CI100+CJ101*CI101+CJ102*CI102+CJ103*CI103+CJ104*CI104+CJ105*CI105)</f>
        <v>11.137177963206547</v>
      </c>
      <c r="CK106" s="4">
        <f>1/Base[[#This Row],['[Prod']'[Turnover']DMC_initiale]]</f>
        <v>9.0909090909090912E-2</v>
      </c>
      <c r="CL106" s="4">
        <f>1/Base[[#This Row],['[Prod']'[Turnover']DMC_finale]]</f>
        <v>8.9789352680154741E-2</v>
      </c>
    </row>
    <row r="107" spans="2:90" x14ac:dyDescent="0.25">
      <c r="B107" s="4" t="s">
        <v>315</v>
      </c>
      <c r="C107">
        <v>7.5</v>
      </c>
      <c r="D107" t="s">
        <v>84</v>
      </c>
      <c r="E107" t="s">
        <v>8</v>
      </c>
      <c r="F107" s="3">
        <v>0.10477807584727883</v>
      </c>
      <c r="G107" s="3">
        <v>4.1000000000000002E-2</v>
      </c>
      <c r="H107" s="3">
        <v>4.1000000000000002E-2</v>
      </c>
      <c r="I107" s="3">
        <v>0.17199999999999999</v>
      </c>
      <c r="J107" s="3">
        <v>3.8954334592466999</v>
      </c>
      <c r="K107" s="3">
        <v>7.0000000000000007E-2</v>
      </c>
      <c r="L107" s="2">
        <f>Base[[#This Row],[Coût]]*Base[[#This Row],[Part_ménages_dépenses_santé]]</f>
        <v>0.27268034214726899</v>
      </c>
      <c r="M107" s="2">
        <v>0.82690611956969029</v>
      </c>
      <c r="N107" s="6">
        <v>27700000</v>
      </c>
      <c r="O107" s="7">
        <f>Base[[#This Row],[Coût_salarié]]*10^9*Base[[#This Row],[Risque]]*Base[[#This Row],[Prévalence]]*Base[[#This Row],[Part_coûts_salarié]]/Base[[#This Row],[Population_emploi]]</f>
        <v>3.4969107056328594E-2</v>
      </c>
      <c r="P107">
        <v>50</v>
      </c>
      <c r="Q107">
        <v>50</v>
      </c>
      <c r="R107" s="2">
        <v>9.9999999999999978E-2</v>
      </c>
      <c r="S107" s="2">
        <v>0.33340000000000003</v>
      </c>
      <c r="T107" s="4">
        <v>4.1000000000000002E-2</v>
      </c>
      <c r="U107" s="4">
        <f>IF(Bases_annexes!$F$5=0,16.6587111018772,0.77*Bases_annexes!$F$5/(IF(OR(ISBLANK('Données_d''entrée'!$E$44),'Données_d''entrée'!$E$44=0),35,'Données_d''entrée'!$E$44)*52))</f>
        <v>16.658711101877199</v>
      </c>
      <c r="V107" s="4">
        <v>6.5286422873795198</v>
      </c>
      <c r="W1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07" s="4">
        <v>234.5</v>
      </c>
      <c r="Y107" s="4">
        <f>(Base[[#This Row],['[Maladies']Coûts_évités_par_salarié]]+Base[[#This Row],['[Travail']Coûts_évités_par_salarié]])/Base[[#This Row],[Budget_santé_salarié]]</f>
        <v>7.3116582342331688E-3</v>
      </c>
      <c r="Z107" s="4">
        <v>0.8</v>
      </c>
      <c r="AA107" s="4">
        <f>Base[[#This Row],[Coût]]*Base[[#This Row],[Part_société_dépenses_santé]]</f>
        <v>3.1163467673973599</v>
      </c>
      <c r="AB107" s="4">
        <v>67635124</v>
      </c>
      <c r="AC107" s="4">
        <v>82.297079063317852</v>
      </c>
      <c r="AD107" s="4">
        <v>0.11599999999999999</v>
      </c>
      <c r="AE107" s="4">
        <f>Base[[#This Row],['[SC']Prévalence_travail]]*Base[[#This Row],[Population_emploi]]</f>
        <v>3213200</v>
      </c>
      <c r="AF107" s="4">
        <f>Base[[#This Row],[Risque]]*Base[[#This Row],['[SC']Patients_en_emploi]]</f>
        <v>336672.91331247636</v>
      </c>
      <c r="AG107" s="4">
        <v>552654220.25999999</v>
      </c>
      <c r="AH107" s="4">
        <f>IFERROR(Base[[#This Row],['[SC']Prestations]]/Base[[#This Row],['[SC']Patients_en_emploi]],0)</f>
        <v>171.99496460226564</v>
      </c>
      <c r="AI107" s="4">
        <v>51.7</v>
      </c>
      <c r="AJ1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07" s="4">
        <f>Base[[#This Row],['[SC']'[Travail']Coûts_évités]]/Base[[#This Row],[Population_emploi]]</f>
        <v>2.0904709677877622</v>
      </c>
      <c r="AL107" s="4">
        <f>Base[[#This Row],[Coût_société]]*10^9*Base[[#This Row],[Risque]]*Base[[#This Row],[Prévalence]]*Base[[#This Row],[Part_coûts_salarié]]/Base[[#This Row],[Population_emploi]]</f>
        <v>0.39964693778661253</v>
      </c>
      <c r="AM107" s="4">
        <f>IF(Base[[#This Row],[Pathologie]]&lt;&gt;"Dépendance",0,14909.24243952)</f>
        <v>0</v>
      </c>
      <c r="AN107" s="4">
        <f>IF(Base[[#This Row],[Pathologie]]&lt;&gt;"Dépendance",0,1316000)</f>
        <v>0</v>
      </c>
      <c r="AO107" s="4">
        <f>IF(Base[[#This Row],[Pathologie]]&lt;&gt;"Dépendance",0,Base[[#This Row],['[SC']Coût_personne_dépendante]]*Base[[#This Row],['[SC']Nb_personnes_dépendantes]])</f>
        <v>0</v>
      </c>
      <c r="AP107" s="4">
        <f>IF(Base[[#This Row],[Pathologie]]&lt;&gt;"Dépendance",0,Base[[#This Row],['[SC']Coût_total_dépendance]]/Base[[#This Row],[Population_totale]])</f>
        <v>0</v>
      </c>
      <c r="AQ107" s="4">
        <f>IF(Base[[#This Row],[Pathologie]]&lt;&gt;"Dépendance",0,4.5)</f>
        <v>0</v>
      </c>
      <c r="AR107" s="4">
        <v>0.50393265050357905</v>
      </c>
      <c r="AS107" s="4">
        <f>Base[[#This Row],[Espérance_vie]]+Base[[#This Row],['[SC']Hausse_esp_de_vie]]-Base[[#This Row],['[SC']Durée_moyenne_dépendance_avt]]+Base[[#This Row],[Risque]]</f>
        <v>82.905789789668717</v>
      </c>
      <c r="AT1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7" s="4">
        <v>62.9</v>
      </c>
      <c r="AW107" s="4">
        <f t="shared" si="0"/>
        <v>336905600000</v>
      </c>
      <c r="AX107" s="4">
        <v>15049171</v>
      </c>
      <c r="AY107" s="4">
        <f>Base[[#This Row],['[SC']Budget_total_retraites]]/Base[[#This Row],['[SC']Nombre_de_retraités]]</f>
        <v>22386.987296509556</v>
      </c>
      <c r="AZ107" s="4">
        <f>Base[[#This Row],['[SC']Budget_par_retraité]]*Base[[#This Row],['[SC']Nb_personnes_dépendantes]]</f>
        <v>0</v>
      </c>
      <c r="BA107" s="4">
        <f>Base[[#This Row],['[SC']'[Dépendance']Coût_retraite_personnes_dépendantes]]/Base[[#This Row],[Population_totale]]</f>
        <v>0</v>
      </c>
      <c r="BB10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7" s="4">
        <f>Base[[#This Row],['[SC']'[Dépendance']Gains]]-Base[[#This Row],['[SC']'[Dépendance']Coûts]]</f>
        <v>0</v>
      </c>
      <c r="BD107" s="4">
        <f>IF(Base[[#This Row],[Pathologie]]&lt;&gt;"Mort prématurée",0,Base[[#This Row],[Risque]]*Base[[#This Row],[Prévalence]]*Base[[#This Row],[Population_totale]])</f>
        <v>0</v>
      </c>
      <c r="BE107" s="4">
        <v>52.74</v>
      </c>
      <c r="BF107" s="4">
        <f>Base[[#This Row],['[SC']Âge_moyen_retraite]]-Base[[#This Row],['[SC']'[Mort_prématurée']Âge_moyen_mort précoce]]</f>
        <v>10.159999999999997</v>
      </c>
      <c r="BG107" s="4">
        <f>Base[[#This Row],[Espérance_vie]]+Base[[#This Row],['[SC']Hausse_esp_de_vie]]-Base[[#This Row],['[SC']Âge_moyen_retraite]]</f>
        <v>19.90101171382144</v>
      </c>
      <c r="BH107" s="4">
        <v>106583.42676924677</v>
      </c>
      <c r="BI107" s="4">
        <v>97601.789429271477</v>
      </c>
      <c r="BJ107" s="4">
        <v>302038.31496633729</v>
      </c>
      <c r="BK107" s="4">
        <v>117293.58934859755</v>
      </c>
      <c r="BL107" s="4">
        <v>1523999.9999999995</v>
      </c>
      <c r="BM1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7" s="4">
        <v>294804.96027377353</v>
      </c>
      <c r="BO1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7" s="4">
        <f>(Base[[#This Row],['[SC']'[Mort_prématurée']Gains]]-Base[[#This Row],['[SC']'[Mort_prématurée']Coûts]])/Base[[#This Row],[Population_totale]]</f>
        <v>0</v>
      </c>
      <c r="BQ107" s="4">
        <f>IF(Base[[#This Row],[Pathologie]]&lt;&gt;"Mort prématurée",0,Base[[#This Row],[Risque]])</f>
        <v>0</v>
      </c>
      <c r="BR107" s="4">
        <v>2680</v>
      </c>
      <c r="BS1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07" s="4">
        <f>Base[[#This Row],[Prévalence_prod]]*(1-Base[[#This Row],[Risque]])*Base[[#This Row],[Durée_arrêt]]*Base[[#This Row],[Population_emploi]]</f>
        <v>6637693.7201428628</v>
      </c>
      <c r="BV107" s="4">
        <f>Base[[#This Row],['[Prod']'[Absentéisme']Total_jours_absence_avant]]-Base[[#This Row],['[Prod']'[Absentéisme']Total_jours_absence_après]]</f>
        <v>776885.32563405856</v>
      </c>
      <c r="BW107" s="4">
        <f>IF(AND(Base[[#This Row],[Pathologie]]&lt;&gt;"Dépendance",Base[[#This Row],[Pathologie]]&lt;&gt;"Mort prématurée",Base[[#This Row],[Pathologie]]&lt;&gt;"Migraine"),0.0619,0)</f>
        <v>6.1899999999999997E-2</v>
      </c>
      <c r="BX107" s="4">
        <v>254</v>
      </c>
      <c r="BY107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07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07" s="4">
        <f>Base[[#This Row],[Prévalence_prod]]*Base[[#This Row],[Présentéisme]]*Base[[#This Row],['[Prod']Jours_ouvrés]]</f>
        <v>1.7912080000000001</v>
      </c>
      <c r="CB107" s="4">
        <f>Base[[#This Row],[Prévalence_prod]]*(1-Base[[#This Row],[Risque]])*Base[[#This Row],[Présentéisme]]*Base[[#This Row],['[Prod']Jours_ouvrés]]</f>
        <v>1.6035286723177473</v>
      </c>
      <c r="CC107" s="4">
        <f>Base[[#This Row],['[Prod']'[Présentéisme']Jours_avant]]-Base[[#This Row],['[Prod']'[Présentéisme']Jours_après]]</f>
        <v>0.18767932768225282</v>
      </c>
      <c r="CD107" s="4">
        <f>Base[[#This Row],['[Prod']'[Présentéisme']Jours_gagnés]]/Base[[#This Row],['[Prod']Jours_ouvrés]]</f>
        <v>7.3889499087501109E-4</v>
      </c>
      <c r="CE107">
        <v>5.8333039429220801E-2</v>
      </c>
      <c r="CF107">
        <v>1.4658164114728258E-2</v>
      </c>
      <c r="CG107" s="4">
        <v>11</v>
      </c>
      <c r="CH107" s="4">
        <v>1.3966184516047948</v>
      </c>
      <c r="CI107" s="4">
        <v>1.4392894727292521E-2</v>
      </c>
      <c r="CJ107" s="4">
        <f>IF(Base[[#This Row],[Secteur]]&lt;&gt;"Moyenne",Base[[#This Row],['[Prod']'[Turnover']DMC_initiale]]*(1+Base[[#This Row],['[Prod']'[Turnover']Ecart_accidents]]*Base[[#This Row],['[Prod']Impact_motifs_turnover]]),CJ90*CI90+CJ91*CI91+CJ92*CI92+CJ93*CI93+CJ94*CI94+CJ95*CI95+CJ96*CI96+CJ97*CI97+CJ98*CI98+CJ99*CI99+CJ100*CI100+CJ101*CI101+CJ102*CI102+CJ103*CI103+CJ104*CI104+CJ105*CI105+CJ106*CI106)</f>
        <v>11.225190487162088</v>
      </c>
      <c r="CK107" s="4">
        <f>1/Base[[#This Row],['[Prod']'[Turnover']DMC_initiale]]</f>
        <v>9.0909090909090912E-2</v>
      </c>
      <c r="CL107" s="4">
        <f>1/Base[[#This Row],['[Prod']'[Turnover']DMC_finale]]</f>
        <v>8.9085347918475846E-2</v>
      </c>
    </row>
    <row r="108" spans="2:90" x14ac:dyDescent="0.25">
      <c r="B108" s="4" t="s">
        <v>316</v>
      </c>
      <c r="C108">
        <v>7.5</v>
      </c>
      <c r="D108" t="s">
        <v>84</v>
      </c>
      <c r="E108" t="s">
        <v>8</v>
      </c>
      <c r="F108" s="3">
        <v>0.10477807584727883</v>
      </c>
      <c r="G108" s="3">
        <v>4.1000000000000002E-2</v>
      </c>
      <c r="H108" s="3">
        <v>4.1000000000000002E-2</v>
      </c>
      <c r="I108" s="3">
        <v>0.17199999999999999</v>
      </c>
      <c r="J108" s="3">
        <v>3.8954334592466999</v>
      </c>
      <c r="K108" s="3">
        <v>7.0000000000000007E-2</v>
      </c>
      <c r="L108" s="2">
        <f>Base[[#This Row],[Coût]]*Base[[#This Row],[Part_ménages_dépenses_santé]]</f>
        <v>0.27268034214726899</v>
      </c>
      <c r="M108" s="2">
        <v>0.82690611956969029</v>
      </c>
      <c r="N108" s="6">
        <v>27700000</v>
      </c>
      <c r="O108" s="7">
        <f>Base[[#This Row],[Coût_salarié]]*10^9*Base[[#This Row],[Risque]]*Base[[#This Row],[Prévalence]]*Base[[#This Row],[Part_coûts_salarié]]/Base[[#This Row],[Population_emploi]]</f>
        <v>3.4969107056328594E-2</v>
      </c>
      <c r="P108">
        <v>50</v>
      </c>
      <c r="Q108">
        <v>50</v>
      </c>
      <c r="R108" s="2">
        <v>9.9999999999999978E-2</v>
      </c>
      <c r="S108" s="2">
        <v>0.33340000000000003</v>
      </c>
      <c r="T108" s="4">
        <v>4.1000000000000002E-2</v>
      </c>
      <c r="U108" s="4">
        <f>IF(Bases_annexes!$F$5=0,16.6587111018772,0.77*Bases_annexes!$F$5/(IF(OR(ISBLANK('Données_d''entrée'!$E$44),'Données_d''entrée'!$E$44=0),35,'Données_d''entrée'!$E$44)*52))</f>
        <v>16.658711101877199</v>
      </c>
      <c r="V108" s="4">
        <v>6.5286422873795198</v>
      </c>
      <c r="W1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08" s="4">
        <v>234.5</v>
      </c>
      <c r="Y108" s="4">
        <f>(Base[[#This Row],['[Maladies']Coûts_évités_par_salarié]]+Base[[#This Row],['[Travail']Coûts_évités_par_salarié]])/Base[[#This Row],[Budget_santé_salarié]]</f>
        <v>7.3116582342331688E-3</v>
      </c>
      <c r="Z108" s="4">
        <v>0.8</v>
      </c>
      <c r="AA108" s="4">
        <f>Base[[#This Row],[Coût]]*Base[[#This Row],[Part_société_dépenses_santé]]</f>
        <v>3.1163467673973599</v>
      </c>
      <c r="AB108" s="4">
        <v>67635124</v>
      </c>
      <c r="AC108" s="4">
        <v>82.297079063317852</v>
      </c>
      <c r="AD108" s="4">
        <v>0.11599999999999999</v>
      </c>
      <c r="AE108" s="4">
        <f>Base[[#This Row],['[SC']Prévalence_travail]]*Base[[#This Row],[Population_emploi]]</f>
        <v>3213200</v>
      </c>
      <c r="AF108" s="4">
        <f>Base[[#This Row],[Risque]]*Base[[#This Row],['[SC']Patients_en_emploi]]</f>
        <v>336672.91331247636</v>
      </c>
      <c r="AG108" s="4">
        <v>552654220.25999999</v>
      </c>
      <c r="AH108" s="4">
        <f>IFERROR(Base[[#This Row],['[SC']Prestations]]/Base[[#This Row],['[SC']Patients_en_emploi]],0)</f>
        <v>171.99496460226564</v>
      </c>
      <c r="AI108" s="4">
        <v>51.7</v>
      </c>
      <c r="AJ1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08" s="4">
        <f>Base[[#This Row],['[SC']'[Travail']Coûts_évités]]/Base[[#This Row],[Population_emploi]]</f>
        <v>2.0904709677877622</v>
      </c>
      <c r="AL108" s="4">
        <f>Base[[#This Row],[Coût_société]]*10^9*Base[[#This Row],[Risque]]*Base[[#This Row],[Prévalence]]*Base[[#This Row],[Part_coûts_salarié]]/Base[[#This Row],[Population_emploi]]</f>
        <v>0.39964693778661253</v>
      </c>
      <c r="AM108" s="4">
        <f>IF(Base[[#This Row],[Pathologie]]&lt;&gt;"Dépendance",0,14909.24243952)</f>
        <v>0</v>
      </c>
      <c r="AN108" s="4">
        <f>IF(Base[[#This Row],[Pathologie]]&lt;&gt;"Dépendance",0,1316000)</f>
        <v>0</v>
      </c>
      <c r="AO108" s="4">
        <f>IF(Base[[#This Row],[Pathologie]]&lt;&gt;"Dépendance",0,Base[[#This Row],['[SC']Coût_personne_dépendante]]*Base[[#This Row],['[SC']Nb_personnes_dépendantes]])</f>
        <v>0</v>
      </c>
      <c r="AP108" s="4">
        <f>IF(Base[[#This Row],[Pathologie]]&lt;&gt;"Dépendance",0,Base[[#This Row],['[SC']Coût_total_dépendance]]/Base[[#This Row],[Population_totale]])</f>
        <v>0</v>
      </c>
      <c r="AQ108" s="4">
        <f>IF(Base[[#This Row],[Pathologie]]&lt;&gt;"Dépendance",0,4.5)</f>
        <v>0</v>
      </c>
      <c r="AR108" s="4">
        <v>0.50393265050357905</v>
      </c>
      <c r="AS108" s="4">
        <f>Base[[#This Row],[Espérance_vie]]+Base[[#This Row],['[SC']Hausse_esp_de_vie]]-Base[[#This Row],['[SC']Durée_moyenne_dépendance_avt]]+Base[[#This Row],[Risque]]</f>
        <v>82.905789789668717</v>
      </c>
      <c r="AT1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8" s="4">
        <v>62.9</v>
      </c>
      <c r="AW108" s="4">
        <f t="shared" si="0"/>
        <v>336905600000</v>
      </c>
      <c r="AX108" s="4">
        <v>15049171</v>
      </c>
      <c r="AY108" s="4">
        <f>Base[[#This Row],['[SC']Budget_total_retraites]]/Base[[#This Row],['[SC']Nombre_de_retraités]]</f>
        <v>22386.987296509556</v>
      </c>
      <c r="AZ108" s="4">
        <f>Base[[#This Row],['[SC']Budget_par_retraité]]*Base[[#This Row],['[SC']Nb_personnes_dépendantes]]</f>
        <v>0</v>
      </c>
      <c r="BA108" s="4">
        <f>Base[[#This Row],['[SC']'[Dépendance']Coût_retraite_personnes_dépendantes]]/Base[[#This Row],[Population_totale]]</f>
        <v>0</v>
      </c>
      <c r="BB10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8" s="4">
        <f>Base[[#This Row],['[SC']'[Dépendance']Gains]]-Base[[#This Row],['[SC']'[Dépendance']Coûts]]</f>
        <v>0</v>
      </c>
      <c r="BD108" s="4">
        <f>IF(Base[[#This Row],[Pathologie]]&lt;&gt;"Mort prématurée",0,Base[[#This Row],[Risque]]*Base[[#This Row],[Prévalence]]*Base[[#This Row],[Population_totale]])</f>
        <v>0</v>
      </c>
      <c r="BE108" s="4">
        <v>52.74</v>
      </c>
      <c r="BF108" s="4">
        <f>Base[[#This Row],['[SC']Âge_moyen_retraite]]-Base[[#This Row],['[SC']'[Mort_prématurée']Âge_moyen_mort précoce]]</f>
        <v>10.159999999999997</v>
      </c>
      <c r="BG108" s="4">
        <f>Base[[#This Row],[Espérance_vie]]+Base[[#This Row],['[SC']Hausse_esp_de_vie]]-Base[[#This Row],['[SC']Âge_moyen_retraite]]</f>
        <v>19.90101171382144</v>
      </c>
      <c r="BH108" s="4">
        <v>106583.42676924677</v>
      </c>
      <c r="BI108" s="4">
        <v>97601.789429271477</v>
      </c>
      <c r="BJ108" s="4">
        <v>302038.31496633729</v>
      </c>
      <c r="BK108" s="4">
        <v>117293.58934859755</v>
      </c>
      <c r="BL108" s="4">
        <v>1523999.9999999995</v>
      </c>
      <c r="BM1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8" s="4">
        <v>294804.96027377353</v>
      </c>
      <c r="BO1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8" s="4">
        <f>(Base[[#This Row],['[SC']'[Mort_prématurée']Gains]]-Base[[#This Row],['[SC']'[Mort_prématurée']Coûts]])/Base[[#This Row],[Population_totale]]</f>
        <v>0</v>
      </c>
      <c r="BQ108" s="4">
        <f>IF(Base[[#This Row],[Pathologie]]&lt;&gt;"Mort prématurée",0,Base[[#This Row],[Risque]])</f>
        <v>0</v>
      </c>
      <c r="BR108" s="4">
        <v>2680</v>
      </c>
      <c r="BS1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08" s="4">
        <f>Base[[#This Row],[Prévalence_prod]]*(1-Base[[#This Row],[Risque]])*Base[[#This Row],[Durée_arrêt]]*Base[[#This Row],[Population_emploi]]</f>
        <v>6637693.7201428628</v>
      </c>
      <c r="BV108" s="4">
        <f>Base[[#This Row],['[Prod']'[Absentéisme']Total_jours_absence_avant]]-Base[[#This Row],['[Prod']'[Absentéisme']Total_jours_absence_après]]</f>
        <v>776885.32563405856</v>
      </c>
      <c r="BW108" s="4">
        <f>IF(AND(Base[[#This Row],[Pathologie]]&lt;&gt;"Dépendance",Base[[#This Row],[Pathologie]]&lt;&gt;"Mort prématurée",Base[[#This Row],[Pathologie]]&lt;&gt;"Migraine"),0.0619,0)</f>
        <v>6.1899999999999997E-2</v>
      </c>
      <c r="BX108" s="4">
        <v>254</v>
      </c>
      <c r="BY108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08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08" s="4">
        <f>Base[[#This Row],[Prévalence_prod]]*Base[[#This Row],[Présentéisme]]*Base[[#This Row],['[Prod']Jours_ouvrés]]</f>
        <v>1.7912080000000001</v>
      </c>
      <c r="CB108" s="4">
        <f>Base[[#This Row],[Prévalence_prod]]*(1-Base[[#This Row],[Risque]])*Base[[#This Row],[Présentéisme]]*Base[[#This Row],['[Prod']Jours_ouvrés]]</f>
        <v>1.6035286723177473</v>
      </c>
      <c r="CC108" s="4">
        <f>Base[[#This Row],['[Prod']'[Présentéisme']Jours_avant]]-Base[[#This Row],['[Prod']'[Présentéisme']Jours_après]]</f>
        <v>0.18767932768225282</v>
      </c>
      <c r="CD108" s="4">
        <f>Base[[#This Row],['[Prod']'[Présentéisme']Jours_gagnés]]/Base[[#This Row],['[Prod']Jours_ouvrés]]</f>
        <v>7.3889499087501109E-4</v>
      </c>
      <c r="CE108">
        <v>5.8333039429220801E-2</v>
      </c>
      <c r="CF108">
        <v>1.4658164114728258E-2</v>
      </c>
      <c r="CG108" s="4">
        <v>11</v>
      </c>
      <c r="CH108" s="4">
        <v>0.68054183762612652</v>
      </c>
      <c r="CI108" s="4">
        <v>1.2135452577082654E-2</v>
      </c>
      <c r="CJ108" s="4">
        <f>IF(Base[[#This Row],[Secteur]]&lt;&gt;"Moyenne",Base[[#This Row],['[Prod']'[Turnover']DMC_initiale]]*(1+Base[[#This Row],['[Prod']'[Turnover']Ecart_accidents]]*Base[[#This Row],['[Prod']Impact_motifs_turnover]]),CJ91*CI91+CJ92*CI92+CJ93*CI93+CJ94*CI94+CJ95*CI95+CJ96*CI96+CJ97*CI97+CJ98*CI98+CJ99*CI99+CJ100*CI100+CJ101*CI101+CJ102*CI102+CJ103*CI103+CJ104*CI104+CJ105*CI105+CJ106*CI106+CJ107*CI107)</f>
        <v>11.109730433371487</v>
      </c>
      <c r="CK108" s="4">
        <f>1/Base[[#This Row],['[Prod']'[Turnover']DMC_initiale]]</f>
        <v>9.0909090909090912E-2</v>
      </c>
      <c r="CL108" s="4">
        <f>1/Base[[#This Row],['[Prod']'[Turnover']DMC_finale]]</f>
        <v>9.001118487953523E-2</v>
      </c>
    </row>
    <row r="109" spans="2:90" x14ac:dyDescent="0.25">
      <c r="B109" s="4" t="s">
        <v>317</v>
      </c>
      <c r="C109">
        <v>7.5</v>
      </c>
      <c r="D109" t="s">
        <v>84</v>
      </c>
      <c r="E109" t="s">
        <v>8</v>
      </c>
      <c r="F109" s="3">
        <v>0.10477807584727883</v>
      </c>
      <c r="G109" s="3">
        <v>4.1000000000000002E-2</v>
      </c>
      <c r="H109" s="3">
        <v>4.1000000000000002E-2</v>
      </c>
      <c r="I109" s="3">
        <v>0.17199999999999999</v>
      </c>
      <c r="J109" s="3">
        <v>3.8954334592466999</v>
      </c>
      <c r="K109" s="3">
        <v>7.0000000000000007E-2</v>
      </c>
      <c r="L109" s="2">
        <f>Base[[#This Row],[Coût]]*Base[[#This Row],[Part_ménages_dépenses_santé]]</f>
        <v>0.27268034214726899</v>
      </c>
      <c r="M109" s="2">
        <v>0.82690611956969029</v>
      </c>
      <c r="N109" s="6">
        <v>27700000</v>
      </c>
      <c r="O109" s="7">
        <f>Base[[#This Row],[Coût_salarié]]*10^9*Base[[#This Row],[Risque]]*Base[[#This Row],[Prévalence]]*Base[[#This Row],[Part_coûts_salarié]]/Base[[#This Row],[Population_emploi]]</f>
        <v>3.4969107056328594E-2</v>
      </c>
      <c r="P109">
        <v>50</v>
      </c>
      <c r="Q109">
        <v>50</v>
      </c>
      <c r="R109" s="2">
        <v>9.9999999999999978E-2</v>
      </c>
      <c r="S109" s="2">
        <v>0.33340000000000003</v>
      </c>
      <c r="T109" s="4">
        <v>4.1000000000000002E-2</v>
      </c>
      <c r="U109" s="4">
        <f>IF(Bases_annexes!$F$5=0,16.6587111018772,0.77*Bases_annexes!$F$5/(IF(OR(ISBLANK('Données_d''entrée'!$E$44),'Données_d''entrée'!$E$44=0),35,'Données_d''entrée'!$E$44)*52))</f>
        <v>16.658711101877199</v>
      </c>
      <c r="V109" s="4">
        <v>6.5286422873795198</v>
      </c>
      <c r="W1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09" s="4">
        <v>234.5</v>
      </c>
      <c r="Y109" s="4">
        <f>(Base[[#This Row],['[Maladies']Coûts_évités_par_salarié]]+Base[[#This Row],['[Travail']Coûts_évités_par_salarié]])/Base[[#This Row],[Budget_santé_salarié]]</f>
        <v>7.3116582342331688E-3</v>
      </c>
      <c r="Z109" s="4">
        <v>0.8</v>
      </c>
      <c r="AA109" s="4">
        <f>Base[[#This Row],[Coût]]*Base[[#This Row],[Part_société_dépenses_santé]]</f>
        <v>3.1163467673973599</v>
      </c>
      <c r="AB109" s="4">
        <v>67635124</v>
      </c>
      <c r="AC109" s="4">
        <v>82.297079063317852</v>
      </c>
      <c r="AD109" s="4">
        <v>0.11599999999999999</v>
      </c>
      <c r="AE109" s="4">
        <f>Base[[#This Row],['[SC']Prévalence_travail]]*Base[[#This Row],[Population_emploi]]</f>
        <v>3213200</v>
      </c>
      <c r="AF109" s="4">
        <f>Base[[#This Row],[Risque]]*Base[[#This Row],['[SC']Patients_en_emploi]]</f>
        <v>336672.91331247636</v>
      </c>
      <c r="AG109" s="4">
        <v>552654220.25999999</v>
      </c>
      <c r="AH109" s="4">
        <f>IFERROR(Base[[#This Row],['[SC']Prestations]]/Base[[#This Row],['[SC']Patients_en_emploi]],0)</f>
        <v>171.99496460226564</v>
      </c>
      <c r="AI109" s="4">
        <v>51.7</v>
      </c>
      <c r="AJ1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09" s="4">
        <f>Base[[#This Row],['[SC']'[Travail']Coûts_évités]]/Base[[#This Row],[Population_emploi]]</f>
        <v>2.0904709677877622</v>
      </c>
      <c r="AL109" s="4">
        <f>Base[[#This Row],[Coût_société]]*10^9*Base[[#This Row],[Risque]]*Base[[#This Row],[Prévalence]]*Base[[#This Row],[Part_coûts_salarié]]/Base[[#This Row],[Population_emploi]]</f>
        <v>0.39964693778661253</v>
      </c>
      <c r="AM109" s="4">
        <f>IF(Base[[#This Row],[Pathologie]]&lt;&gt;"Dépendance",0,14909.24243952)</f>
        <v>0</v>
      </c>
      <c r="AN109" s="4">
        <f>IF(Base[[#This Row],[Pathologie]]&lt;&gt;"Dépendance",0,1316000)</f>
        <v>0</v>
      </c>
      <c r="AO109" s="4">
        <f>IF(Base[[#This Row],[Pathologie]]&lt;&gt;"Dépendance",0,Base[[#This Row],['[SC']Coût_personne_dépendante]]*Base[[#This Row],['[SC']Nb_personnes_dépendantes]])</f>
        <v>0</v>
      </c>
      <c r="AP109" s="4">
        <f>IF(Base[[#This Row],[Pathologie]]&lt;&gt;"Dépendance",0,Base[[#This Row],['[SC']Coût_total_dépendance]]/Base[[#This Row],[Population_totale]])</f>
        <v>0</v>
      </c>
      <c r="AQ109" s="4">
        <f>IF(Base[[#This Row],[Pathologie]]&lt;&gt;"Dépendance",0,4.5)</f>
        <v>0</v>
      </c>
      <c r="AR109" s="4">
        <v>0.50393265050357905</v>
      </c>
      <c r="AS109" s="4">
        <f>Base[[#This Row],[Espérance_vie]]+Base[[#This Row],['[SC']Hausse_esp_de_vie]]-Base[[#This Row],['[SC']Durée_moyenne_dépendance_avt]]+Base[[#This Row],[Risque]]</f>
        <v>82.905789789668717</v>
      </c>
      <c r="AT1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09" s="4">
        <v>62.9</v>
      </c>
      <c r="AW109" s="4">
        <f t="shared" si="0"/>
        <v>336905600000</v>
      </c>
      <c r="AX109" s="4">
        <v>15049171</v>
      </c>
      <c r="AY109" s="4">
        <f>Base[[#This Row],['[SC']Budget_total_retraites]]/Base[[#This Row],['[SC']Nombre_de_retraités]]</f>
        <v>22386.987296509556</v>
      </c>
      <c r="AZ109" s="4">
        <f>Base[[#This Row],['[SC']Budget_par_retraité]]*Base[[#This Row],['[SC']Nb_personnes_dépendantes]]</f>
        <v>0</v>
      </c>
      <c r="BA109" s="4">
        <f>Base[[#This Row],['[SC']'[Dépendance']Coût_retraite_personnes_dépendantes]]/Base[[#This Row],[Population_totale]]</f>
        <v>0</v>
      </c>
      <c r="BB10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09" s="4">
        <f>Base[[#This Row],['[SC']'[Dépendance']Gains]]-Base[[#This Row],['[SC']'[Dépendance']Coûts]]</f>
        <v>0</v>
      </c>
      <c r="BD109" s="4">
        <f>IF(Base[[#This Row],[Pathologie]]&lt;&gt;"Mort prématurée",0,Base[[#This Row],[Risque]]*Base[[#This Row],[Prévalence]]*Base[[#This Row],[Population_totale]])</f>
        <v>0</v>
      </c>
      <c r="BE109" s="4">
        <v>52.74</v>
      </c>
      <c r="BF109" s="4">
        <f>Base[[#This Row],['[SC']Âge_moyen_retraite]]-Base[[#This Row],['[SC']'[Mort_prématurée']Âge_moyen_mort précoce]]</f>
        <v>10.159999999999997</v>
      </c>
      <c r="BG109" s="4">
        <f>Base[[#This Row],[Espérance_vie]]+Base[[#This Row],['[SC']Hausse_esp_de_vie]]-Base[[#This Row],['[SC']Âge_moyen_retraite]]</f>
        <v>19.90101171382144</v>
      </c>
      <c r="BH109" s="4">
        <v>106583.42676924677</v>
      </c>
      <c r="BI109" s="4">
        <v>97601.789429271477</v>
      </c>
      <c r="BJ109" s="4">
        <v>302038.31496633729</v>
      </c>
      <c r="BK109" s="4">
        <v>117293.58934859755</v>
      </c>
      <c r="BL109" s="4">
        <v>1523999.9999999995</v>
      </c>
      <c r="BM1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09" s="4">
        <v>294804.96027377353</v>
      </c>
      <c r="BO1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09" s="4">
        <f>(Base[[#This Row],['[SC']'[Mort_prématurée']Gains]]-Base[[#This Row],['[SC']'[Mort_prématurée']Coûts]])/Base[[#This Row],[Population_totale]]</f>
        <v>0</v>
      </c>
      <c r="BQ109" s="4">
        <f>IF(Base[[#This Row],[Pathologie]]&lt;&gt;"Mort prématurée",0,Base[[#This Row],[Risque]])</f>
        <v>0</v>
      </c>
      <c r="BR109" s="4">
        <v>2680</v>
      </c>
      <c r="BS1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09" s="4">
        <f>Base[[#This Row],[Prévalence_prod]]*(1-Base[[#This Row],[Risque]])*Base[[#This Row],[Durée_arrêt]]*Base[[#This Row],[Population_emploi]]</f>
        <v>6637693.7201428628</v>
      </c>
      <c r="BV109" s="4">
        <f>Base[[#This Row],['[Prod']'[Absentéisme']Total_jours_absence_avant]]-Base[[#This Row],['[Prod']'[Absentéisme']Total_jours_absence_après]]</f>
        <v>776885.32563405856</v>
      </c>
      <c r="BW109" s="4">
        <f>IF(AND(Base[[#This Row],[Pathologie]]&lt;&gt;"Dépendance",Base[[#This Row],[Pathologie]]&lt;&gt;"Mort prématurée",Base[[#This Row],[Pathologie]]&lt;&gt;"Migraine"),0.0619,0)</f>
        <v>6.1899999999999997E-2</v>
      </c>
      <c r="BX109" s="4">
        <v>254</v>
      </c>
      <c r="BY10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09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09" s="4">
        <f>Base[[#This Row],[Prévalence_prod]]*Base[[#This Row],[Présentéisme]]*Base[[#This Row],['[Prod']Jours_ouvrés]]</f>
        <v>1.7912080000000001</v>
      </c>
      <c r="CB109" s="4">
        <f>Base[[#This Row],[Prévalence_prod]]*(1-Base[[#This Row],[Risque]])*Base[[#This Row],[Présentéisme]]*Base[[#This Row],['[Prod']Jours_ouvrés]]</f>
        <v>1.6035286723177473</v>
      </c>
      <c r="CC109" s="4">
        <f>Base[[#This Row],['[Prod']'[Présentéisme']Jours_avant]]-Base[[#This Row],['[Prod']'[Présentéisme']Jours_après]]</f>
        <v>0.18767932768225282</v>
      </c>
      <c r="CD109" s="4">
        <f>Base[[#This Row],['[Prod']'[Présentéisme']Jours_gagnés]]/Base[[#This Row],['[Prod']Jours_ouvrés]]</f>
        <v>7.3889499087501109E-4</v>
      </c>
      <c r="CE109">
        <v>5.8333039429220801E-2</v>
      </c>
      <c r="CF109">
        <v>1.4658164114728258E-2</v>
      </c>
      <c r="CG109" s="4">
        <v>11</v>
      </c>
      <c r="CH109" s="4">
        <v>0.31563677172153043</v>
      </c>
      <c r="CI109" s="4">
        <v>1.3003350630813707E-4</v>
      </c>
      <c r="CJ109" s="4">
        <f>IF(Base[[#This Row],[Secteur]]&lt;&gt;"Moyenne",Base[[#This Row],['[Prod']'[Turnover']DMC_initiale]]*(1+Base[[#This Row],['[Prod']'[Turnover']Ecart_accidents]]*Base[[#This Row],['[Prod']Impact_motifs_turnover]]),CJ92*CI92+CJ93*CI93+CJ94*CI94+CJ95*CI95+CJ96*CI96+CJ97*CI97+CJ98*CI98+CJ99*CI99+CJ100*CI100+CJ101*CI101+CJ102*CI102+CJ103*CI103+CJ104*CI104+CJ105*CI105+CJ106*CI106+CJ107*CI107+CJ108*CI108)</f>
        <v>11.05089321160591</v>
      </c>
      <c r="CK109" s="4">
        <f>1/Base[[#This Row],['[Prod']'[Turnover']DMC_initiale]]</f>
        <v>9.0909090909090912E-2</v>
      </c>
      <c r="CL109" s="4">
        <f>1/Base[[#This Row],['[Prod']'[Turnover']DMC_finale]]</f>
        <v>9.0490422887244654E-2</v>
      </c>
    </row>
    <row r="110" spans="2:90" x14ac:dyDescent="0.25">
      <c r="B110" s="4" t="s">
        <v>318</v>
      </c>
      <c r="C110">
        <v>7.5</v>
      </c>
      <c r="D110" t="s">
        <v>84</v>
      </c>
      <c r="E110" t="s">
        <v>8</v>
      </c>
      <c r="F110" s="3">
        <v>0.10477807584727883</v>
      </c>
      <c r="G110" s="3">
        <v>4.1000000000000002E-2</v>
      </c>
      <c r="H110" s="3">
        <v>4.1000000000000002E-2</v>
      </c>
      <c r="I110" s="3">
        <v>0.17199999999999999</v>
      </c>
      <c r="J110" s="3">
        <v>3.8954334592466999</v>
      </c>
      <c r="K110" s="3">
        <v>7.0000000000000007E-2</v>
      </c>
      <c r="L110" s="2">
        <f>Base[[#This Row],[Coût]]*Base[[#This Row],[Part_ménages_dépenses_santé]]</f>
        <v>0.27268034214726899</v>
      </c>
      <c r="M110" s="2">
        <v>0.82690611956969029</v>
      </c>
      <c r="N110" s="6">
        <v>27700000</v>
      </c>
      <c r="O110" s="7">
        <f>Base[[#This Row],[Coût_salarié]]*10^9*Base[[#This Row],[Risque]]*Base[[#This Row],[Prévalence]]*Base[[#This Row],[Part_coûts_salarié]]/Base[[#This Row],[Population_emploi]]</f>
        <v>3.4969107056328594E-2</v>
      </c>
      <c r="P110">
        <v>50</v>
      </c>
      <c r="Q110">
        <v>50</v>
      </c>
      <c r="R110" s="2">
        <v>9.9999999999999978E-2</v>
      </c>
      <c r="S110" s="2">
        <v>0.33340000000000003</v>
      </c>
      <c r="T110" s="4">
        <v>4.1000000000000002E-2</v>
      </c>
      <c r="U110" s="4">
        <f>IF(Bases_annexes!$F$5=0,16.6587111018772,0.77*Bases_annexes!$F$5/(IF(OR(ISBLANK('Données_d''entrée'!$E$44),'Données_d''entrée'!$E$44=0),35,'Données_d''entrée'!$E$44)*52))</f>
        <v>16.658711101877199</v>
      </c>
      <c r="V110" s="4">
        <v>6.5286422873795198</v>
      </c>
      <c r="W1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0" s="4">
        <v>234.5</v>
      </c>
      <c r="Y110" s="4">
        <f>(Base[[#This Row],['[Maladies']Coûts_évités_par_salarié]]+Base[[#This Row],['[Travail']Coûts_évités_par_salarié]])/Base[[#This Row],[Budget_santé_salarié]]</f>
        <v>7.3116582342331688E-3</v>
      </c>
      <c r="Z110" s="4">
        <v>0.8</v>
      </c>
      <c r="AA110" s="4">
        <f>Base[[#This Row],[Coût]]*Base[[#This Row],[Part_société_dépenses_santé]]</f>
        <v>3.1163467673973599</v>
      </c>
      <c r="AB110" s="4">
        <v>67635124</v>
      </c>
      <c r="AC110" s="4">
        <v>82.297079063317852</v>
      </c>
      <c r="AD110" s="4">
        <v>0.11599999999999999</v>
      </c>
      <c r="AE110" s="4">
        <f>Base[[#This Row],['[SC']Prévalence_travail]]*Base[[#This Row],[Population_emploi]]</f>
        <v>3213200</v>
      </c>
      <c r="AF110" s="4">
        <f>Base[[#This Row],[Risque]]*Base[[#This Row],['[SC']Patients_en_emploi]]</f>
        <v>336672.91331247636</v>
      </c>
      <c r="AG110" s="4">
        <v>552654220.25999999</v>
      </c>
      <c r="AH110" s="4">
        <f>IFERROR(Base[[#This Row],['[SC']Prestations]]/Base[[#This Row],['[SC']Patients_en_emploi]],0)</f>
        <v>171.99496460226564</v>
      </c>
      <c r="AI110" s="4">
        <v>51.7</v>
      </c>
      <c r="AJ1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0" s="4">
        <f>Base[[#This Row],['[SC']'[Travail']Coûts_évités]]/Base[[#This Row],[Population_emploi]]</f>
        <v>2.0904709677877622</v>
      </c>
      <c r="AL110" s="4">
        <f>Base[[#This Row],[Coût_société]]*10^9*Base[[#This Row],[Risque]]*Base[[#This Row],[Prévalence]]*Base[[#This Row],[Part_coûts_salarié]]/Base[[#This Row],[Population_emploi]]</f>
        <v>0.39964693778661253</v>
      </c>
      <c r="AM110" s="4">
        <f>IF(Base[[#This Row],[Pathologie]]&lt;&gt;"Dépendance",0,14909.24243952)</f>
        <v>0</v>
      </c>
      <c r="AN110" s="4">
        <f>IF(Base[[#This Row],[Pathologie]]&lt;&gt;"Dépendance",0,1316000)</f>
        <v>0</v>
      </c>
      <c r="AO110" s="4">
        <f>IF(Base[[#This Row],[Pathologie]]&lt;&gt;"Dépendance",0,Base[[#This Row],['[SC']Coût_personne_dépendante]]*Base[[#This Row],['[SC']Nb_personnes_dépendantes]])</f>
        <v>0</v>
      </c>
      <c r="AP110" s="4">
        <f>IF(Base[[#This Row],[Pathologie]]&lt;&gt;"Dépendance",0,Base[[#This Row],['[SC']Coût_total_dépendance]]/Base[[#This Row],[Population_totale]])</f>
        <v>0</v>
      </c>
      <c r="AQ110" s="4">
        <f>IF(Base[[#This Row],[Pathologie]]&lt;&gt;"Dépendance",0,4.5)</f>
        <v>0</v>
      </c>
      <c r="AR110" s="4">
        <v>0.50393265050357905</v>
      </c>
      <c r="AS110" s="4">
        <f>Base[[#This Row],[Espérance_vie]]+Base[[#This Row],['[SC']Hausse_esp_de_vie]]-Base[[#This Row],['[SC']Durée_moyenne_dépendance_avt]]+Base[[#This Row],[Risque]]</f>
        <v>82.905789789668717</v>
      </c>
      <c r="AT1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0" s="4">
        <v>62.9</v>
      </c>
      <c r="AW110" s="4">
        <f t="shared" si="0"/>
        <v>336905600000</v>
      </c>
      <c r="AX110" s="4">
        <v>15049171</v>
      </c>
      <c r="AY110" s="4">
        <f>Base[[#This Row],['[SC']Budget_total_retraites]]/Base[[#This Row],['[SC']Nombre_de_retraités]]</f>
        <v>22386.987296509556</v>
      </c>
      <c r="AZ110" s="4">
        <f>Base[[#This Row],['[SC']Budget_par_retraité]]*Base[[#This Row],['[SC']Nb_personnes_dépendantes]]</f>
        <v>0</v>
      </c>
      <c r="BA110" s="4">
        <f>Base[[#This Row],['[SC']'[Dépendance']Coût_retraite_personnes_dépendantes]]/Base[[#This Row],[Population_totale]]</f>
        <v>0</v>
      </c>
      <c r="BB11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0" s="4">
        <f>Base[[#This Row],['[SC']'[Dépendance']Gains]]-Base[[#This Row],['[SC']'[Dépendance']Coûts]]</f>
        <v>0</v>
      </c>
      <c r="BD110" s="4">
        <f>IF(Base[[#This Row],[Pathologie]]&lt;&gt;"Mort prématurée",0,Base[[#This Row],[Risque]]*Base[[#This Row],[Prévalence]]*Base[[#This Row],[Population_totale]])</f>
        <v>0</v>
      </c>
      <c r="BE110" s="4">
        <v>52.74</v>
      </c>
      <c r="BF110" s="4">
        <f>Base[[#This Row],['[SC']Âge_moyen_retraite]]-Base[[#This Row],['[SC']'[Mort_prématurée']Âge_moyen_mort précoce]]</f>
        <v>10.159999999999997</v>
      </c>
      <c r="BG110" s="4">
        <f>Base[[#This Row],[Espérance_vie]]+Base[[#This Row],['[SC']Hausse_esp_de_vie]]-Base[[#This Row],['[SC']Âge_moyen_retraite]]</f>
        <v>19.90101171382144</v>
      </c>
      <c r="BH110" s="4">
        <v>106583.42676924677</v>
      </c>
      <c r="BI110" s="4">
        <v>97601.789429271477</v>
      </c>
      <c r="BJ110" s="4">
        <v>302038.31496633729</v>
      </c>
      <c r="BK110" s="4">
        <v>117293.58934859755</v>
      </c>
      <c r="BL110" s="4">
        <v>1523999.9999999995</v>
      </c>
      <c r="BM1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0" s="4">
        <v>294804.96027377353</v>
      </c>
      <c r="BO1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0" s="4">
        <f>(Base[[#This Row],['[SC']'[Mort_prématurée']Gains]]-Base[[#This Row],['[SC']'[Mort_prématurée']Coûts]])/Base[[#This Row],[Population_totale]]</f>
        <v>0</v>
      </c>
      <c r="BQ110" s="4">
        <f>IF(Base[[#This Row],[Pathologie]]&lt;&gt;"Mort prématurée",0,Base[[#This Row],[Risque]])</f>
        <v>0</v>
      </c>
      <c r="BR110" s="4">
        <v>2680</v>
      </c>
      <c r="BS1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0" s="4">
        <f>Base[[#This Row],[Prévalence_prod]]*(1-Base[[#This Row],[Risque]])*Base[[#This Row],[Durée_arrêt]]*Base[[#This Row],[Population_emploi]]</f>
        <v>6637693.7201428628</v>
      </c>
      <c r="BV110" s="4">
        <f>Base[[#This Row],['[Prod']'[Absentéisme']Total_jours_absence_avant]]-Base[[#This Row],['[Prod']'[Absentéisme']Total_jours_absence_après]]</f>
        <v>776885.32563405856</v>
      </c>
      <c r="BW110" s="4">
        <f>IF(AND(Base[[#This Row],[Pathologie]]&lt;&gt;"Dépendance",Base[[#This Row],[Pathologie]]&lt;&gt;"Mort prématurée",Base[[#This Row],[Pathologie]]&lt;&gt;"Migraine"),0.0619,0)</f>
        <v>6.1899999999999997E-2</v>
      </c>
      <c r="BX110" s="4">
        <v>254</v>
      </c>
      <c r="BY11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0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0" s="4">
        <f>Base[[#This Row],[Prévalence_prod]]*Base[[#This Row],[Présentéisme]]*Base[[#This Row],['[Prod']Jours_ouvrés]]</f>
        <v>1.7912080000000001</v>
      </c>
      <c r="CB110" s="4">
        <f>Base[[#This Row],[Prévalence_prod]]*(1-Base[[#This Row],[Risque]])*Base[[#This Row],[Présentéisme]]*Base[[#This Row],['[Prod']Jours_ouvrés]]</f>
        <v>1.6035286723177473</v>
      </c>
      <c r="CC110" s="4">
        <f>Base[[#This Row],['[Prod']'[Présentéisme']Jours_avant]]-Base[[#This Row],['[Prod']'[Présentéisme']Jours_après]]</f>
        <v>0.18767932768225282</v>
      </c>
      <c r="CD110" s="4">
        <f>Base[[#This Row],['[Prod']'[Présentéisme']Jours_gagnés]]/Base[[#This Row],['[Prod']Jours_ouvrés]]</f>
        <v>7.3889499087501109E-4</v>
      </c>
      <c r="CE110">
        <v>5.8333039429220801E-2</v>
      </c>
      <c r="CF110">
        <v>1.4658164114728258E-2</v>
      </c>
      <c r="CG110" s="4">
        <v>11</v>
      </c>
      <c r="CH110" s="4">
        <v>1.1688035738877327</v>
      </c>
      <c r="CI110" s="4">
        <v>9.6557438521367826E-3</v>
      </c>
      <c r="CJ110" s="4">
        <f>IF(Base[[#This Row],[Secteur]]&lt;&gt;"Moyenne",Base[[#This Row],['[Prod']'[Turnover']DMC_initiale]]*(1+Base[[#This Row],['[Prod']'[Turnover']Ecart_accidents]]*Base[[#This Row],['[Prod']Impact_motifs_turnover]]),CJ93*CI93+CJ94*CI94+CJ95*CI95+CJ96*CI96+CJ97*CI97+CJ98*CI98+CJ99*CI99+CJ100*CI100+CJ101*CI101+CJ102*CI102+CJ103*CI103+CJ104*CI104+CJ105*CI105+CJ106*CI106+CJ107*CI107+CJ108*CI108+CJ109*CI109)</f>
        <v>11.188457660643202</v>
      </c>
      <c r="CK110" s="4">
        <f>1/Base[[#This Row],['[Prod']'[Turnover']DMC_initiale]]</f>
        <v>9.0909090909090912E-2</v>
      </c>
      <c r="CL110" s="4">
        <f>1/Base[[#This Row],['[Prod']'[Turnover']DMC_finale]]</f>
        <v>8.9377824033568531E-2</v>
      </c>
    </row>
    <row r="111" spans="2:90" x14ac:dyDescent="0.25">
      <c r="B111" s="4" t="s">
        <v>319</v>
      </c>
      <c r="C111">
        <v>7.5</v>
      </c>
      <c r="D111" t="s">
        <v>84</v>
      </c>
      <c r="E111" t="s">
        <v>8</v>
      </c>
      <c r="F111" s="3">
        <v>0.10477807584727883</v>
      </c>
      <c r="G111" s="3">
        <v>4.1000000000000002E-2</v>
      </c>
      <c r="H111" s="3">
        <v>4.1000000000000002E-2</v>
      </c>
      <c r="I111" s="3">
        <v>0.17199999999999999</v>
      </c>
      <c r="J111" s="3">
        <v>3.8954334592466999</v>
      </c>
      <c r="K111" s="3">
        <v>7.0000000000000007E-2</v>
      </c>
      <c r="L111" s="2">
        <f>Base[[#This Row],[Coût]]*Base[[#This Row],[Part_ménages_dépenses_santé]]</f>
        <v>0.27268034214726899</v>
      </c>
      <c r="M111" s="2">
        <v>0.82690611956969029</v>
      </c>
      <c r="N111" s="6">
        <v>27700000</v>
      </c>
      <c r="O111" s="7">
        <f>Base[[#This Row],[Coût_salarié]]*10^9*Base[[#This Row],[Risque]]*Base[[#This Row],[Prévalence]]*Base[[#This Row],[Part_coûts_salarié]]/Base[[#This Row],[Population_emploi]]</f>
        <v>3.4969107056328594E-2</v>
      </c>
      <c r="P111">
        <v>50</v>
      </c>
      <c r="Q111">
        <v>50</v>
      </c>
      <c r="R111" s="2">
        <v>9.9999999999999978E-2</v>
      </c>
      <c r="S111" s="2">
        <v>0.33340000000000003</v>
      </c>
      <c r="T111" s="4">
        <v>4.1000000000000002E-2</v>
      </c>
      <c r="U111" s="4">
        <f>IF(Bases_annexes!$F$5=0,16.6587111018772,0.77*Bases_annexes!$F$5/(IF(OR(ISBLANK('Données_d''entrée'!$E$44),'Données_d''entrée'!$E$44=0),35,'Données_d''entrée'!$E$44)*52))</f>
        <v>16.658711101877199</v>
      </c>
      <c r="V111" s="4">
        <v>6.5286422873795198</v>
      </c>
      <c r="W1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1" s="4">
        <v>234.5</v>
      </c>
      <c r="Y111" s="4">
        <f>(Base[[#This Row],['[Maladies']Coûts_évités_par_salarié]]+Base[[#This Row],['[Travail']Coûts_évités_par_salarié]])/Base[[#This Row],[Budget_santé_salarié]]</f>
        <v>7.3116582342331688E-3</v>
      </c>
      <c r="Z111" s="4">
        <v>0.8</v>
      </c>
      <c r="AA111" s="4">
        <f>Base[[#This Row],[Coût]]*Base[[#This Row],[Part_société_dépenses_santé]]</f>
        <v>3.1163467673973599</v>
      </c>
      <c r="AB111" s="4">
        <v>67635124</v>
      </c>
      <c r="AC111" s="4">
        <v>82.297079063317852</v>
      </c>
      <c r="AD111" s="4">
        <v>0.11599999999999999</v>
      </c>
      <c r="AE111" s="4">
        <f>Base[[#This Row],['[SC']Prévalence_travail]]*Base[[#This Row],[Population_emploi]]</f>
        <v>3213200</v>
      </c>
      <c r="AF111" s="4">
        <f>Base[[#This Row],[Risque]]*Base[[#This Row],['[SC']Patients_en_emploi]]</f>
        <v>336672.91331247636</v>
      </c>
      <c r="AG111" s="4">
        <v>552654220.25999999</v>
      </c>
      <c r="AH111" s="4">
        <f>IFERROR(Base[[#This Row],['[SC']Prestations]]/Base[[#This Row],['[SC']Patients_en_emploi]],0)</f>
        <v>171.99496460226564</v>
      </c>
      <c r="AI111" s="4">
        <v>51.7</v>
      </c>
      <c r="AJ1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1" s="4">
        <f>Base[[#This Row],['[SC']'[Travail']Coûts_évités]]/Base[[#This Row],[Population_emploi]]</f>
        <v>2.0904709677877622</v>
      </c>
      <c r="AL111" s="4">
        <f>Base[[#This Row],[Coût_société]]*10^9*Base[[#This Row],[Risque]]*Base[[#This Row],[Prévalence]]*Base[[#This Row],[Part_coûts_salarié]]/Base[[#This Row],[Population_emploi]]</f>
        <v>0.39964693778661253</v>
      </c>
      <c r="AM111" s="4">
        <f>IF(Base[[#This Row],[Pathologie]]&lt;&gt;"Dépendance",0,14909.24243952)</f>
        <v>0</v>
      </c>
      <c r="AN111" s="4">
        <f>IF(Base[[#This Row],[Pathologie]]&lt;&gt;"Dépendance",0,1316000)</f>
        <v>0</v>
      </c>
      <c r="AO111" s="4">
        <f>IF(Base[[#This Row],[Pathologie]]&lt;&gt;"Dépendance",0,Base[[#This Row],['[SC']Coût_personne_dépendante]]*Base[[#This Row],['[SC']Nb_personnes_dépendantes]])</f>
        <v>0</v>
      </c>
      <c r="AP111" s="4">
        <f>IF(Base[[#This Row],[Pathologie]]&lt;&gt;"Dépendance",0,Base[[#This Row],['[SC']Coût_total_dépendance]]/Base[[#This Row],[Population_totale]])</f>
        <v>0</v>
      </c>
      <c r="AQ111" s="4">
        <f>IF(Base[[#This Row],[Pathologie]]&lt;&gt;"Dépendance",0,4.5)</f>
        <v>0</v>
      </c>
      <c r="AR111" s="4">
        <v>0.50393265050357905</v>
      </c>
      <c r="AS111" s="4">
        <f>Base[[#This Row],[Espérance_vie]]+Base[[#This Row],['[SC']Hausse_esp_de_vie]]-Base[[#This Row],['[SC']Durée_moyenne_dépendance_avt]]+Base[[#This Row],[Risque]]</f>
        <v>82.905789789668717</v>
      </c>
      <c r="AT1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1" s="4">
        <v>62.9</v>
      </c>
      <c r="AW111" s="4">
        <f t="shared" si="0"/>
        <v>336905600000</v>
      </c>
      <c r="AX111" s="4">
        <v>15049171</v>
      </c>
      <c r="AY111" s="4">
        <f>Base[[#This Row],['[SC']Budget_total_retraites]]/Base[[#This Row],['[SC']Nombre_de_retraités]]</f>
        <v>22386.987296509556</v>
      </c>
      <c r="AZ111" s="4">
        <f>Base[[#This Row],['[SC']Budget_par_retraité]]*Base[[#This Row],['[SC']Nb_personnes_dépendantes]]</f>
        <v>0</v>
      </c>
      <c r="BA111" s="4">
        <f>Base[[#This Row],['[SC']'[Dépendance']Coût_retraite_personnes_dépendantes]]/Base[[#This Row],[Population_totale]]</f>
        <v>0</v>
      </c>
      <c r="BB11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1" s="4">
        <f>Base[[#This Row],['[SC']'[Dépendance']Gains]]-Base[[#This Row],['[SC']'[Dépendance']Coûts]]</f>
        <v>0</v>
      </c>
      <c r="BD111" s="4">
        <f>IF(Base[[#This Row],[Pathologie]]&lt;&gt;"Mort prématurée",0,Base[[#This Row],[Risque]]*Base[[#This Row],[Prévalence]]*Base[[#This Row],[Population_totale]])</f>
        <v>0</v>
      </c>
      <c r="BE111" s="4">
        <v>52.74</v>
      </c>
      <c r="BF111" s="4">
        <f>Base[[#This Row],['[SC']Âge_moyen_retraite]]-Base[[#This Row],['[SC']'[Mort_prématurée']Âge_moyen_mort précoce]]</f>
        <v>10.159999999999997</v>
      </c>
      <c r="BG111" s="4">
        <f>Base[[#This Row],[Espérance_vie]]+Base[[#This Row],['[SC']Hausse_esp_de_vie]]-Base[[#This Row],['[SC']Âge_moyen_retraite]]</f>
        <v>19.90101171382144</v>
      </c>
      <c r="BH111" s="4">
        <v>106583.42676924677</v>
      </c>
      <c r="BI111" s="4">
        <v>97601.789429271477</v>
      </c>
      <c r="BJ111" s="4">
        <v>302038.31496633729</v>
      </c>
      <c r="BK111" s="4">
        <v>117293.58934859755</v>
      </c>
      <c r="BL111" s="4">
        <v>1523999.9999999995</v>
      </c>
      <c r="BM1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1" s="4">
        <v>294804.96027377353</v>
      </c>
      <c r="BO1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1" s="4">
        <f>(Base[[#This Row],['[SC']'[Mort_prématurée']Gains]]-Base[[#This Row],['[SC']'[Mort_prématurée']Coûts]])/Base[[#This Row],[Population_totale]]</f>
        <v>0</v>
      </c>
      <c r="BQ111" s="4">
        <f>IF(Base[[#This Row],[Pathologie]]&lt;&gt;"Mort prématurée",0,Base[[#This Row],[Risque]])</f>
        <v>0</v>
      </c>
      <c r="BR111" s="4">
        <v>2680</v>
      </c>
      <c r="BS1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1" s="4">
        <f>Base[[#This Row],[Prévalence_prod]]*(1-Base[[#This Row],[Risque]])*Base[[#This Row],[Durée_arrêt]]*Base[[#This Row],[Population_emploi]]</f>
        <v>6637693.7201428628</v>
      </c>
      <c r="BV111" s="4">
        <f>Base[[#This Row],['[Prod']'[Absentéisme']Total_jours_absence_avant]]-Base[[#This Row],['[Prod']'[Absentéisme']Total_jours_absence_après]]</f>
        <v>776885.32563405856</v>
      </c>
      <c r="BW111" s="4">
        <f>IF(AND(Base[[#This Row],[Pathologie]]&lt;&gt;"Dépendance",Base[[#This Row],[Pathologie]]&lt;&gt;"Mort prématurée",Base[[#This Row],[Pathologie]]&lt;&gt;"Migraine"),0.0619,0)</f>
        <v>6.1899999999999997E-2</v>
      </c>
      <c r="BX111" s="4">
        <v>254</v>
      </c>
      <c r="BY111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1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1" s="4">
        <f>Base[[#This Row],[Prévalence_prod]]*Base[[#This Row],[Présentéisme]]*Base[[#This Row],['[Prod']Jours_ouvrés]]</f>
        <v>1.7912080000000001</v>
      </c>
      <c r="CB111" s="4">
        <f>Base[[#This Row],[Prévalence_prod]]*(1-Base[[#This Row],[Risque]])*Base[[#This Row],[Présentéisme]]*Base[[#This Row],['[Prod']Jours_ouvrés]]</f>
        <v>1.6035286723177473</v>
      </c>
      <c r="CC111" s="4">
        <f>Base[[#This Row],['[Prod']'[Présentéisme']Jours_avant]]-Base[[#This Row],['[Prod']'[Présentéisme']Jours_après]]</f>
        <v>0.18767932768225282</v>
      </c>
      <c r="CD111" s="4">
        <f>Base[[#This Row],['[Prod']'[Présentéisme']Jours_gagnés]]/Base[[#This Row],['[Prod']Jours_ouvrés]]</f>
        <v>7.3889499087501109E-4</v>
      </c>
      <c r="CE111">
        <v>5.8333039429220801E-2</v>
      </c>
      <c r="CF111">
        <v>1.4658164114728258E-2</v>
      </c>
      <c r="CG111" s="4">
        <v>11</v>
      </c>
      <c r="CH111" s="4">
        <v>0.52204401140486179</v>
      </c>
      <c r="CI111" s="4">
        <v>1.2443904150185675E-2</v>
      </c>
      <c r="CJ111" s="4">
        <f>IF(Base[[#This Row],[Secteur]]&lt;&gt;"Moyenne",Base[[#This Row],['[Prod']'[Turnover']DMC_initiale]]*(1+Base[[#This Row],['[Prod']'[Turnover']Ecart_accidents]]*Base[[#This Row],['[Prod']Impact_motifs_turnover]]),CJ94*CI94+CJ95*CI95+CJ96*CI96+CJ97*CI97+CJ98*CI98+CJ99*CI99+CJ100*CI100+CJ101*CI101+CJ102*CI102+CJ103*CI103+CJ104*CI104+CJ105*CI105+CJ106*CI106+CJ107*CI107+CJ108*CI108+CJ109*CI109+CJ110*CI110)</f>
        <v>11.084174274737117</v>
      </c>
      <c r="CK111" s="4">
        <f>1/Base[[#This Row],['[Prod']'[Turnover']DMC_initiale]]</f>
        <v>9.0909090909090912E-2</v>
      </c>
      <c r="CL111" s="4">
        <f>1/Base[[#This Row],['[Prod']'[Turnover']DMC_finale]]</f>
        <v>9.0218718617514418E-2</v>
      </c>
    </row>
    <row r="112" spans="2:90" x14ac:dyDescent="0.25">
      <c r="B112" s="4" t="s">
        <v>320</v>
      </c>
      <c r="C112">
        <v>7.5</v>
      </c>
      <c r="D112" t="s">
        <v>84</v>
      </c>
      <c r="E112" t="s">
        <v>8</v>
      </c>
      <c r="F112" s="3">
        <v>0.10477807584727883</v>
      </c>
      <c r="G112" s="3">
        <v>4.1000000000000002E-2</v>
      </c>
      <c r="H112" s="3">
        <v>4.1000000000000002E-2</v>
      </c>
      <c r="I112" s="3">
        <v>0.17199999999999999</v>
      </c>
      <c r="J112" s="3">
        <v>3.8954334592466999</v>
      </c>
      <c r="K112" s="3">
        <v>7.0000000000000007E-2</v>
      </c>
      <c r="L112" s="2">
        <f>Base[[#This Row],[Coût]]*Base[[#This Row],[Part_ménages_dépenses_santé]]</f>
        <v>0.27268034214726899</v>
      </c>
      <c r="M112" s="2">
        <v>0.82690611956969029</v>
      </c>
      <c r="N112" s="6">
        <v>27700000</v>
      </c>
      <c r="O112" s="7">
        <f>Base[[#This Row],[Coût_salarié]]*10^9*Base[[#This Row],[Risque]]*Base[[#This Row],[Prévalence]]*Base[[#This Row],[Part_coûts_salarié]]/Base[[#This Row],[Population_emploi]]</f>
        <v>3.4969107056328594E-2</v>
      </c>
      <c r="P112">
        <v>50</v>
      </c>
      <c r="Q112">
        <v>50</v>
      </c>
      <c r="R112" s="2">
        <v>9.9999999999999978E-2</v>
      </c>
      <c r="S112" s="2">
        <v>0.33340000000000003</v>
      </c>
      <c r="T112" s="4">
        <v>4.1000000000000002E-2</v>
      </c>
      <c r="U112" s="4">
        <f>IF(Bases_annexes!$F$5=0,16.6587111018772,0.77*Bases_annexes!$F$5/(IF(OR(ISBLANK('Données_d''entrée'!$E$44),'Données_d''entrée'!$E$44=0),35,'Données_d''entrée'!$E$44)*52))</f>
        <v>16.658711101877199</v>
      </c>
      <c r="V112" s="4">
        <v>6.5286422873795198</v>
      </c>
      <c r="W1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2" s="4">
        <v>234.5</v>
      </c>
      <c r="Y112" s="4">
        <f>(Base[[#This Row],['[Maladies']Coûts_évités_par_salarié]]+Base[[#This Row],['[Travail']Coûts_évités_par_salarié]])/Base[[#This Row],[Budget_santé_salarié]]</f>
        <v>7.3116582342331688E-3</v>
      </c>
      <c r="Z112" s="4">
        <v>0.8</v>
      </c>
      <c r="AA112" s="4">
        <f>Base[[#This Row],[Coût]]*Base[[#This Row],[Part_société_dépenses_santé]]</f>
        <v>3.1163467673973599</v>
      </c>
      <c r="AB112" s="4">
        <v>67635124</v>
      </c>
      <c r="AC112" s="4">
        <v>82.297079063317852</v>
      </c>
      <c r="AD112" s="4">
        <v>0.11599999999999999</v>
      </c>
      <c r="AE112" s="4">
        <f>Base[[#This Row],['[SC']Prévalence_travail]]*Base[[#This Row],[Population_emploi]]</f>
        <v>3213200</v>
      </c>
      <c r="AF112" s="4">
        <f>Base[[#This Row],[Risque]]*Base[[#This Row],['[SC']Patients_en_emploi]]</f>
        <v>336672.91331247636</v>
      </c>
      <c r="AG112" s="4">
        <v>552654220.25999999</v>
      </c>
      <c r="AH112" s="4">
        <f>IFERROR(Base[[#This Row],['[SC']Prestations]]/Base[[#This Row],['[SC']Patients_en_emploi]],0)</f>
        <v>171.99496460226564</v>
      </c>
      <c r="AI112" s="4">
        <v>51.7</v>
      </c>
      <c r="AJ1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2" s="4">
        <f>Base[[#This Row],['[SC']'[Travail']Coûts_évités]]/Base[[#This Row],[Population_emploi]]</f>
        <v>2.0904709677877622</v>
      </c>
      <c r="AL112" s="4">
        <f>Base[[#This Row],[Coût_société]]*10^9*Base[[#This Row],[Risque]]*Base[[#This Row],[Prévalence]]*Base[[#This Row],[Part_coûts_salarié]]/Base[[#This Row],[Population_emploi]]</f>
        <v>0.39964693778661253</v>
      </c>
      <c r="AM112" s="4">
        <f>IF(Base[[#This Row],[Pathologie]]&lt;&gt;"Dépendance",0,14909.24243952)</f>
        <v>0</v>
      </c>
      <c r="AN112" s="4">
        <f>IF(Base[[#This Row],[Pathologie]]&lt;&gt;"Dépendance",0,1316000)</f>
        <v>0</v>
      </c>
      <c r="AO112" s="4">
        <f>IF(Base[[#This Row],[Pathologie]]&lt;&gt;"Dépendance",0,Base[[#This Row],['[SC']Coût_personne_dépendante]]*Base[[#This Row],['[SC']Nb_personnes_dépendantes]])</f>
        <v>0</v>
      </c>
      <c r="AP112" s="4">
        <f>IF(Base[[#This Row],[Pathologie]]&lt;&gt;"Dépendance",0,Base[[#This Row],['[SC']Coût_total_dépendance]]/Base[[#This Row],[Population_totale]])</f>
        <v>0</v>
      </c>
      <c r="AQ112" s="4">
        <f>IF(Base[[#This Row],[Pathologie]]&lt;&gt;"Dépendance",0,4.5)</f>
        <v>0</v>
      </c>
      <c r="AR112" s="4">
        <v>0.50393265050357905</v>
      </c>
      <c r="AS112" s="4">
        <f>Base[[#This Row],[Espérance_vie]]+Base[[#This Row],['[SC']Hausse_esp_de_vie]]-Base[[#This Row],['[SC']Durée_moyenne_dépendance_avt]]+Base[[#This Row],[Risque]]</f>
        <v>82.905789789668717</v>
      </c>
      <c r="AT1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2" s="4">
        <v>62.9</v>
      </c>
      <c r="AW112" s="4">
        <f t="shared" si="0"/>
        <v>336905600000</v>
      </c>
      <c r="AX112" s="4">
        <v>15049171</v>
      </c>
      <c r="AY112" s="4">
        <f>Base[[#This Row],['[SC']Budget_total_retraites]]/Base[[#This Row],['[SC']Nombre_de_retraités]]</f>
        <v>22386.987296509556</v>
      </c>
      <c r="AZ112" s="4">
        <f>Base[[#This Row],['[SC']Budget_par_retraité]]*Base[[#This Row],['[SC']Nb_personnes_dépendantes]]</f>
        <v>0</v>
      </c>
      <c r="BA112" s="4">
        <f>Base[[#This Row],['[SC']'[Dépendance']Coût_retraite_personnes_dépendantes]]/Base[[#This Row],[Population_totale]]</f>
        <v>0</v>
      </c>
      <c r="BB11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2" s="4">
        <f>Base[[#This Row],['[SC']'[Dépendance']Gains]]-Base[[#This Row],['[SC']'[Dépendance']Coûts]]</f>
        <v>0</v>
      </c>
      <c r="BD112" s="4">
        <f>IF(Base[[#This Row],[Pathologie]]&lt;&gt;"Mort prématurée",0,Base[[#This Row],[Risque]]*Base[[#This Row],[Prévalence]]*Base[[#This Row],[Population_totale]])</f>
        <v>0</v>
      </c>
      <c r="BE112" s="4">
        <v>52.74</v>
      </c>
      <c r="BF112" s="4">
        <f>Base[[#This Row],['[SC']Âge_moyen_retraite]]-Base[[#This Row],['[SC']'[Mort_prématurée']Âge_moyen_mort précoce]]</f>
        <v>10.159999999999997</v>
      </c>
      <c r="BG112" s="4">
        <f>Base[[#This Row],[Espérance_vie]]+Base[[#This Row],['[SC']Hausse_esp_de_vie]]-Base[[#This Row],['[SC']Âge_moyen_retraite]]</f>
        <v>19.90101171382144</v>
      </c>
      <c r="BH112" s="4">
        <v>106583.42676924677</v>
      </c>
      <c r="BI112" s="4">
        <v>97601.789429271477</v>
      </c>
      <c r="BJ112" s="4">
        <v>302038.31496633729</v>
      </c>
      <c r="BK112" s="4">
        <v>117293.58934859755</v>
      </c>
      <c r="BL112" s="4">
        <v>1523999.9999999995</v>
      </c>
      <c r="BM1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2" s="4">
        <v>294804.96027377353</v>
      </c>
      <c r="BO1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2" s="4">
        <f>(Base[[#This Row],['[SC']'[Mort_prématurée']Gains]]-Base[[#This Row],['[SC']'[Mort_prématurée']Coûts]])/Base[[#This Row],[Population_totale]]</f>
        <v>0</v>
      </c>
      <c r="BQ112" s="4">
        <f>IF(Base[[#This Row],[Pathologie]]&lt;&gt;"Mort prématurée",0,Base[[#This Row],[Risque]])</f>
        <v>0</v>
      </c>
      <c r="BR112" s="4">
        <v>2680</v>
      </c>
      <c r="BS1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2" s="4">
        <f>Base[[#This Row],[Prévalence_prod]]*(1-Base[[#This Row],[Risque]])*Base[[#This Row],[Durée_arrêt]]*Base[[#This Row],[Population_emploi]]</f>
        <v>6637693.7201428628</v>
      </c>
      <c r="BV112" s="4">
        <f>Base[[#This Row],['[Prod']'[Absentéisme']Total_jours_absence_avant]]-Base[[#This Row],['[Prod']'[Absentéisme']Total_jours_absence_après]]</f>
        <v>776885.32563405856</v>
      </c>
      <c r="BW112" s="4">
        <f>IF(AND(Base[[#This Row],[Pathologie]]&lt;&gt;"Dépendance",Base[[#This Row],[Pathologie]]&lt;&gt;"Mort prématurée",Base[[#This Row],[Pathologie]]&lt;&gt;"Migraine"),0.0619,0)</f>
        <v>6.1899999999999997E-2</v>
      </c>
      <c r="BX112" s="4">
        <v>254</v>
      </c>
      <c r="BY112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2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2" s="4">
        <f>Base[[#This Row],[Prévalence_prod]]*Base[[#This Row],[Présentéisme]]*Base[[#This Row],['[Prod']Jours_ouvrés]]</f>
        <v>1.7912080000000001</v>
      </c>
      <c r="CB112" s="4">
        <f>Base[[#This Row],[Prévalence_prod]]*(1-Base[[#This Row],[Risque]])*Base[[#This Row],[Présentéisme]]*Base[[#This Row],['[Prod']Jours_ouvrés]]</f>
        <v>1.6035286723177473</v>
      </c>
      <c r="CC112" s="4">
        <f>Base[[#This Row],['[Prod']'[Présentéisme']Jours_avant]]-Base[[#This Row],['[Prod']'[Présentéisme']Jours_après]]</f>
        <v>0.18767932768225282</v>
      </c>
      <c r="CD112" s="4">
        <f>Base[[#This Row],['[Prod']'[Présentéisme']Jours_gagnés]]/Base[[#This Row],['[Prod']Jours_ouvrés]]</f>
        <v>7.3889499087501109E-4</v>
      </c>
      <c r="CE112">
        <v>5.8333039429220801E-2</v>
      </c>
      <c r="CF112">
        <v>1.4658164114728258E-2</v>
      </c>
      <c r="CG112" s="4">
        <v>11</v>
      </c>
      <c r="CH112" s="4">
        <v>0.49446424657188709</v>
      </c>
      <c r="CI112" s="4">
        <v>1.0795805058605798E-2</v>
      </c>
      <c r="CJ112" s="4">
        <f>IF(Base[[#This Row],[Secteur]]&lt;&gt;"Moyenne",Base[[#This Row],['[Prod']'[Turnover']DMC_initiale]]*(1+Base[[#This Row],['[Prod']'[Turnover']Ecart_accidents]]*Base[[#This Row],['[Prod']Impact_motifs_turnover]]),CJ95*CI95+CJ96*CI96+CJ97*CI97+CJ98*CI98+CJ99*CI99+CJ100*CI100+CJ101*CI101+CJ102*CI102+CJ103*CI103+CJ104*CI104+CJ105*CI105+CJ106*CI106+CJ107*CI107+CJ108*CI108+CJ109*CI109+CJ110*CI110+CJ111*CI111)</f>
        <v>11.079727318826279</v>
      </c>
      <c r="CK112" s="4">
        <f>1/Base[[#This Row],['[Prod']'[Turnover']DMC_initiale]]</f>
        <v>9.0909090909090912E-2</v>
      </c>
      <c r="CL112" s="4">
        <f>1/Base[[#This Row],['[Prod']'[Turnover']DMC_finale]]</f>
        <v>9.025492877436031E-2</v>
      </c>
    </row>
    <row r="113" spans="2:90" x14ac:dyDescent="0.25">
      <c r="B113" s="4" t="s">
        <v>321</v>
      </c>
      <c r="C113">
        <v>7.5</v>
      </c>
      <c r="D113" t="s">
        <v>84</v>
      </c>
      <c r="E113" t="s">
        <v>8</v>
      </c>
      <c r="F113" s="3">
        <v>0.10477807584727883</v>
      </c>
      <c r="G113" s="3">
        <v>4.1000000000000002E-2</v>
      </c>
      <c r="H113" s="3">
        <v>4.1000000000000002E-2</v>
      </c>
      <c r="I113" s="3">
        <v>0.17199999999999999</v>
      </c>
      <c r="J113" s="3">
        <v>3.8954334592466999</v>
      </c>
      <c r="K113" s="3">
        <v>7.0000000000000007E-2</v>
      </c>
      <c r="L113" s="2">
        <f>Base[[#This Row],[Coût]]*Base[[#This Row],[Part_ménages_dépenses_santé]]</f>
        <v>0.27268034214726899</v>
      </c>
      <c r="M113" s="2">
        <v>0.82690611956969029</v>
      </c>
      <c r="N113" s="6">
        <v>27700000</v>
      </c>
      <c r="O113" s="7">
        <f>Base[[#This Row],[Coût_salarié]]*10^9*Base[[#This Row],[Risque]]*Base[[#This Row],[Prévalence]]*Base[[#This Row],[Part_coûts_salarié]]/Base[[#This Row],[Population_emploi]]</f>
        <v>3.4969107056328594E-2</v>
      </c>
      <c r="P113">
        <v>50</v>
      </c>
      <c r="Q113">
        <v>50</v>
      </c>
      <c r="R113" s="2">
        <v>9.9999999999999978E-2</v>
      </c>
      <c r="S113" s="2">
        <v>0.33340000000000003</v>
      </c>
      <c r="T113" s="4">
        <v>4.1000000000000002E-2</v>
      </c>
      <c r="U113" s="4">
        <f>IF(Bases_annexes!$F$5=0,16.6587111018772,0.77*Bases_annexes!$F$5/(IF(OR(ISBLANK('Données_d''entrée'!$E$44),'Données_d''entrée'!$E$44=0),35,'Données_d''entrée'!$E$44)*52))</f>
        <v>16.658711101877199</v>
      </c>
      <c r="V113" s="4">
        <v>6.5286422873795198</v>
      </c>
      <c r="W1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3" s="4">
        <v>234.5</v>
      </c>
      <c r="Y113" s="4">
        <f>(Base[[#This Row],['[Maladies']Coûts_évités_par_salarié]]+Base[[#This Row],['[Travail']Coûts_évités_par_salarié]])/Base[[#This Row],[Budget_santé_salarié]]</f>
        <v>7.3116582342331688E-3</v>
      </c>
      <c r="Z113" s="4">
        <v>0.8</v>
      </c>
      <c r="AA113" s="4">
        <f>Base[[#This Row],[Coût]]*Base[[#This Row],[Part_société_dépenses_santé]]</f>
        <v>3.1163467673973599</v>
      </c>
      <c r="AB113" s="4">
        <v>67635124</v>
      </c>
      <c r="AC113" s="4">
        <v>82.297079063317852</v>
      </c>
      <c r="AD113" s="4">
        <v>0.11599999999999999</v>
      </c>
      <c r="AE113" s="4">
        <f>Base[[#This Row],['[SC']Prévalence_travail]]*Base[[#This Row],[Population_emploi]]</f>
        <v>3213200</v>
      </c>
      <c r="AF113" s="4">
        <f>Base[[#This Row],[Risque]]*Base[[#This Row],['[SC']Patients_en_emploi]]</f>
        <v>336672.91331247636</v>
      </c>
      <c r="AG113" s="4">
        <v>552654220.25999999</v>
      </c>
      <c r="AH113" s="4">
        <f>IFERROR(Base[[#This Row],['[SC']Prestations]]/Base[[#This Row],['[SC']Patients_en_emploi]],0)</f>
        <v>171.99496460226564</v>
      </c>
      <c r="AI113" s="4">
        <v>51.7</v>
      </c>
      <c r="AJ1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3" s="4">
        <f>Base[[#This Row],['[SC']'[Travail']Coûts_évités]]/Base[[#This Row],[Population_emploi]]</f>
        <v>2.0904709677877622</v>
      </c>
      <c r="AL113" s="4">
        <f>Base[[#This Row],[Coût_société]]*10^9*Base[[#This Row],[Risque]]*Base[[#This Row],[Prévalence]]*Base[[#This Row],[Part_coûts_salarié]]/Base[[#This Row],[Population_emploi]]</f>
        <v>0.39964693778661253</v>
      </c>
      <c r="AM113" s="4">
        <f>IF(Base[[#This Row],[Pathologie]]&lt;&gt;"Dépendance",0,14909.24243952)</f>
        <v>0</v>
      </c>
      <c r="AN113" s="4">
        <f>IF(Base[[#This Row],[Pathologie]]&lt;&gt;"Dépendance",0,1316000)</f>
        <v>0</v>
      </c>
      <c r="AO113" s="4">
        <f>IF(Base[[#This Row],[Pathologie]]&lt;&gt;"Dépendance",0,Base[[#This Row],['[SC']Coût_personne_dépendante]]*Base[[#This Row],['[SC']Nb_personnes_dépendantes]])</f>
        <v>0</v>
      </c>
      <c r="AP113" s="4">
        <f>IF(Base[[#This Row],[Pathologie]]&lt;&gt;"Dépendance",0,Base[[#This Row],['[SC']Coût_total_dépendance]]/Base[[#This Row],[Population_totale]])</f>
        <v>0</v>
      </c>
      <c r="AQ113" s="4">
        <f>IF(Base[[#This Row],[Pathologie]]&lt;&gt;"Dépendance",0,4.5)</f>
        <v>0</v>
      </c>
      <c r="AR113" s="4">
        <v>0.50393265050357905</v>
      </c>
      <c r="AS113" s="4">
        <f>Base[[#This Row],[Espérance_vie]]+Base[[#This Row],['[SC']Hausse_esp_de_vie]]-Base[[#This Row],['[SC']Durée_moyenne_dépendance_avt]]+Base[[#This Row],[Risque]]</f>
        <v>82.905789789668717</v>
      </c>
      <c r="AT1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3" s="4">
        <v>62.9</v>
      </c>
      <c r="AW113" s="4">
        <f t="shared" si="0"/>
        <v>336905600000</v>
      </c>
      <c r="AX113" s="4">
        <v>15049171</v>
      </c>
      <c r="AY113" s="4">
        <f>Base[[#This Row],['[SC']Budget_total_retraites]]/Base[[#This Row],['[SC']Nombre_de_retraités]]</f>
        <v>22386.987296509556</v>
      </c>
      <c r="AZ113" s="4">
        <f>Base[[#This Row],['[SC']Budget_par_retraité]]*Base[[#This Row],['[SC']Nb_personnes_dépendantes]]</f>
        <v>0</v>
      </c>
      <c r="BA113" s="4">
        <f>Base[[#This Row],['[SC']'[Dépendance']Coût_retraite_personnes_dépendantes]]/Base[[#This Row],[Population_totale]]</f>
        <v>0</v>
      </c>
      <c r="BB11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3" s="4">
        <f>Base[[#This Row],['[SC']'[Dépendance']Gains]]-Base[[#This Row],['[SC']'[Dépendance']Coûts]]</f>
        <v>0</v>
      </c>
      <c r="BD113" s="4">
        <f>IF(Base[[#This Row],[Pathologie]]&lt;&gt;"Mort prématurée",0,Base[[#This Row],[Risque]]*Base[[#This Row],[Prévalence]]*Base[[#This Row],[Population_totale]])</f>
        <v>0</v>
      </c>
      <c r="BE113" s="4">
        <v>52.74</v>
      </c>
      <c r="BF113" s="4">
        <f>Base[[#This Row],['[SC']Âge_moyen_retraite]]-Base[[#This Row],['[SC']'[Mort_prématurée']Âge_moyen_mort précoce]]</f>
        <v>10.159999999999997</v>
      </c>
      <c r="BG113" s="4">
        <f>Base[[#This Row],[Espérance_vie]]+Base[[#This Row],['[SC']Hausse_esp_de_vie]]-Base[[#This Row],['[SC']Âge_moyen_retraite]]</f>
        <v>19.90101171382144</v>
      </c>
      <c r="BH113" s="4">
        <v>106583.42676924677</v>
      </c>
      <c r="BI113" s="4">
        <v>97601.789429271477</v>
      </c>
      <c r="BJ113" s="4">
        <v>302038.31496633729</v>
      </c>
      <c r="BK113" s="4">
        <v>117293.58934859755</v>
      </c>
      <c r="BL113" s="4">
        <v>1523999.9999999995</v>
      </c>
      <c r="BM1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3" s="4">
        <v>294804.96027377353</v>
      </c>
      <c r="BO1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3" s="4">
        <f>(Base[[#This Row],['[SC']'[Mort_prématurée']Gains]]-Base[[#This Row],['[SC']'[Mort_prématurée']Coûts]])/Base[[#This Row],[Population_totale]]</f>
        <v>0</v>
      </c>
      <c r="BQ113" s="4">
        <f>IF(Base[[#This Row],[Pathologie]]&lt;&gt;"Mort prématurée",0,Base[[#This Row],[Risque]])</f>
        <v>0</v>
      </c>
      <c r="BR113" s="4">
        <v>2680</v>
      </c>
      <c r="BS1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3" s="4">
        <f>Base[[#This Row],[Prévalence_prod]]*(1-Base[[#This Row],[Risque]])*Base[[#This Row],[Durée_arrêt]]*Base[[#This Row],[Population_emploi]]</f>
        <v>6637693.7201428628</v>
      </c>
      <c r="BV113" s="4">
        <f>Base[[#This Row],['[Prod']'[Absentéisme']Total_jours_absence_avant]]-Base[[#This Row],['[Prod']'[Absentéisme']Total_jours_absence_après]]</f>
        <v>776885.32563405856</v>
      </c>
      <c r="BW113" s="4">
        <f>IF(AND(Base[[#This Row],[Pathologie]]&lt;&gt;"Dépendance",Base[[#This Row],[Pathologie]]&lt;&gt;"Mort prématurée",Base[[#This Row],[Pathologie]]&lt;&gt;"Migraine"),0.0619,0)</f>
        <v>6.1899999999999997E-2</v>
      </c>
      <c r="BX113" s="4">
        <v>254</v>
      </c>
      <c r="BY11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3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3" s="4">
        <f>Base[[#This Row],[Prévalence_prod]]*Base[[#This Row],[Présentéisme]]*Base[[#This Row],['[Prod']Jours_ouvrés]]</f>
        <v>1.7912080000000001</v>
      </c>
      <c r="CB113" s="4">
        <f>Base[[#This Row],[Prévalence_prod]]*(1-Base[[#This Row],[Risque]])*Base[[#This Row],[Présentéisme]]*Base[[#This Row],['[Prod']Jours_ouvrés]]</f>
        <v>1.6035286723177473</v>
      </c>
      <c r="CC113" s="4">
        <f>Base[[#This Row],['[Prod']'[Présentéisme']Jours_avant]]-Base[[#This Row],['[Prod']'[Présentéisme']Jours_après]]</f>
        <v>0.18767932768225282</v>
      </c>
      <c r="CD113" s="4">
        <f>Base[[#This Row],['[Prod']'[Présentéisme']Jours_gagnés]]/Base[[#This Row],['[Prod']Jours_ouvrés]]</f>
        <v>7.3889499087501109E-4</v>
      </c>
      <c r="CE113">
        <v>5.8333039429220801E-2</v>
      </c>
      <c r="CF113">
        <v>1.4658164114728258E-2</v>
      </c>
      <c r="CG113" s="4">
        <v>11</v>
      </c>
      <c r="CH113" s="4">
        <v>0.85274500894619554</v>
      </c>
      <c r="CI113" s="4">
        <v>4.2903496994109176E-2</v>
      </c>
      <c r="CJ113" s="4">
        <f>IF(Base[[#This Row],[Secteur]]&lt;&gt;"Moyenne",Base[[#This Row],['[Prod']'[Turnover']DMC_initiale]]*(1+Base[[#This Row],['[Prod']'[Turnover']Ecart_accidents]]*Base[[#This Row],['[Prod']Impact_motifs_turnover]]),CJ96*CI96+CJ97*CI97+CJ98*CI98+CJ99*CI99+CJ100*CI100+CJ101*CI101+CJ102*CI102+CJ103*CI103+CJ104*CI104+CJ105*CI105+CJ106*CI106+CJ107*CI107+CJ108*CI108+CJ109*CI109+CJ110*CI110+CJ111*CI111+CJ112*CI112)</f>
        <v>11.137496439180635</v>
      </c>
      <c r="CK113" s="4">
        <f>1/Base[[#This Row],['[Prod']'[Turnover']DMC_initiale]]</f>
        <v>9.0909090909090912E-2</v>
      </c>
      <c r="CL113" s="4">
        <f>1/Base[[#This Row],['[Prod']'[Turnover']DMC_finale]]</f>
        <v>8.9786785159553156E-2</v>
      </c>
    </row>
    <row r="114" spans="2:90" x14ac:dyDescent="0.25">
      <c r="B114" s="4" t="s">
        <v>322</v>
      </c>
      <c r="C114">
        <v>7.5</v>
      </c>
      <c r="D114" t="s">
        <v>84</v>
      </c>
      <c r="E114" t="s">
        <v>8</v>
      </c>
      <c r="F114" s="3">
        <v>0.10477807584727883</v>
      </c>
      <c r="G114" s="3">
        <v>4.1000000000000002E-2</v>
      </c>
      <c r="H114" s="3">
        <v>4.1000000000000002E-2</v>
      </c>
      <c r="I114" s="3">
        <v>0.17199999999999999</v>
      </c>
      <c r="J114" s="3">
        <v>3.8954334592466999</v>
      </c>
      <c r="K114" s="3">
        <v>7.0000000000000007E-2</v>
      </c>
      <c r="L114" s="2">
        <f>Base[[#This Row],[Coût]]*Base[[#This Row],[Part_ménages_dépenses_santé]]</f>
        <v>0.27268034214726899</v>
      </c>
      <c r="M114" s="2">
        <v>0.82690611956969029</v>
      </c>
      <c r="N114" s="6">
        <v>27700000</v>
      </c>
      <c r="O114" s="7">
        <f>Base[[#This Row],[Coût_salarié]]*10^9*Base[[#This Row],[Risque]]*Base[[#This Row],[Prévalence]]*Base[[#This Row],[Part_coûts_salarié]]/Base[[#This Row],[Population_emploi]]</f>
        <v>3.4969107056328594E-2</v>
      </c>
      <c r="P114">
        <v>50</v>
      </c>
      <c r="Q114">
        <v>50</v>
      </c>
      <c r="R114" s="2">
        <v>9.9999999999999978E-2</v>
      </c>
      <c r="S114" s="2">
        <v>0.33340000000000003</v>
      </c>
      <c r="T114" s="4">
        <v>4.1000000000000002E-2</v>
      </c>
      <c r="U114" s="4">
        <f>IF(Bases_annexes!$F$5=0,16.6587111018772,0.77*Bases_annexes!$F$5/(IF(OR(ISBLANK('Données_d''entrée'!$E$44),'Données_d''entrée'!$E$44=0),35,'Données_d''entrée'!$E$44)*52))</f>
        <v>16.658711101877199</v>
      </c>
      <c r="V114" s="4">
        <v>6.5286422873795198</v>
      </c>
      <c r="W1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4" s="4">
        <v>234.5</v>
      </c>
      <c r="Y114" s="4">
        <f>(Base[[#This Row],['[Maladies']Coûts_évités_par_salarié]]+Base[[#This Row],['[Travail']Coûts_évités_par_salarié]])/Base[[#This Row],[Budget_santé_salarié]]</f>
        <v>7.3116582342331688E-3</v>
      </c>
      <c r="Z114" s="4">
        <v>0.8</v>
      </c>
      <c r="AA114" s="4">
        <f>Base[[#This Row],[Coût]]*Base[[#This Row],[Part_société_dépenses_santé]]</f>
        <v>3.1163467673973599</v>
      </c>
      <c r="AB114" s="4">
        <v>67635124</v>
      </c>
      <c r="AC114" s="4">
        <v>82.297079063317852</v>
      </c>
      <c r="AD114" s="4">
        <v>0.11599999999999999</v>
      </c>
      <c r="AE114" s="4">
        <f>Base[[#This Row],['[SC']Prévalence_travail]]*Base[[#This Row],[Population_emploi]]</f>
        <v>3213200</v>
      </c>
      <c r="AF114" s="4">
        <f>Base[[#This Row],[Risque]]*Base[[#This Row],['[SC']Patients_en_emploi]]</f>
        <v>336672.91331247636</v>
      </c>
      <c r="AG114" s="4">
        <v>552654220.25999999</v>
      </c>
      <c r="AH114" s="4">
        <f>IFERROR(Base[[#This Row],['[SC']Prestations]]/Base[[#This Row],['[SC']Patients_en_emploi]],0)</f>
        <v>171.99496460226564</v>
      </c>
      <c r="AI114" s="4">
        <v>51.7</v>
      </c>
      <c r="AJ1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4" s="4">
        <f>Base[[#This Row],['[SC']'[Travail']Coûts_évités]]/Base[[#This Row],[Population_emploi]]</f>
        <v>2.0904709677877622</v>
      </c>
      <c r="AL114" s="4">
        <f>Base[[#This Row],[Coût_société]]*10^9*Base[[#This Row],[Risque]]*Base[[#This Row],[Prévalence]]*Base[[#This Row],[Part_coûts_salarié]]/Base[[#This Row],[Population_emploi]]</f>
        <v>0.39964693778661253</v>
      </c>
      <c r="AM114" s="4">
        <f>IF(Base[[#This Row],[Pathologie]]&lt;&gt;"Dépendance",0,14909.24243952)</f>
        <v>0</v>
      </c>
      <c r="AN114" s="4">
        <f>IF(Base[[#This Row],[Pathologie]]&lt;&gt;"Dépendance",0,1316000)</f>
        <v>0</v>
      </c>
      <c r="AO114" s="4">
        <f>IF(Base[[#This Row],[Pathologie]]&lt;&gt;"Dépendance",0,Base[[#This Row],['[SC']Coût_personne_dépendante]]*Base[[#This Row],['[SC']Nb_personnes_dépendantes]])</f>
        <v>0</v>
      </c>
      <c r="AP114" s="4">
        <f>IF(Base[[#This Row],[Pathologie]]&lt;&gt;"Dépendance",0,Base[[#This Row],['[SC']Coût_total_dépendance]]/Base[[#This Row],[Population_totale]])</f>
        <v>0</v>
      </c>
      <c r="AQ114" s="4">
        <f>IF(Base[[#This Row],[Pathologie]]&lt;&gt;"Dépendance",0,4.5)</f>
        <v>0</v>
      </c>
      <c r="AR114" s="4">
        <v>0.50393265050357905</v>
      </c>
      <c r="AS114" s="4">
        <f>Base[[#This Row],[Espérance_vie]]+Base[[#This Row],['[SC']Hausse_esp_de_vie]]-Base[[#This Row],['[SC']Durée_moyenne_dépendance_avt]]+Base[[#This Row],[Risque]]</f>
        <v>82.905789789668717</v>
      </c>
      <c r="AT1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4" s="4">
        <v>62.9</v>
      </c>
      <c r="AW114" s="4">
        <f t="shared" si="0"/>
        <v>336905600000</v>
      </c>
      <c r="AX114" s="4">
        <v>15049171</v>
      </c>
      <c r="AY114" s="4">
        <f>Base[[#This Row],['[SC']Budget_total_retraites]]/Base[[#This Row],['[SC']Nombre_de_retraités]]</f>
        <v>22386.987296509556</v>
      </c>
      <c r="AZ114" s="4">
        <f>Base[[#This Row],['[SC']Budget_par_retraité]]*Base[[#This Row],['[SC']Nb_personnes_dépendantes]]</f>
        <v>0</v>
      </c>
      <c r="BA114" s="4">
        <f>Base[[#This Row],['[SC']'[Dépendance']Coût_retraite_personnes_dépendantes]]/Base[[#This Row],[Population_totale]]</f>
        <v>0</v>
      </c>
      <c r="BB11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4" s="4">
        <f>Base[[#This Row],['[SC']'[Dépendance']Gains]]-Base[[#This Row],['[SC']'[Dépendance']Coûts]]</f>
        <v>0</v>
      </c>
      <c r="BD114" s="4">
        <f>IF(Base[[#This Row],[Pathologie]]&lt;&gt;"Mort prématurée",0,Base[[#This Row],[Risque]]*Base[[#This Row],[Prévalence]]*Base[[#This Row],[Population_totale]])</f>
        <v>0</v>
      </c>
      <c r="BE114" s="4">
        <v>52.74</v>
      </c>
      <c r="BF114" s="4">
        <f>Base[[#This Row],['[SC']Âge_moyen_retraite]]-Base[[#This Row],['[SC']'[Mort_prématurée']Âge_moyen_mort précoce]]</f>
        <v>10.159999999999997</v>
      </c>
      <c r="BG114" s="4">
        <f>Base[[#This Row],[Espérance_vie]]+Base[[#This Row],['[SC']Hausse_esp_de_vie]]-Base[[#This Row],['[SC']Âge_moyen_retraite]]</f>
        <v>19.90101171382144</v>
      </c>
      <c r="BH114" s="4">
        <v>106583.42676924677</v>
      </c>
      <c r="BI114" s="4">
        <v>97601.789429271477</v>
      </c>
      <c r="BJ114" s="4">
        <v>302038.31496633729</v>
      </c>
      <c r="BK114" s="4">
        <v>117293.58934859755</v>
      </c>
      <c r="BL114" s="4">
        <v>1523999.9999999995</v>
      </c>
      <c r="BM1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4" s="4">
        <v>294804.96027377353</v>
      </c>
      <c r="BO1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4" s="4">
        <f>(Base[[#This Row],['[SC']'[Mort_prématurée']Gains]]-Base[[#This Row],['[SC']'[Mort_prématurée']Coûts]])/Base[[#This Row],[Population_totale]]</f>
        <v>0</v>
      </c>
      <c r="BQ114" s="4">
        <f>IF(Base[[#This Row],[Pathologie]]&lt;&gt;"Mort prématurée",0,Base[[#This Row],[Risque]])</f>
        <v>0</v>
      </c>
      <c r="BR114" s="4">
        <v>2680</v>
      </c>
      <c r="BS1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4" s="4">
        <f>Base[[#This Row],[Prévalence_prod]]*(1-Base[[#This Row],[Risque]])*Base[[#This Row],[Durée_arrêt]]*Base[[#This Row],[Population_emploi]]</f>
        <v>6637693.7201428628</v>
      </c>
      <c r="BV114" s="4">
        <f>Base[[#This Row],['[Prod']'[Absentéisme']Total_jours_absence_avant]]-Base[[#This Row],['[Prod']'[Absentéisme']Total_jours_absence_après]]</f>
        <v>776885.32563405856</v>
      </c>
      <c r="BW114" s="4">
        <f>IF(AND(Base[[#This Row],[Pathologie]]&lt;&gt;"Dépendance",Base[[#This Row],[Pathologie]]&lt;&gt;"Mort prématurée",Base[[#This Row],[Pathologie]]&lt;&gt;"Migraine"),0.0619,0)</f>
        <v>6.1899999999999997E-2</v>
      </c>
      <c r="BX114" s="4">
        <v>254</v>
      </c>
      <c r="BY11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4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4" s="4">
        <f>Base[[#This Row],[Prévalence_prod]]*Base[[#This Row],[Présentéisme]]*Base[[#This Row],['[Prod']Jours_ouvrés]]</f>
        <v>1.7912080000000001</v>
      </c>
      <c r="CB114" s="4">
        <f>Base[[#This Row],[Prévalence_prod]]*(1-Base[[#This Row],[Risque]])*Base[[#This Row],[Présentéisme]]*Base[[#This Row],['[Prod']Jours_ouvrés]]</f>
        <v>1.6035286723177473</v>
      </c>
      <c r="CC114" s="4">
        <f>Base[[#This Row],['[Prod']'[Présentéisme']Jours_avant]]-Base[[#This Row],['[Prod']'[Présentéisme']Jours_après]]</f>
        <v>0.18767932768225282</v>
      </c>
      <c r="CD114" s="4">
        <f>Base[[#This Row],['[Prod']'[Présentéisme']Jours_gagnés]]/Base[[#This Row],['[Prod']Jours_ouvrés]]</f>
        <v>7.3889499087501109E-4</v>
      </c>
      <c r="CE114">
        <v>5.8333039429220801E-2</v>
      </c>
      <c r="CF114">
        <v>1.4658164114728258E-2</v>
      </c>
      <c r="CG114" s="4">
        <v>11</v>
      </c>
      <c r="CH114" s="4">
        <v>1.6219398392978641</v>
      </c>
      <c r="CI114" s="4">
        <v>9.628527536862988E-2</v>
      </c>
      <c r="CJ114" s="4">
        <f>IF(Base[[#This Row],[Secteur]]&lt;&gt;"Moyenne",Base[[#This Row],['[Prod']'[Turnover']DMC_initiale]]*(1+Base[[#This Row],['[Prod']'[Turnover']Ecart_accidents]]*Base[[#This Row],['[Prod']Impact_motifs_turnover]]),CJ97*CI97+CJ98*CI98+CJ99*CI99+CJ100*CI100+CJ101*CI101+CJ102*CI102+CJ103*CI103+CJ104*CI104+CJ105*CI105+CJ106*CI106+CJ107*CI107+CJ108*CI108+CJ109*CI109+CJ110*CI110+CJ111*CI111+CJ112*CI112+CJ113*CI113)</f>
        <v>11.261521263835085</v>
      </c>
      <c r="CK114" s="4">
        <f>1/Base[[#This Row],['[Prod']'[Turnover']DMC_initiale]]</f>
        <v>9.0909090909090912E-2</v>
      </c>
      <c r="CL114" s="4">
        <f>1/Base[[#This Row],['[Prod']'[Turnover']DMC_finale]]</f>
        <v>8.8797949812639457E-2</v>
      </c>
    </row>
    <row r="115" spans="2:90" x14ac:dyDescent="0.25">
      <c r="B115" s="4" t="s">
        <v>323</v>
      </c>
      <c r="C115">
        <v>7.5</v>
      </c>
      <c r="D115" t="s">
        <v>84</v>
      </c>
      <c r="E115" t="s">
        <v>8</v>
      </c>
      <c r="F115" s="3">
        <v>0.10477807584727883</v>
      </c>
      <c r="G115" s="3">
        <v>4.1000000000000002E-2</v>
      </c>
      <c r="H115" s="3">
        <v>4.1000000000000002E-2</v>
      </c>
      <c r="I115" s="3">
        <v>0.17199999999999999</v>
      </c>
      <c r="J115" s="3">
        <v>3.8954334592466999</v>
      </c>
      <c r="K115" s="3">
        <v>7.0000000000000007E-2</v>
      </c>
      <c r="L115" s="2">
        <f>Base[[#This Row],[Coût]]*Base[[#This Row],[Part_ménages_dépenses_santé]]</f>
        <v>0.27268034214726899</v>
      </c>
      <c r="M115" s="2">
        <v>0.82690611956969029</v>
      </c>
      <c r="N115" s="6">
        <v>27700000</v>
      </c>
      <c r="O115" s="7">
        <f>Base[[#This Row],[Coût_salarié]]*10^9*Base[[#This Row],[Risque]]*Base[[#This Row],[Prévalence]]*Base[[#This Row],[Part_coûts_salarié]]/Base[[#This Row],[Population_emploi]]</f>
        <v>3.4969107056328594E-2</v>
      </c>
      <c r="P115">
        <v>50</v>
      </c>
      <c r="Q115">
        <v>50</v>
      </c>
      <c r="R115" s="2">
        <v>9.9999999999999978E-2</v>
      </c>
      <c r="S115" s="2">
        <v>0.33340000000000003</v>
      </c>
      <c r="T115" s="4">
        <v>4.1000000000000002E-2</v>
      </c>
      <c r="U115" s="4">
        <f>IF(Bases_annexes!$F$5=0,16.6587111018772,0.77*Bases_annexes!$F$5/(IF(OR(ISBLANK('Données_d''entrée'!$E$44),'Données_d''entrée'!$E$44=0),35,'Données_d''entrée'!$E$44)*52))</f>
        <v>16.658711101877199</v>
      </c>
      <c r="V115" s="4">
        <v>6.5286422873795198</v>
      </c>
      <c r="W1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5" s="4">
        <v>234.5</v>
      </c>
      <c r="Y115" s="4">
        <f>(Base[[#This Row],['[Maladies']Coûts_évités_par_salarié]]+Base[[#This Row],['[Travail']Coûts_évités_par_salarié]])/Base[[#This Row],[Budget_santé_salarié]]</f>
        <v>7.3116582342331688E-3</v>
      </c>
      <c r="Z115" s="4">
        <v>0.8</v>
      </c>
      <c r="AA115" s="4">
        <f>Base[[#This Row],[Coût]]*Base[[#This Row],[Part_société_dépenses_santé]]</f>
        <v>3.1163467673973599</v>
      </c>
      <c r="AB115" s="4">
        <v>67635124</v>
      </c>
      <c r="AC115" s="4">
        <v>82.297079063317852</v>
      </c>
      <c r="AD115" s="4">
        <v>0.11599999999999999</v>
      </c>
      <c r="AE115" s="4">
        <f>Base[[#This Row],['[SC']Prévalence_travail]]*Base[[#This Row],[Population_emploi]]</f>
        <v>3213200</v>
      </c>
      <c r="AF115" s="4">
        <f>Base[[#This Row],[Risque]]*Base[[#This Row],['[SC']Patients_en_emploi]]</f>
        <v>336672.91331247636</v>
      </c>
      <c r="AG115" s="4">
        <v>552654220.25999999</v>
      </c>
      <c r="AH115" s="4">
        <f>IFERROR(Base[[#This Row],['[SC']Prestations]]/Base[[#This Row],['[SC']Patients_en_emploi]],0)</f>
        <v>171.99496460226564</v>
      </c>
      <c r="AI115" s="4">
        <v>51.7</v>
      </c>
      <c r="AJ1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5" s="4">
        <f>Base[[#This Row],['[SC']'[Travail']Coûts_évités]]/Base[[#This Row],[Population_emploi]]</f>
        <v>2.0904709677877622</v>
      </c>
      <c r="AL115" s="4">
        <f>Base[[#This Row],[Coût_société]]*10^9*Base[[#This Row],[Risque]]*Base[[#This Row],[Prévalence]]*Base[[#This Row],[Part_coûts_salarié]]/Base[[#This Row],[Population_emploi]]</f>
        <v>0.39964693778661253</v>
      </c>
      <c r="AM115" s="4">
        <f>IF(Base[[#This Row],[Pathologie]]&lt;&gt;"Dépendance",0,14909.24243952)</f>
        <v>0</v>
      </c>
      <c r="AN115" s="4">
        <f>IF(Base[[#This Row],[Pathologie]]&lt;&gt;"Dépendance",0,1316000)</f>
        <v>0</v>
      </c>
      <c r="AO115" s="4">
        <f>IF(Base[[#This Row],[Pathologie]]&lt;&gt;"Dépendance",0,Base[[#This Row],['[SC']Coût_personne_dépendante]]*Base[[#This Row],['[SC']Nb_personnes_dépendantes]])</f>
        <v>0</v>
      </c>
      <c r="AP115" s="4">
        <f>IF(Base[[#This Row],[Pathologie]]&lt;&gt;"Dépendance",0,Base[[#This Row],['[SC']Coût_total_dépendance]]/Base[[#This Row],[Population_totale]])</f>
        <v>0</v>
      </c>
      <c r="AQ115" s="4">
        <f>IF(Base[[#This Row],[Pathologie]]&lt;&gt;"Dépendance",0,4.5)</f>
        <v>0</v>
      </c>
      <c r="AR115" s="4">
        <v>0.50393265050357905</v>
      </c>
      <c r="AS115" s="4">
        <f>Base[[#This Row],[Espérance_vie]]+Base[[#This Row],['[SC']Hausse_esp_de_vie]]-Base[[#This Row],['[SC']Durée_moyenne_dépendance_avt]]+Base[[#This Row],[Risque]]</f>
        <v>82.905789789668717</v>
      </c>
      <c r="AT1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5" s="4">
        <v>62.9</v>
      </c>
      <c r="AW115" s="4">
        <f t="shared" si="0"/>
        <v>336905600000</v>
      </c>
      <c r="AX115" s="4">
        <v>15049171</v>
      </c>
      <c r="AY115" s="4">
        <f>Base[[#This Row],['[SC']Budget_total_retraites]]/Base[[#This Row],['[SC']Nombre_de_retraités]]</f>
        <v>22386.987296509556</v>
      </c>
      <c r="AZ115" s="4">
        <f>Base[[#This Row],['[SC']Budget_par_retraité]]*Base[[#This Row],['[SC']Nb_personnes_dépendantes]]</f>
        <v>0</v>
      </c>
      <c r="BA115" s="4">
        <f>Base[[#This Row],['[SC']'[Dépendance']Coût_retraite_personnes_dépendantes]]/Base[[#This Row],[Population_totale]]</f>
        <v>0</v>
      </c>
      <c r="BB11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5" s="4">
        <f>Base[[#This Row],['[SC']'[Dépendance']Gains]]-Base[[#This Row],['[SC']'[Dépendance']Coûts]]</f>
        <v>0</v>
      </c>
      <c r="BD115" s="4">
        <f>IF(Base[[#This Row],[Pathologie]]&lt;&gt;"Mort prématurée",0,Base[[#This Row],[Risque]]*Base[[#This Row],[Prévalence]]*Base[[#This Row],[Population_totale]])</f>
        <v>0</v>
      </c>
      <c r="BE115" s="4">
        <v>52.74</v>
      </c>
      <c r="BF115" s="4">
        <f>Base[[#This Row],['[SC']Âge_moyen_retraite]]-Base[[#This Row],['[SC']'[Mort_prématurée']Âge_moyen_mort précoce]]</f>
        <v>10.159999999999997</v>
      </c>
      <c r="BG115" s="4">
        <f>Base[[#This Row],[Espérance_vie]]+Base[[#This Row],['[SC']Hausse_esp_de_vie]]-Base[[#This Row],['[SC']Âge_moyen_retraite]]</f>
        <v>19.90101171382144</v>
      </c>
      <c r="BH115" s="4">
        <v>106583.42676924677</v>
      </c>
      <c r="BI115" s="4">
        <v>97601.789429271477</v>
      </c>
      <c r="BJ115" s="4">
        <v>302038.31496633729</v>
      </c>
      <c r="BK115" s="4">
        <v>117293.58934859755</v>
      </c>
      <c r="BL115" s="4">
        <v>1523999.9999999995</v>
      </c>
      <c r="BM1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5" s="4">
        <v>294804.96027377353</v>
      </c>
      <c r="BO1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5" s="4">
        <f>(Base[[#This Row],['[SC']'[Mort_prématurée']Gains]]-Base[[#This Row],['[SC']'[Mort_prématurée']Coûts]])/Base[[#This Row],[Population_totale]]</f>
        <v>0</v>
      </c>
      <c r="BQ115" s="4">
        <f>IF(Base[[#This Row],[Pathologie]]&lt;&gt;"Mort prématurée",0,Base[[#This Row],[Risque]])</f>
        <v>0</v>
      </c>
      <c r="BR115" s="4">
        <v>2680</v>
      </c>
      <c r="BS1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5" s="4">
        <f>Base[[#This Row],[Prévalence_prod]]*(1-Base[[#This Row],[Risque]])*Base[[#This Row],[Durée_arrêt]]*Base[[#This Row],[Population_emploi]]</f>
        <v>6637693.7201428628</v>
      </c>
      <c r="BV115" s="4">
        <f>Base[[#This Row],['[Prod']'[Absentéisme']Total_jours_absence_avant]]-Base[[#This Row],['[Prod']'[Absentéisme']Total_jours_absence_après]]</f>
        <v>776885.32563405856</v>
      </c>
      <c r="BW115" s="4">
        <f>IF(AND(Base[[#This Row],[Pathologie]]&lt;&gt;"Dépendance",Base[[#This Row],[Pathologie]]&lt;&gt;"Mort prématurée",Base[[#This Row],[Pathologie]]&lt;&gt;"Migraine"),0.0619,0)</f>
        <v>6.1899999999999997E-2</v>
      </c>
      <c r="BX115" s="4">
        <v>254</v>
      </c>
      <c r="BY115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5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5" s="4">
        <f>Base[[#This Row],[Prévalence_prod]]*Base[[#This Row],[Présentéisme]]*Base[[#This Row],['[Prod']Jours_ouvrés]]</f>
        <v>1.7912080000000001</v>
      </c>
      <c r="CB115" s="4">
        <f>Base[[#This Row],[Prévalence_prod]]*(1-Base[[#This Row],[Risque]])*Base[[#This Row],[Présentéisme]]*Base[[#This Row],['[Prod']Jours_ouvrés]]</f>
        <v>1.6035286723177473</v>
      </c>
      <c r="CC115" s="4">
        <f>Base[[#This Row],['[Prod']'[Présentéisme']Jours_avant]]-Base[[#This Row],['[Prod']'[Présentéisme']Jours_après]]</f>
        <v>0.18767932768225282</v>
      </c>
      <c r="CD115" s="4">
        <f>Base[[#This Row],['[Prod']'[Présentéisme']Jours_gagnés]]/Base[[#This Row],['[Prod']Jours_ouvrés]]</f>
        <v>7.3889499087501109E-4</v>
      </c>
      <c r="CE115">
        <v>5.8333039429220801E-2</v>
      </c>
      <c r="CF115">
        <v>1.4658164114728258E-2</v>
      </c>
      <c r="CG115" s="4">
        <v>11</v>
      </c>
      <c r="CH115" s="4">
        <v>0.96913802401210614</v>
      </c>
      <c r="CI115" s="4">
        <v>0.10293966445307301</v>
      </c>
      <c r="CJ115" s="4">
        <f>IF(Base[[#This Row],[Secteur]]&lt;&gt;"Moyenne",Base[[#This Row],['[Prod']'[Turnover']DMC_initiale]]*(1+Base[[#This Row],['[Prod']'[Turnover']Ecart_accidents]]*Base[[#This Row],['[Prod']Impact_motifs_turnover]]),CJ98*CI98+CJ99*CI99+CJ100*CI100+CJ101*CI101+CJ102*CI102+CJ103*CI103+CJ104*CI104+CJ105*CI105+CJ106*CI106+CJ107*CI107+CJ108*CI108+CJ109*CI109+CJ110*CI110+CJ111*CI111+CJ112*CI112+CJ113*CI113+CJ114*CI114)</f>
        <v>11.156263626263723</v>
      </c>
      <c r="CK115" s="4">
        <f>1/Base[[#This Row],['[Prod']'[Turnover']DMC_initiale]]</f>
        <v>9.0909090909090912E-2</v>
      </c>
      <c r="CL115" s="4">
        <f>1/Base[[#This Row],['[Prod']'[Turnover']DMC_finale]]</f>
        <v>8.9635744860477456E-2</v>
      </c>
    </row>
    <row r="116" spans="2:90" x14ac:dyDescent="0.25">
      <c r="B116" s="4" t="s">
        <v>324</v>
      </c>
      <c r="C116">
        <v>7.5</v>
      </c>
      <c r="D116" t="s">
        <v>84</v>
      </c>
      <c r="E116" t="s">
        <v>8</v>
      </c>
      <c r="F116" s="3">
        <v>0.10477807584727883</v>
      </c>
      <c r="G116" s="3">
        <v>4.1000000000000002E-2</v>
      </c>
      <c r="H116" s="3">
        <v>4.1000000000000002E-2</v>
      </c>
      <c r="I116" s="3">
        <v>0.17199999999999999</v>
      </c>
      <c r="J116" s="3">
        <v>3.8954334592466999</v>
      </c>
      <c r="K116" s="3">
        <v>7.0000000000000007E-2</v>
      </c>
      <c r="L116" s="2">
        <f>Base[[#This Row],[Coût]]*Base[[#This Row],[Part_ménages_dépenses_santé]]</f>
        <v>0.27268034214726899</v>
      </c>
      <c r="M116" s="2">
        <v>0.82690611956969029</v>
      </c>
      <c r="N116" s="6">
        <v>27700000</v>
      </c>
      <c r="O116" s="7">
        <f>Base[[#This Row],[Coût_salarié]]*10^9*Base[[#This Row],[Risque]]*Base[[#This Row],[Prévalence]]*Base[[#This Row],[Part_coûts_salarié]]/Base[[#This Row],[Population_emploi]]</f>
        <v>3.4969107056328594E-2</v>
      </c>
      <c r="P116">
        <v>50</v>
      </c>
      <c r="Q116">
        <v>50</v>
      </c>
      <c r="R116" s="2">
        <v>9.9999999999999978E-2</v>
      </c>
      <c r="S116" s="2">
        <v>0.33340000000000003</v>
      </c>
      <c r="T116" s="4">
        <v>4.1000000000000002E-2</v>
      </c>
      <c r="U116" s="4">
        <f>IF(Bases_annexes!$F$5=0,16.6587111018772,0.77*Bases_annexes!$F$5/(IF(OR(ISBLANK('Données_d''entrée'!$E$44),'Données_d''entrée'!$E$44=0),35,'Données_d''entrée'!$E$44)*52))</f>
        <v>16.658711101877199</v>
      </c>
      <c r="V116" s="4">
        <v>6.5286422873795198</v>
      </c>
      <c r="W1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6" s="4">
        <v>234.5</v>
      </c>
      <c r="Y116" s="4">
        <f>(Base[[#This Row],['[Maladies']Coûts_évités_par_salarié]]+Base[[#This Row],['[Travail']Coûts_évités_par_salarié]])/Base[[#This Row],[Budget_santé_salarié]]</f>
        <v>7.3116582342331688E-3</v>
      </c>
      <c r="Z116" s="4">
        <v>0.8</v>
      </c>
      <c r="AA116" s="4">
        <f>Base[[#This Row],[Coût]]*Base[[#This Row],[Part_société_dépenses_santé]]</f>
        <v>3.1163467673973599</v>
      </c>
      <c r="AB116" s="4">
        <v>67635124</v>
      </c>
      <c r="AC116" s="4">
        <v>82.297079063317852</v>
      </c>
      <c r="AD116" s="4">
        <v>0.11599999999999999</v>
      </c>
      <c r="AE116" s="4">
        <f>Base[[#This Row],['[SC']Prévalence_travail]]*Base[[#This Row],[Population_emploi]]</f>
        <v>3213200</v>
      </c>
      <c r="AF116" s="4">
        <f>Base[[#This Row],[Risque]]*Base[[#This Row],['[SC']Patients_en_emploi]]</f>
        <v>336672.91331247636</v>
      </c>
      <c r="AG116" s="4">
        <v>552654220.25999999</v>
      </c>
      <c r="AH116" s="4">
        <f>IFERROR(Base[[#This Row],['[SC']Prestations]]/Base[[#This Row],['[SC']Patients_en_emploi]],0)</f>
        <v>171.99496460226564</v>
      </c>
      <c r="AI116" s="4">
        <v>51.7</v>
      </c>
      <c r="AJ1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6" s="4">
        <f>Base[[#This Row],['[SC']'[Travail']Coûts_évités]]/Base[[#This Row],[Population_emploi]]</f>
        <v>2.0904709677877622</v>
      </c>
      <c r="AL116" s="4">
        <f>Base[[#This Row],[Coût_société]]*10^9*Base[[#This Row],[Risque]]*Base[[#This Row],[Prévalence]]*Base[[#This Row],[Part_coûts_salarié]]/Base[[#This Row],[Population_emploi]]</f>
        <v>0.39964693778661253</v>
      </c>
      <c r="AM116" s="4">
        <f>IF(Base[[#This Row],[Pathologie]]&lt;&gt;"Dépendance",0,14909.24243952)</f>
        <v>0</v>
      </c>
      <c r="AN116" s="4">
        <f>IF(Base[[#This Row],[Pathologie]]&lt;&gt;"Dépendance",0,1316000)</f>
        <v>0</v>
      </c>
      <c r="AO116" s="4">
        <f>IF(Base[[#This Row],[Pathologie]]&lt;&gt;"Dépendance",0,Base[[#This Row],['[SC']Coût_personne_dépendante]]*Base[[#This Row],['[SC']Nb_personnes_dépendantes]])</f>
        <v>0</v>
      </c>
      <c r="AP116" s="4">
        <f>IF(Base[[#This Row],[Pathologie]]&lt;&gt;"Dépendance",0,Base[[#This Row],['[SC']Coût_total_dépendance]]/Base[[#This Row],[Population_totale]])</f>
        <v>0</v>
      </c>
      <c r="AQ116" s="4">
        <f>IF(Base[[#This Row],[Pathologie]]&lt;&gt;"Dépendance",0,4.5)</f>
        <v>0</v>
      </c>
      <c r="AR116" s="4">
        <v>0.50393265050357905</v>
      </c>
      <c r="AS116" s="4">
        <f>Base[[#This Row],[Espérance_vie]]+Base[[#This Row],['[SC']Hausse_esp_de_vie]]-Base[[#This Row],['[SC']Durée_moyenne_dépendance_avt]]+Base[[#This Row],[Risque]]</f>
        <v>82.905789789668717</v>
      </c>
      <c r="AT1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6" s="4">
        <v>62.9</v>
      </c>
      <c r="AW116" s="4">
        <f t="shared" si="0"/>
        <v>336905600000</v>
      </c>
      <c r="AX116" s="4">
        <v>15049171</v>
      </c>
      <c r="AY116" s="4">
        <f>Base[[#This Row],['[SC']Budget_total_retraites]]/Base[[#This Row],['[SC']Nombre_de_retraités]]</f>
        <v>22386.987296509556</v>
      </c>
      <c r="AZ116" s="4">
        <f>Base[[#This Row],['[SC']Budget_par_retraité]]*Base[[#This Row],['[SC']Nb_personnes_dépendantes]]</f>
        <v>0</v>
      </c>
      <c r="BA116" s="4">
        <f>Base[[#This Row],['[SC']'[Dépendance']Coût_retraite_personnes_dépendantes]]/Base[[#This Row],[Population_totale]]</f>
        <v>0</v>
      </c>
      <c r="BB11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6" s="4">
        <f>Base[[#This Row],['[SC']'[Dépendance']Gains]]-Base[[#This Row],['[SC']'[Dépendance']Coûts]]</f>
        <v>0</v>
      </c>
      <c r="BD116" s="4">
        <f>IF(Base[[#This Row],[Pathologie]]&lt;&gt;"Mort prématurée",0,Base[[#This Row],[Risque]]*Base[[#This Row],[Prévalence]]*Base[[#This Row],[Population_totale]])</f>
        <v>0</v>
      </c>
      <c r="BE116" s="4">
        <v>52.74</v>
      </c>
      <c r="BF116" s="4">
        <f>Base[[#This Row],['[SC']Âge_moyen_retraite]]-Base[[#This Row],['[SC']'[Mort_prématurée']Âge_moyen_mort précoce]]</f>
        <v>10.159999999999997</v>
      </c>
      <c r="BG116" s="4">
        <f>Base[[#This Row],[Espérance_vie]]+Base[[#This Row],['[SC']Hausse_esp_de_vie]]-Base[[#This Row],['[SC']Âge_moyen_retraite]]</f>
        <v>19.90101171382144</v>
      </c>
      <c r="BH116" s="4">
        <v>106583.42676924677</v>
      </c>
      <c r="BI116" s="4">
        <v>97601.789429271477</v>
      </c>
      <c r="BJ116" s="4">
        <v>302038.31496633729</v>
      </c>
      <c r="BK116" s="4">
        <v>117293.58934859755</v>
      </c>
      <c r="BL116" s="4">
        <v>1523999.9999999995</v>
      </c>
      <c r="BM1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6" s="4">
        <v>294804.96027377353</v>
      </c>
      <c r="BO1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6" s="4">
        <f>(Base[[#This Row],['[SC']'[Mort_prématurée']Gains]]-Base[[#This Row],['[SC']'[Mort_prématurée']Coûts]])/Base[[#This Row],[Population_totale]]</f>
        <v>0</v>
      </c>
      <c r="BQ116" s="4">
        <f>IF(Base[[#This Row],[Pathologie]]&lt;&gt;"Mort prématurée",0,Base[[#This Row],[Risque]])</f>
        <v>0</v>
      </c>
      <c r="BR116" s="4">
        <v>2680</v>
      </c>
      <c r="BS1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6" s="4">
        <f>Base[[#This Row],[Prévalence_prod]]*(1-Base[[#This Row],[Risque]])*Base[[#This Row],[Durée_arrêt]]*Base[[#This Row],[Population_emploi]]</f>
        <v>6637693.7201428628</v>
      </c>
      <c r="BV116" s="4">
        <f>Base[[#This Row],['[Prod']'[Absentéisme']Total_jours_absence_avant]]-Base[[#This Row],['[Prod']'[Absentéisme']Total_jours_absence_après]]</f>
        <v>776885.32563405856</v>
      </c>
      <c r="BW116" s="4">
        <f>IF(AND(Base[[#This Row],[Pathologie]]&lt;&gt;"Dépendance",Base[[#This Row],[Pathologie]]&lt;&gt;"Mort prématurée",Base[[#This Row],[Pathologie]]&lt;&gt;"Migraine"),0.0619,0)</f>
        <v>6.1899999999999997E-2</v>
      </c>
      <c r="BX116" s="4">
        <v>254</v>
      </c>
      <c r="BY116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6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6" s="4">
        <f>Base[[#This Row],[Prévalence_prod]]*Base[[#This Row],[Présentéisme]]*Base[[#This Row],['[Prod']Jours_ouvrés]]</f>
        <v>1.7912080000000001</v>
      </c>
      <c r="CB116" s="4">
        <f>Base[[#This Row],[Prévalence_prod]]*(1-Base[[#This Row],[Risque]])*Base[[#This Row],[Présentéisme]]*Base[[#This Row],['[Prod']Jours_ouvrés]]</f>
        <v>1.6035286723177473</v>
      </c>
      <c r="CC116" s="4">
        <f>Base[[#This Row],['[Prod']'[Présentéisme']Jours_avant]]-Base[[#This Row],['[Prod']'[Présentéisme']Jours_après]]</f>
        <v>0.18767932768225282</v>
      </c>
      <c r="CD116" s="4">
        <f>Base[[#This Row],['[Prod']'[Présentéisme']Jours_gagnés]]/Base[[#This Row],['[Prod']Jours_ouvrés]]</f>
        <v>7.3889499087501109E-4</v>
      </c>
      <c r="CE116">
        <v>5.8333039429220801E-2</v>
      </c>
      <c r="CF116">
        <v>1.4658164114728258E-2</v>
      </c>
      <c r="CG116" s="4">
        <v>11</v>
      </c>
      <c r="CH116" s="4">
        <v>1.3987208237662601</v>
      </c>
      <c r="CI116" s="4">
        <v>2.1768516166491274E-2</v>
      </c>
      <c r="CJ116" s="4">
        <f>IF(Base[[#This Row],[Secteur]]&lt;&gt;"Moyenne",Base[[#This Row],['[Prod']'[Turnover']DMC_initiale]]*(1+Base[[#This Row],['[Prod']'[Turnover']Ecart_accidents]]*Base[[#This Row],['[Prod']Impact_motifs_turnover]]),CJ99*CI99+CJ100*CI100+CJ101*CI101+CJ102*CI102+CJ103*CI103+CJ104*CI104+CJ105*CI105+CJ106*CI106+CJ107*CI107+CJ108*CI108+CJ109*CI109+CJ110*CI110+CJ111*CI111+CJ112*CI112+CJ113*CI113+CJ114*CI114+CJ115*CI115)</f>
        <v>11.225529473239991</v>
      </c>
      <c r="CK116" s="4">
        <f>1/Base[[#This Row],['[Prod']'[Turnover']DMC_initiale]]</f>
        <v>9.0909090909090912E-2</v>
      </c>
      <c r="CL116" s="4">
        <f>1/Base[[#This Row],['[Prod']'[Turnover']DMC_finale]]</f>
        <v>8.9082657738670828E-2</v>
      </c>
    </row>
    <row r="117" spans="2:90" x14ac:dyDescent="0.25">
      <c r="B117" s="4" t="s">
        <v>325</v>
      </c>
      <c r="C117">
        <v>7.5</v>
      </c>
      <c r="D117" t="s">
        <v>84</v>
      </c>
      <c r="E117" t="s">
        <v>8</v>
      </c>
      <c r="F117" s="3">
        <v>0.10477807584727883</v>
      </c>
      <c r="G117" s="3">
        <v>4.1000000000000002E-2</v>
      </c>
      <c r="H117" s="3">
        <v>4.1000000000000002E-2</v>
      </c>
      <c r="I117" s="3">
        <v>0.17199999999999999</v>
      </c>
      <c r="J117" s="3">
        <v>3.8954334592466999</v>
      </c>
      <c r="K117" s="3">
        <v>7.0000000000000007E-2</v>
      </c>
      <c r="L117" s="2">
        <f>Base[[#This Row],[Coût]]*Base[[#This Row],[Part_ménages_dépenses_santé]]</f>
        <v>0.27268034214726899</v>
      </c>
      <c r="M117" s="2">
        <v>0.82690611956969029</v>
      </c>
      <c r="N117" s="6">
        <v>27700000</v>
      </c>
      <c r="O117" s="7">
        <f>Base[[#This Row],[Coût_salarié]]*10^9*Base[[#This Row],[Risque]]*Base[[#This Row],[Prévalence]]*Base[[#This Row],[Part_coûts_salarié]]/Base[[#This Row],[Population_emploi]]</f>
        <v>3.4969107056328594E-2</v>
      </c>
      <c r="P117">
        <v>50</v>
      </c>
      <c r="Q117">
        <v>50</v>
      </c>
      <c r="R117" s="2">
        <v>9.9999999999999978E-2</v>
      </c>
      <c r="S117" s="2">
        <v>0.33340000000000003</v>
      </c>
      <c r="T117" s="4">
        <v>4.1000000000000002E-2</v>
      </c>
      <c r="U117" s="4">
        <f>IF(Bases_annexes!$F$5=0,16.6587111018772,0.77*Bases_annexes!$F$5/(IF(OR(ISBLANK('Données_d''entrée'!$E$44),'Données_d''entrée'!$E$44=0),35,'Données_d''entrée'!$E$44)*52))</f>
        <v>16.658711101877199</v>
      </c>
      <c r="V117" s="4">
        <v>6.5286422873795198</v>
      </c>
      <c r="W1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7" s="4">
        <v>234.5</v>
      </c>
      <c r="Y117" s="4">
        <f>(Base[[#This Row],['[Maladies']Coûts_évités_par_salarié]]+Base[[#This Row],['[Travail']Coûts_évités_par_salarié]])/Base[[#This Row],[Budget_santé_salarié]]</f>
        <v>7.3116582342331688E-3</v>
      </c>
      <c r="Z117" s="4">
        <v>0.8</v>
      </c>
      <c r="AA117" s="4">
        <f>Base[[#This Row],[Coût]]*Base[[#This Row],[Part_société_dépenses_santé]]</f>
        <v>3.1163467673973599</v>
      </c>
      <c r="AB117" s="4">
        <v>67635124</v>
      </c>
      <c r="AC117" s="4">
        <v>82.297079063317852</v>
      </c>
      <c r="AD117" s="4">
        <v>0.11599999999999999</v>
      </c>
      <c r="AE117" s="4">
        <f>Base[[#This Row],['[SC']Prévalence_travail]]*Base[[#This Row],[Population_emploi]]</f>
        <v>3213200</v>
      </c>
      <c r="AF117" s="4">
        <f>Base[[#This Row],[Risque]]*Base[[#This Row],['[SC']Patients_en_emploi]]</f>
        <v>336672.91331247636</v>
      </c>
      <c r="AG117" s="4">
        <v>552654220.25999999</v>
      </c>
      <c r="AH117" s="4">
        <f>IFERROR(Base[[#This Row],['[SC']Prestations]]/Base[[#This Row],['[SC']Patients_en_emploi]],0)</f>
        <v>171.99496460226564</v>
      </c>
      <c r="AI117" s="4">
        <v>51.7</v>
      </c>
      <c r="AJ1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7" s="4">
        <f>Base[[#This Row],['[SC']'[Travail']Coûts_évités]]/Base[[#This Row],[Population_emploi]]</f>
        <v>2.0904709677877622</v>
      </c>
      <c r="AL117" s="4">
        <f>Base[[#This Row],[Coût_société]]*10^9*Base[[#This Row],[Risque]]*Base[[#This Row],[Prévalence]]*Base[[#This Row],[Part_coûts_salarié]]/Base[[#This Row],[Population_emploi]]</f>
        <v>0.39964693778661253</v>
      </c>
      <c r="AM117" s="4">
        <f>IF(Base[[#This Row],[Pathologie]]&lt;&gt;"Dépendance",0,14909.24243952)</f>
        <v>0</v>
      </c>
      <c r="AN117" s="4">
        <f>IF(Base[[#This Row],[Pathologie]]&lt;&gt;"Dépendance",0,1316000)</f>
        <v>0</v>
      </c>
      <c r="AO117" s="4">
        <f>IF(Base[[#This Row],[Pathologie]]&lt;&gt;"Dépendance",0,Base[[#This Row],['[SC']Coût_personne_dépendante]]*Base[[#This Row],['[SC']Nb_personnes_dépendantes]])</f>
        <v>0</v>
      </c>
      <c r="AP117" s="4">
        <f>IF(Base[[#This Row],[Pathologie]]&lt;&gt;"Dépendance",0,Base[[#This Row],['[SC']Coût_total_dépendance]]/Base[[#This Row],[Population_totale]])</f>
        <v>0</v>
      </c>
      <c r="AQ117" s="4">
        <f>IF(Base[[#This Row],[Pathologie]]&lt;&gt;"Dépendance",0,4.5)</f>
        <v>0</v>
      </c>
      <c r="AR117" s="4">
        <v>0.50393265050357905</v>
      </c>
      <c r="AS117" s="4">
        <f>Base[[#This Row],[Espérance_vie]]+Base[[#This Row],['[SC']Hausse_esp_de_vie]]-Base[[#This Row],['[SC']Durée_moyenne_dépendance_avt]]+Base[[#This Row],[Risque]]</f>
        <v>82.905789789668717</v>
      </c>
      <c r="AT1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7" s="4">
        <v>62.9</v>
      </c>
      <c r="AW117" s="4">
        <f t="shared" si="0"/>
        <v>336905600000</v>
      </c>
      <c r="AX117" s="4">
        <v>15049171</v>
      </c>
      <c r="AY117" s="4">
        <f>Base[[#This Row],['[SC']Budget_total_retraites]]/Base[[#This Row],['[SC']Nombre_de_retraités]]</f>
        <v>22386.987296509556</v>
      </c>
      <c r="AZ117" s="4">
        <f>Base[[#This Row],['[SC']Budget_par_retraité]]*Base[[#This Row],['[SC']Nb_personnes_dépendantes]]</f>
        <v>0</v>
      </c>
      <c r="BA117" s="4">
        <f>Base[[#This Row],['[SC']'[Dépendance']Coût_retraite_personnes_dépendantes]]/Base[[#This Row],[Population_totale]]</f>
        <v>0</v>
      </c>
      <c r="BB11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7" s="4">
        <f>Base[[#This Row],['[SC']'[Dépendance']Gains]]-Base[[#This Row],['[SC']'[Dépendance']Coûts]]</f>
        <v>0</v>
      </c>
      <c r="BD117" s="4">
        <f>IF(Base[[#This Row],[Pathologie]]&lt;&gt;"Mort prématurée",0,Base[[#This Row],[Risque]]*Base[[#This Row],[Prévalence]]*Base[[#This Row],[Population_totale]])</f>
        <v>0</v>
      </c>
      <c r="BE117" s="4">
        <v>52.74</v>
      </c>
      <c r="BF117" s="4">
        <f>Base[[#This Row],['[SC']Âge_moyen_retraite]]-Base[[#This Row],['[SC']'[Mort_prématurée']Âge_moyen_mort précoce]]</f>
        <v>10.159999999999997</v>
      </c>
      <c r="BG117" s="4">
        <f>Base[[#This Row],[Espérance_vie]]+Base[[#This Row],['[SC']Hausse_esp_de_vie]]-Base[[#This Row],['[SC']Âge_moyen_retraite]]</f>
        <v>19.90101171382144</v>
      </c>
      <c r="BH117" s="4">
        <v>106583.42676924677</v>
      </c>
      <c r="BI117" s="4">
        <v>97601.789429271477</v>
      </c>
      <c r="BJ117" s="4">
        <v>302038.31496633729</v>
      </c>
      <c r="BK117" s="4">
        <v>117293.58934859755</v>
      </c>
      <c r="BL117" s="4">
        <v>1523999.9999999995</v>
      </c>
      <c r="BM1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7" s="4">
        <v>294804.96027377353</v>
      </c>
      <c r="BO1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7" s="4">
        <f>(Base[[#This Row],['[SC']'[Mort_prématurée']Gains]]-Base[[#This Row],['[SC']'[Mort_prématurée']Coûts]])/Base[[#This Row],[Population_totale]]</f>
        <v>0</v>
      </c>
      <c r="BQ117" s="4">
        <f>IF(Base[[#This Row],[Pathologie]]&lt;&gt;"Mort prématurée",0,Base[[#This Row],[Risque]])</f>
        <v>0</v>
      </c>
      <c r="BR117" s="4">
        <v>2680</v>
      </c>
      <c r="BS1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7" s="4">
        <f>Base[[#This Row],[Prévalence_prod]]*(1-Base[[#This Row],[Risque]])*Base[[#This Row],[Durée_arrêt]]*Base[[#This Row],[Population_emploi]]</f>
        <v>6637693.7201428628</v>
      </c>
      <c r="BV117" s="4">
        <f>Base[[#This Row],['[Prod']'[Absentéisme']Total_jours_absence_avant]]-Base[[#This Row],['[Prod']'[Absentéisme']Total_jours_absence_après]]</f>
        <v>776885.32563405856</v>
      </c>
      <c r="BW117" s="4">
        <f>IF(AND(Base[[#This Row],[Pathologie]]&lt;&gt;"Dépendance",Base[[#This Row],[Pathologie]]&lt;&gt;"Mort prématurée",Base[[#This Row],[Pathologie]]&lt;&gt;"Migraine"),0.0619,0)</f>
        <v>6.1899999999999997E-2</v>
      </c>
      <c r="BX117" s="4">
        <v>254</v>
      </c>
      <c r="BY117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7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7" s="4">
        <f>Base[[#This Row],[Prévalence_prod]]*Base[[#This Row],[Présentéisme]]*Base[[#This Row],['[Prod']Jours_ouvrés]]</f>
        <v>1.7912080000000001</v>
      </c>
      <c r="CB117" s="4">
        <f>Base[[#This Row],[Prévalence_prod]]*(1-Base[[#This Row],[Risque]])*Base[[#This Row],[Présentéisme]]*Base[[#This Row],['[Prod']Jours_ouvrés]]</f>
        <v>1.6035286723177473</v>
      </c>
      <c r="CC117" s="4">
        <f>Base[[#This Row],['[Prod']'[Présentéisme']Jours_avant]]-Base[[#This Row],['[Prod']'[Présentéisme']Jours_après]]</f>
        <v>0.18767932768225282</v>
      </c>
      <c r="CD117" s="4">
        <f>Base[[#This Row],['[Prod']'[Présentéisme']Jours_gagnés]]/Base[[#This Row],['[Prod']Jours_ouvrés]]</f>
        <v>7.3889499087501109E-4</v>
      </c>
      <c r="CE117">
        <v>5.8333039429220801E-2</v>
      </c>
      <c r="CF117">
        <v>1.4658164114728258E-2</v>
      </c>
      <c r="CG117" s="4">
        <v>11</v>
      </c>
      <c r="CH117" s="4">
        <v>1.1624525375985588</v>
      </c>
      <c r="CI117" s="4">
        <v>3.7953151649308701E-2</v>
      </c>
      <c r="CJ117" s="4">
        <f>IF(Base[[#This Row],[Secteur]]&lt;&gt;"Moyenne",Base[[#This Row],['[Prod']'[Turnover']DMC_initiale]]*(1+Base[[#This Row],['[Prod']'[Turnover']Ecart_accidents]]*Base[[#This Row],['[Prod']Impact_motifs_turnover]]),CJ100*CI100+CJ101*CI101+CJ102*CI102+CJ103*CI103+CJ104*CI104+CJ105*CI105+CJ106*CI106+CJ107*CI107+CJ108*CI108+CJ109*CI109+CJ110*CI110+CJ111*CI111+CJ112*CI112+CJ113*CI113+CJ114*CI114+CJ115*CI115+CJ116*CI116)</f>
        <v>11.18743362078872</v>
      </c>
      <c r="CK117" s="4">
        <f>1/Base[[#This Row],['[Prod']'[Turnover']DMC_initiale]]</f>
        <v>9.0909090909090912E-2</v>
      </c>
      <c r="CL117" s="4">
        <f>1/Base[[#This Row],['[Prod']'[Turnover']DMC_finale]]</f>
        <v>8.9386005217655939E-2</v>
      </c>
    </row>
    <row r="118" spans="2:90" x14ac:dyDescent="0.25">
      <c r="B118" s="4" t="s">
        <v>326</v>
      </c>
      <c r="C118">
        <v>7.5</v>
      </c>
      <c r="D118" t="s">
        <v>84</v>
      </c>
      <c r="E118" t="s">
        <v>8</v>
      </c>
      <c r="F118" s="3">
        <v>0.10477807584727883</v>
      </c>
      <c r="G118" s="3">
        <v>4.1000000000000002E-2</v>
      </c>
      <c r="H118" s="3">
        <v>4.1000000000000002E-2</v>
      </c>
      <c r="I118" s="3">
        <v>0.17199999999999999</v>
      </c>
      <c r="J118" s="3">
        <v>3.8954334592466999</v>
      </c>
      <c r="K118" s="3">
        <v>7.0000000000000007E-2</v>
      </c>
      <c r="L118" s="2">
        <f>Base[[#This Row],[Coût]]*Base[[#This Row],[Part_ménages_dépenses_santé]]</f>
        <v>0.27268034214726899</v>
      </c>
      <c r="M118" s="2">
        <v>0.82690611956969029</v>
      </c>
      <c r="N118" s="6">
        <v>27700000</v>
      </c>
      <c r="O118" s="7">
        <f>Base[[#This Row],[Coût_salarié]]*10^9*Base[[#This Row],[Risque]]*Base[[#This Row],[Prévalence]]*Base[[#This Row],[Part_coûts_salarié]]/Base[[#This Row],[Population_emploi]]</f>
        <v>3.4969107056328594E-2</v>
      </c>
      <c r="P118">
        <v>50</v>
      </c>
      <c r="Q118">
        <v>50</v>
      </c>
      <c r="R118" s="2">
        <v>9.9999999999999978E-2</v>
      </c>
      <c r="S118" s="2">
        <v>0.33340000000000003</v>
      </c>
      <c r="T118" s="4">
        <v>4.1000000000000002E-2</v>
      </c>
      <c r="U118" s="4">
        <f>IF(Bases_annexes!$F$5=0,16.6587111018772,0.77*Bases_annexes!$F$5/(IF(OR(ISBLANK('Données_d''entrée'!$E$44),'Données_d''entrée'!$E$44=0),35,'Données_d''entrée'!$E$44)*52))</f>
        <v>16.658711101877199</v>
      </c>
      <c r="V118" s="4">
        <v>6.5286422873795198</v>
      </c>
      <c r="W1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8" s="4">
        <v>234.5</v>
      </c>
      <c r="Y118" s="4">
        <f>(Base[[#This Row],['[Maladies']Coûts_évités_par_salarié]]+Base[[#This Row],['[Travail']Coûts_évités_par_salarié]])/Base[[#This Row],[Budget_santé_salarié]]</f>
        <v>7.3116582342331688E-3</v>
      </c>
      <c r="Z118" s="4">
        <v>0.8</v>
      </c>
      <c r="AA118" s="4">
        <f>Base[[#This Row],[Coût]]*Base[[#This Row],[Part_société_dépenses_santé]]</f>
        <v>3.1163467673973599</v>
      </c>
      <c r="AB118" s="4">
        <v>67635124</v>
      </c>
      <c r="AC118" s="4">
        <v>82.297079063317852</v>
      </c>
      <c r="AD118" s="4">
        <v>0.11599999999999999</v>
      </c>
      <c r="AE118" s="4">
        <f>Base[[#This Row],['[SC']Prévalence_travail]]*Base[[#This Row],[Population_emploi]]</f>
        <v>3213200</v>
      </c>
      <c r="AF118" s="4">
        <f>Base[[#This Row],[Risque]]*Base[[#This Row],['[SC']Patients_en_emploi]]</f>
        <v>336672.91331247636</v>
      </c>
      <c r="AG118" s="4">
        <v>552654220.25999999</v>
      </c>
      <c r="AH118" s="4">
        <f>IFERROR(Base[[#This Row],['[SC']Prestations]]/Base[[#This Row],['[SC']Patients_en_emploi]],0)</f>
        <v>171.99496460226564</v>
      </c>
      <c r="AI118" s="4">
        <v>51.7</v>
      </c>
      <c r="AJ1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8" s="4">
        <f>Base[[#This Row],['[SC']'[Travail']Coûts_évités]]/Base[[#This Row],[Population_emploi]]</f>
        <v>2.0904709677877622</v>
      </c>
      <c r="AL118" s="4">
        <f>Base[[#This Row],[Coût_société]]*10^9*Base[[#This Row],[Risque]]*Base[[#This Row],[Prévalence]]*Base[[#This Row],[Part_coûts_salarié]]/Base[[#This Row],[Population_emploi]]</f>
        <v>0.39964693778661253</v>
      </c>
      <c r="AM118" s="4">
        <f>IF(Base[[#This Row],[Pathologie]]&lt;&gt;"Dépendance",0,14909.24243952)</f>
        <v>0</v>
      </c>
      <c r="AN118" s="4">
        <f>IF(Base[[#This Row],[Pathologie]]&lt;&gt;"Dépendance",0,1316000)</f>
        <v>0</v>
      </c>
      <c r="AO118" s="4">
        <f>IF(Base[[#This Row],[Pathologie]]&lt;&gt;"Dépendance",0,Base[[#This Row],['[SC']Coût_personne_dépendante]]*Base[[#This Row],['[SC']Nb_personnes_dépendantes]])</f>
        <v>0</v>
      </c>
      <c r="AP118" s="4">
        <f>IF(Base[[#This Row],[Pathologie]]&lt;&gt;"Dépendance",0,Base[[#This Row],['[SC']Coût_total_dépendance]]/Base[[#This Row],[Population_totale]])</f>
        <v>0</v>
      </c>
      <c r="AQ118" s="4">
        <f>IF(Base[[#This Row],[Pathologie]]&lt;&gt;"Dépendance",0,4.5)</f>
        <v>0</v>
      </c>
      <c r="AR118" s="4">
        <v>0.50393265050357905</v>
      </c>
      <c r="AS118" s="4">
        <f>Base[[#This Row],[Espérance_vie]]+Base[[#This Row],['[SC']Hausse_esp_de_vie]]-Base[[#This Row],['[SC']Durée_moyenne_dépendance_avt]]+Base[[#This Row],[Risque]]</f>
        <v>82.905789789668717</v>
      </c>
      <c r="AT1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8" s="4">
        <v>62.9</v>
      </c>
      <c r="AW118" s="4">
        <f t="shared" si="0"/>
        <v>336905600000</v>
      </c>
      <c r="AX118" s="4">
        <v>15049171</v>
      </c>
      <c r="AY118" s="4">
        <f>Base[[#This Row],['[SC']Budget_total_retraites]]/Base[[#This Row],['[SC']Nombre_de_retraités]]</f>
        <v>22386.987296509556</v>
      </c>
      <c r="AZ118" s="4">
        <f>Base[[#This Row],['[SC']Budget_par_retraité]]*Base[[#This Row],['[SC']Nb_personnes_dépendantes]]</f>
        <v>0</v>
      </c>
      <c r="BA118" s="4">
        <f>Base[[#This Row],['[SC']'[Dépendance']Coût_retraite_personnes_dépendantes]]/Base[[#This Row],[Population_totale]]</f>
        <v>0</v>
      </c>
      <c r="BB11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8" s="4">
        <f>Base[[#This Row],['[SC']'[Dépendance']Gains]]-Base[[#This Row],['[SC']'[Dépendance']Coûts]]</f>
        <v>0</v>
      </c>
      <c r="BD118" s="4">
        <f>IF(Base[[#This Row],[Pathologie]]&lt;&gt;"Mort prématurée",0,Base[[#This Row],[Risque]]*Base[[#This Row],[Prévalence]]*Base[[#This Row],[Population_totale]])</f>
        <v>0</v>
      </c>
      <c r="BE118" s="4">
        <v>52.74</v>
      </c>
      <c r="BF118" s="4">
        <f>Base[[#This Row],['[SC']Âge_moyen_retraite]]-Base[[#This Row],['[SC']'[Mort_prématurée']Âge_moyen_mort précoce]]</f>
        <v>10.159999999999997</v>
      </c>
      <c r="BG118" s="4">
        <f>Base[[#This Row],[Espérance_vie]]+Base[[#This Row],['[SC']Hausse_esp_de_vie]]-Base[[#This Row],['[SC']Âge_moyen_retraite]]</f>
        <v>19.90101171382144</v>
      </c>
      <c r="BH118" s="4">
        <v>106583.42676924677</v>
      </c>
      <c r="BI118" s="4">
        <v>97601.789429271477</v>
      </c>
      <c r="BJ118" s="4">
        <v>302038.31496633729</v>
      </c>
      <c r="BK118" s="4">
        <v>117293.58934859755</v>
      </c>
      <c r="BL118" s="4">
        <v>1523999.9999999995</v>
      </c>
      <c r="BM1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8" s="4">
        <v>294804.96027377353</v>
      </c>
      <c r="BO1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8" s="4">
        <f>(Base[[#This Row],['[SC']'[Mort_prématurée']Gains]]-Base[[#This Row],['[SC']'[Mort_prématurée']Coûts]])/Base[[#This Row],[Population_totale]]</f>
        <v>0</v>
      </c>
      <c r="BQ118" s="4">
        <f>IF(Base[[#This Row],[Pathologie]]&lt;&gt;"Mort prématurée",0,Base[[#This Row],[Risque]])</f>
        <v>0</v>
      </c>
      <c r="BR118" s="4">
        <v>2680</v>
      </c>
      <c r="BS1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8" s="4">
        <f>Base[[#This Row],[Prévalence_prod]]*(1-Base[[#This Row],[Risque]])*Base[[#This Row],[Durée_arrêt]]*Base[[#This Row],[Population_emploi]]</f>
        <v>6637693.7201428628</v>
      </c>
      <c r="BV118" s="4">
        <f>Base[[#This Row],['[Prod']'[Absentéisme']Total_jours_absence_avant]]-Base[[#This Row],['[Prod']'[Absentéisme']Total_jours_absence_après]]</f>
        <v>776885.32563405856</v>
      </c>
      <c r="BW118" s="4">
        <f>IF(AND(Base[[#This Row],[Pathologie]]&lt;&gt;"Dépendance",Base[[#This Row],[Pathologie]]&lt;&gt;"Mort prématurée",Base[[#This Row],[Pathologie]]&lt;&gt;"Migraine"),0.0619,0)</f>
        <v>6.1899999999999997E-2</v>
      </c>
      <c r="BX118" s="4">
        <v>254</v>
      </c>
      <c r="BY118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8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8" s="4">
        <f>Base[[#This Row],[Prévalence_prod]]*Base[[#This Row],[Présentéisme]]*Base[[#This Row],['[Prod']Jours_ouvrés]]</f>
        <v>1.7912080000000001</v>
      </c>
      <c r="CB118" s="4">
        <f>Base[[#This Row],[Prévalence_prod]]*(1-Base[[#This Row],[Risque]])*Base[[#This Row],[Présentéisme]]*Base[[#This Row],['[Prod']Jours_ouvrés]]</f>
        <v>1.6035286723177473</v>
      </c>
      <c r="CC118" s="4">
        <f>Base[[#This Row],['[Prod']'[Présentéisme']Jours_avant]]-Base[[#This Row],['[Prod']'[Présentéisme']Jours_après]]</f>
        <v>0.18767932768225282</v>
      </c>
      <c r="CD118" s="4">
        <f>Base[[#This Row],['[Prod']'[Présentéisme']Jours_gagnés]]/Base[[#This Row],['[Prod']Jours_ouvrés]]</f>
        <v>7.3889499087501109E-4</v>
      </c>
      <c r="CE118">
        <v>5.8333039429220801E-2</v>
      </c>
      <c r="CF118">
        <v>1.4658164114728258E-2</v>
      </c>
      <c r="CG118" s="4">
        <v>11</v>
      </c>
      <c r="CH118" s="4">
        <v>0.19346787829229528</v>
      </c>
      <c r="CI118" s="4">
        <v>2.8126549817953091E-2</v>
      </c>
      <c r="CJ118" s="4">
        <f>IF(Base[[#This Row],[Secteur]]&lt;&gt;"Moyenne",Base[[#This Row],['[Prod']'[Turnover']DMC_initiale]]*(1+Base[[#This Row],['[Prod']'[Turnover']Ecart_accidents]]*Base[[#This Row],['[Prod']Impact_motifs_turnover]]),CJ101*CI101+CJ102*CI102+CJ103*CI103+CJ104*CI104+CJ105*CI105+CJ106*CI106+CJ107*CI107+CJ108*CI108+CJ109*CI109+CJ110*CI110+CJ111*CI111+CJ112*CI112+CJ113*CI113+CJ114*CI114+CJ115*CI115+CJ116*CI116+CJ117*CI117)</f>
        <v>11.031194723020304</v>
      </c>
      <c r="CK118" s="4">
        <f>1/Base[[#This Row],['[Prod']'[Turnover']DMC_initiale]]</f>
        <v>9.0909090909090912E-2</v>
      </c>
      <c r="CL118" s="4">
        <f>1/Base[[#This Row],['[Prod']'[Turnover']DMC_finale]]</f>
        <v>9.065201232584201E-2</v>
      </c>
    </row>
    <row r="119" spans="2:90" x14ac:dyDescent="0.25">
      <c r="B119" s="4" t="s">
        <v>327</v>
      </c>
      <c r="C119">
        <v>7.5</v>
      </c>
      <c r="D119" t="s">
        <v>84</v>
      </c>
      <c r="E119" t="s">
        <v>8</v>
      </c>
      <c r="F119" s="3">
        <v>0.10477807584727883</v>
      </c>
      <c r="G119" s="3">
        <v>4.1000000000000002E-2</v>
      </c>
      <c r="H119" s="3">
        <v>4.1000000000000002E-2</v>
      </c>
      <c r="I119" s="3">
        <v>0.17199999999999999</v>
      </c>
      <c r="J119" s="3">
        <v>3.8954334592466999</v>
      </c>
      <c r="K119" s="3">
        <v>7.0000000000000007E-2</v>
      </c>
      <c r="L119" s="2">
        <f>Base[[#This Row],[Coût]]*Base[[#This Row],[Part_ménages_dépenses_santé]]</f>
        <v>0.27268034214726899</v>
      </c>
      <c r="M119" s="2">
        <v>0.82690611956969029</v>
      </c>
      <c r="N119" s="6">
        <v>27700000</v>
      </c>
      <c r="O119" s="7">
        <f>Base[[#This Row],[Coût_salarié]]*10^9*Base[[#This Row],[Risque]]*Base[[#This Row],[Prévalence]]*Base[[#This Row],[Part_coûts_salarié]]/Base[[#This Row],[Population_emploi]]</f>
        <v>3.4969107056328594E-2</v>
      </c>
      <c r="P119">
        <v>50</v>
      </c>
      <c r="Q119">
        <v>50</v>
      </c>
      <c r="R119" s="2">
        <v>9.9999999999999978E-2</v>
      </c>
      <c r="S119" s="2">
        <v>0.33340000000000003</v>
      </c>
      <c r="T119" s="4">
        <v>4.1000000000000002E-2</v>
      </c>
      <c r="U119" s="4">
        <f>IF(Bases_annexes!$F$5=0,16.6587111018772,0.77*Bases_annexes!$F$5/(IF(OR(ISBLANK('Données_d''entrée'!$E$44),'Données_d''entrée'!$E$44=0),35,'Données_d''entrée'!$E$44)*52))</f>
        <v>16.658711101877199</v>
      </c>
      <c r="V119" s="4">
        <v>6.5286422873795198</v>
      </c>
      <c r="W1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19" s="4">
        <v>234.5</v>
      </c>
      <c r="Y119" s="4">
        <f>(Base[[#This Row],['[Maladies']Coûts_évités_par_salarié]]+Base[[#This Row],['[Travail']Coûts_évités_par_salarié]])/Base[[#This Row],[Budget_santé_salarié]]</f>
        <v>7.3116582342331688E-3</v>
      </c>
      <c r="Z119" s="4">
        <v>0.8</v>
      </c>
      <c r="AA119" s="4">
        <f>Base[[#This Row],[Coût]]*Base[[#This Row],[Part_société_dépenses_santé]]</f>
        <v>3.1163467673973599</v>
      </c>
      <c r="AB119" s="4">
        <v>67635124</v>
      </c>
      <c r="AC119" s="4">
        <v>82.297079063317852</v>
      </c>
      <c r="AD119" s="4">
        <v>0.11599999999999999</v>
      </c>
      <c r="AE119" s="4">
        <f>Base[[#This Row],['[SC']Prévalence_travail]]*Base[[#This Row],[Population_emploi]]</f>
        <v>3213200</v>
      </c>
      <c r="AF119" s="4">
        <f>Base[[#This Row],[Risque]]*Base[[#This Row],['[SC']Patients_en_emploi]]</f>
        <v>336672.91331247636</v>
      </c>
      <c r="AG119" s="4">
        <v>552654220.25999999</v>
      </c>
      <c r="AH119" s="4">
        <f>IFERROR(Base[[#This Row],['[SC']Prestations]]/Base[[#This Row],['[SC']Patients_en_emploi]],0)</f>
        <v>171.99496460226564</v>
      </c>
      <c r="AI119" s="4">
        <v>51.7</v>
      </c>
      <c r="AJ1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19" s="4">
        <f>Base[[#This Row],['[SC']'[Travail']Coûts_évités]]/Base[[#This Row],[Population_emploi]]</f>
        <v>2.0904709677877622</v>
      </c>
      <c r="AL119" s="4">
        <f>Base[[#This Row],[Coût_société]]*10^9*Base[[#This Row],[Risque]]*Base[[#This Row],[Prévalence]]*Base[[#This Row],[Part_coûts_salarié]]/Base[[#This Row],[Population_emploi]]</f>
        <v>0.39964693778661253</v>
      </c>
      <c r="AM119" s="4">
        <f>IF(Base[[#This Row],[Pathologie]]&lt;&gt;"Dépendance",0,14909.24243952)</f>
        <v>0</v>
      </c>
      <c r="AN119" s="4">
        <f>IF(Base[[#This Row],[Pathologie]]&lt;&gt;"Dépendance",0,1316000)</f>
        <v>0</v>
      </c>
      <c r="AO119" s="4">
        <f>IF(Base[[#This Row],[Pathologie]]&lt;&gt;"Dépendance",0,Base[[#This Row],['[SC']Coût_personne_dépendante]]*Base[[#This Row],['[SC']Nb_personnes_dépendantes]])</f>
        <v>0</v>
      </c>
      <c r="AP119" s="4">
        <f>IF(Base[[#This Row],[Pathologie]]&lt;&gt;"Dépendance",0,Base[[#This Row],['[SC']Coût_total_dépendance]]/Base[[#This Row],[Population_totale]])</f>
        <v>0</v>
      </c>
      <c r="AQ119" s="4">
        <f>IF(Base[[#This Row],[Pathologie]]&lt;&gt;"Dépendance",0,4.5)</f>
        <v>0</v>
      </c>
      <c r="AR119" s="4">
        <v>0.50393265050357905</v>
      </c>
      <c r="AS119" s="4">
        <f>Base[[#This Row],[Espérance_vie]]+Base[[#This Row],['[SC']Hausse_esp_de_vie]]-Base[[#This Row],['[SC']Durée_moyenne_dépendance_avt]]+Base[[#This Row],[Risque]]</f>
        <v>82.905789789668717</v>
      </c>
      <c r="AT1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19" s="4">
        <v>62.9</v>
      </c>
      <c r="AW119" s="4">
        <f t="shared" si="0"/>
        <v>336905600000</v>
      </c>
      <c r="AX119" s="4">
        <v>15049171</v>
      </c>
      <c r="AY119" s="4">
        <f>Base[[#This Row],['[SC']Budget_total_retraites]]/Base[[#This Row],['[SC']Nombre_de_retraités]]</f>
        <v>22386.987296509556</v>
      </c>
      <c r="AZ119" s="4">
        <f>Base[[#This Row],['[SC']Budget_par_retraité]]*Base[[#This Row],['[SC']Nb_personnes_dépendantes]]</f>
        <v>0</v>
      </c>
      <c r="BA119" s="4">
        <f>Base[[#This Row],['[SC']'[Dépendance']Coût_retraite_personnes_dépendantes]]/Base[[#This Row],[Population_totale]]</f>
        <v>0</v>
      </c>
      <c r="BB11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19" s="4">
        <f>Base[[#This Row],['[SC']'[Dépendance']Gains]]-Base[[#This Row],['[SC']'[Dépendance']Coûts]]</f>
        <v>0</v>
      </c>
      <c r="BD119" s="4">
        <f>IF(Base[[#This Row],[Pathologie]]&lt;&gt;"Mort prématurée",0,Base[[#This Row],[Risque]]*Base[[#This Row],[Prévalence]]*Base[[#This Row],[Population_totale]])</f>
        <v>0</v>
      </c>
      <c r="BE119" s="4">
        <v>52.74</v>
      </c>
      <c r="BF119" s="4">
        <f>Base[[#This Row],['[SC']Âge_moyen_retraite]]-Base[[#This Row],['[SC']'[Mort_prématurée']Âge_moyen_mort précoce]]</f>
        <v>10.159999999999997</v>
      </c>
      <c r="BG119" s="4">
        <f>Base[[#This Row],[Espérance_vie]]+Base[[#This Row],['[SC']Hausse_esp_de_vie]]-Base[[#This Row],['[SC']Âge_moyen_retraite]]</f>
        <v>19.90101171382144</v>
      </c>
      <c r="BH119" s="4">
        <v>106583.42676924677</v>
      </c>
      <c r="BI119" s="4">
        <v>97601.789429271477</v>
      </c>
      <c r="BJ119" s="4">
        <v>302038.31496633729</v>
      </c>
      <c r="BK119" s="4">
        <v>117293.58934859755</v>
      </c>
      <c r="BL119" s="4">
        <v>1523999.9999999995</v>
      </c>
      <c r="BM1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19" s="4">
        <v>294804.96027377353</v>
      </c>
      <c r="BO1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19" s="4">
        <f>(Base[[#This Row],['[SC']'[Mort_prématurée']Gains]]-Base[[#This Row],['[SC']'[Mort_prématurée']Coûts]])/Base[[#This Row],[Population_totale]]</f>
        <v>0</v>
      </c>
      <c r="BQ119" s="4">
        <f>IF(Base[[#This Row],[Pathologie]]&lt;&gt;"Mort prématurée",0,Base[[#This Row],[Risque]])</f>
        <v>0</v>
      </c>
      <c r="BR119" s="4">
        <v>2680</v>
      </c>
      <c r="BS1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19" s="4">
        <f>Base[[#This Row],[Prévalence_prod]]*(1-Base[[#This Row],[Risque]])*Base[[#This Row],[Durée_arrêt]]*Base[[#This Row],[Population_emploi]]</f>
        <v>6637693.7201428628</v>
      </c>
      <c r="BV119" s="4">
        <f>Base[[#This Row],['[Prod']'[Absentéisme']Total_jours_absence_avant]]-Base[[#This Row],['[Prod']'[Absentéisme']Total_jours_absence_après]]</f>
        <v>776885.32563405856</v>
      </c>
      <c r="BW119" s="4">
        <f>IF(AND(Base[[#This Row],[Pathologie]]&lt;&gt;"Dépendance",Base[[#This Row],[Pathologie]]&lt;&gt;"Mort prématurée",Base[[#This Row],[Pathologie]]&lt;&gt;"Migraine"),0.0619,0)</f>
        <v>6.1899999999999997E-2</v>
      </c>
      <c r="BX119" s="4">
        <v>254</v>
      </c>
      <c r="BY11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19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19" s="4">
        <f>Base[[#This Row],[Prévalence_prod]]*Base[[#This Row],[Présentéisme]]*Base[[#This Row],['[Prod']Jours_ouvrés]]</f>
        <v>1.7912080000000001</v>
      </c>
      <c r="CB119" s="4">
        <f>Base[[#This Row],[Prévalence_prod]]*(1-Base[[#This Row],[Risque]])*Base[[#This Row],[Présentéisme]]*Base[[#This Row],['[Prod']Jours_ouvrés]]</f>
        <v>1.6035286723177473</v>
      </c>
      <c r="CC119" s="4">
        <f>Base[[#This Row],['[Prod']'[Présentéisme']Jours_avant]]-Base[[#This Row],['[Prod']'[Présentéisme']Jours_après]]</f>
        <v>0.18767932768225282</v>
      </c>
      <c r="CD119" s="4">
        <f>Base[[#This Row],['[Prod']'[Présentéisme']Jours_gagnés]]/Base[[#This Row],['[Prod']Jours_ouvrés]]</f>
        <v>7.3889499087501109E-4</v>
      </c>
      <c r="CE119">
        <v>5.8333039429220801E-2</v>
      </c>
      <c r="CF119">
        <v>1.4658164114728258E-2</v>
      </c>
      <c r="CG119" s="4">
        <v>11</v>
      </c>
      <c r="CH119" s="4">
        <v>0.13729577077682142</v>
      </c>
      <c r="CI119" s="4">
        <v>1.373516710817578E-2</v>
      </c>
      <c r="CJ119" s="4">
        <f>IF(Base[[#This Row],[Secteur]]&lt;&gt;"Moyenne",Base[[#This Row],['[Prod']'[Turnover']DMC_initiale]]*(1+Base[[#This Row],['[Prod']'[Turnover']Ecart_accidents]]*Base[[#This Row],['[Prod']Impact_motifs_turnover]]),CJ102*CI102+CJ103*CI103+CJ104*CI104+CJ105*CI105+CJ106*CI106+CJ107*CI107+CJ108*CI108+CJ109*CI109+CJ110*CI110+CJ111*CI111+CJ112*CI112+CJ113*CI113+CJ114*CI114+CJ115*CI115+CJ116*CI116+CJ117*CI117+CJ118*CI118)</f>
        <v>11.022137543343351</v>
      </c>
      <c r="CK119" s="4">
        <f>1/Base[[#This Row],['[Prod']'[Turnover']DMC_initiale]]</f>
        <v>9.0909090909090912E-2</v>
      </c>
      <c r="CL119" s="4">
        <f>1/Base[[#This Row],['[Prod']'[Turnover']DMC_finale]]</f>
        <v>9.0726503463380792E-2</v>
      </c>
    </row>
    <row r="120" spans="2:90" x14ac:dyDescent="0.25">
      <c r="B120" s="4" t="s">
        <v>328</v>
      </c>
      <c r="C120">
        <v>7.5</v>
      </c>
      <c r="D120" t="s">
        <v>84</v>
      </c>
      <c r="E120" t="s">
        <v>8</v>
      </c>
      <c r="F120" s="3">
        <v>0.10477807584727883</v>
      </c>
      <c r="G120" s="3">
        <v>4.1000000000000002E-2</v>
      </c>
      <c r="H120" s="3">
        <v>4.1000000000000002E-2</v>
      </c>
      <c r="I120" s="3">
        <v>0.17199999999999999</v>
      </c>
      <c r="J120" s="3">
        <v>3.8954334592466999</v>
      </c>
      <c r="K120" s="3">
        <v>7.0000000000000007E-2</v>
      </c>
      <c r="L120" s="2">
        <f>Base[[#This Row],[Coût]]*Base[[#This Row],[Part_ménages_dépenses_santé]]</f>
        <v>0.27268034214726899</v>
      </c>
      <c r="M120" s="2">
        <v>0.82690611956969029</v>
      </c>
      <c r="N120" s="6">
        <v>27700000</v>
      </c>
      <c r="O120" s="7">
        <f>Base[[#This Row],[Coût_salarié]]*10^9*Base[[#This Row],[Risque]]*Base[[#This Row],[Prévalence]]*Base[[#This Row],[Part_coûts_salarié]]/Base[[#This Row],[Population_emploi]]</f>
        <v>3.4969107056328594E-2</v>
      </c>
      <c r="P120">
        <v>50</v>
      </c>
      <c r="Q120">
        <v>50</v>
      </c>
      <c r="R120" s="2">
        <v>9.9999999999999978E-2</v>
      </c>
      <c r="S120" s="2">
        <v>0.33340000000000003</v>
      </c>
      <c r="T120" s="4">
        <v>4.1000000000000002E-2</v>
      </c>
      <c r="U120" s="4">
        <f>IF(Bases_annexes!$F$5=0,16.6587111018772,0.77*Bases_annexes!$F$5/(IF(OR(ISBLANK('Données_d''entrée'!$E$44),'Données_d''entrée'!$E$44=0),35,'Données_d''entrée'!$E$44)*52))</f>
        <v>16.658711101877199</v>
      </c>
      <c r="V120" s="4">
        <v>6.5286422873795198</v>
      </c>
      <c r="W1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20" s="4">
        <v>234.5</v>
      </c>
      <c r="Y120" s="4">
        <f>(Base[[#This Row],['[Maladies']Coûts_évités_par_salarié]]+Base[[#This Row],['[Travail']Coûts_évités_par_salarié]])/Base[[#This Row],[Budget_santé_salarié]]</f>
        <v>7.3116582342331688E-3</v>
      </c>
      <c r="Z120" s="4">
        <v>0.8</v>
      </c>
      <c r="AA120" s="4">
        <f>Base[[#This Row],[Coût]]*Base[[#This Row],[Part_société_dépenses_santé]]</f>
        <v>3.1163467673973599</v>
      </c>
      <c r="AB120" s="4">
        <v>67635124</v>
      </c>
      <c r="AC120" s="4">
        <v>82.297079063317852</v>
      </c>
      <c r="AD120" s="4">
        <v>0.11599999999999999</v>
      </c>
      <c r="AE120" s="4">
        <f>Base[[#This Row],['[SC']Prévalence_travail]]*Base[[#This Row],[Population_emploi]]</f>
        <v>3213200</v>
      </c>
      <c r="AF120" s="4">
        <f>Base[[#This Row],[Risque]]*Base[[#This Row],['[SC']Patients_en_emploi]]</f>
        <v>336672.91331247636</v>
      </c>
      <c r="AG120" s="4">
        <v>552654220.25999999</v>
      </c>
      <c r="AH120" s="4">
        <f>IFERROR(Base[[#This Row],['[SC']Prestations]]/Base[[#This Row],['[SC']Patients_en_emploi]],0)</f>
        <v>171.99496460226564</v>
      </c>
      <c r="AI120" s="4">
        <v>51.7</v>
      </c>
      <c r="AJ1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20" s="4">
        <f>Base[[#This Row],['[SC']'[Travail']Coûts_évités]]/Base[[#This Row],[Population_emploi]]</f>
        <v>2.0904709677877622</v>
      </c>
      <c r="AL120" s="4">
        <f>Base[[#This Row],[Coût_société]]*10^9*Base[[#This Row],[Risque]]*Base[[#This Row],[Prévalence]]*Base[[#This Row],[Part_coûts_salarié]]/Base[[#This Row],[Population_emploi]]</f>
        <v>0.39964693778661253</v>
      </c>
      <c r="AM120" s="4">
        <f>IF(Base[[#This Row],[Pathologie]]&lt;&gt;"Dépendance",0,14909.24243952)</f>
        <v>0</v>
      </c>
      <c r="AN120" s="4">
        <f>IF(Base[[#This Row],[Pathologie]]&lt;&gt;"Dépendance",0,1316000)</f>
        <v>0</v>
      </c>
      <c r="AO120" s="4">
        <f>IF(Base[[#This Row],[Pathologie]]&lt;&gt;"Dépendance",0,Base[[#This Row],['[SC']Coût_personne_dépendante]]*Base[[#This Row],['[SC']Nb_personnes_dépendantes]])</f>
        <v>0</v>
      </c>
      <c r="AP120" s="4">
        <f>IF(Base[[#This Row],[Pathologie]]&lt;&gt;"Dépendance",0,Base[[#This Row],['[SC']Coût_total_dépendance]]/Base[[#This Row],[Population_totale]])</f>
        <v>0</v>
      </c>
      <c r="AQ120" s="4">
        <f>IF(Base[[#This Row],[Pathologie]]&lt;&gt;"Dépendance",0,4.5)</f>
        <v>0</v>
      </c>
      <c r="AR120" s="4">
        <v>0.50393265050357905</v>
      </c>
      <c r="AS120" s="4">
        <f>Base[[#This Row],[Espérance_vie]]+Base[[#This Row],['[SC']Hausse_esp_de_vie]]-Base[[#This Row],['[SC']Durée_moyenne_dépendance_avt]]+Base[[#This Row],[Risque]]</f>
        <v>82.905789789668717</v>
      </c>
      <c r="AT1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0" s="4">
        <v>62.9</v>
      </c>
      <c r="AW120" s="4">
        <f t="shared" si="0"/>
        <v>336905600000</v>
      </c>
      <c r="AX120" s="4">
        <v>15049171</v>
      </c>
      <c r="AY120" s="4">
        <f>Base[[#This Row],['[SC']Budget_total_retraites]]/Base[[#This Row],['[SC']Nombre_de_retraités]]</f>
        <v>22386.987296509556</v>
      </c>
      <c r="AZ120" s="4">
        <f>Base[[#This Row],['[SC']Budget_par_retraité]]*Base[[#This Row],['[SC']Nb_personnes_dépendantes]]</f>
        <v>0</v>
      </c>
      <c r="BA120" s="4">
        <f>Base[[#This Row],['[SC']'[Dépendance']Coût_retraite_personnes_dépendantes]]/Base[[#This Row],[Population_totale]]</f>
        <v>0</v>
      </c>
      <c r="BB12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0" s="4">
        <f>Base[[#This Row],['[SC']'[Dépendance']Gains]]-Base[[#This Row],['[SC']'[Dépendance']Coûts]]</f>
        <v>0</v>
      </c>
      <c r="BD120" s="4">
        <f>IF(Base[[#This Row],[Pathologie]]&lt;&gt;"Mort prématurée",0,Base[[#This Row],[Risque]]*Base[[#This Row],[Prévalence]]*Base[[#This Row],[Population_totale]])</f>
        <v>0</v>
      </c>
      <c r="BE120" s="4">
        <v>52.74</v>
      </c>
      <c r="BF120" s="4">
        <f>Base[[#This Row],['[SC']Âge_moyen_retraite]]-Base[[#This Row],['[SC']'[Mort_prématurée']Âge_moyen_mort précoce]]</f>
        <v>10.159999999999997</v>
      </c>
      <c r="BG120" s="4">
        <f>Base[[#This Row],[Espérance_vie]]+Base[[#This Row],['[SC']Hausse_esp_de_vie]]-Base[[#This Row],['[SC']Âge_moyen_retraite]]</f>
        <v>19.90101171382144</v>
      </c>
      <c r="BH120" s="4">
        <v>106583.42676924677</v>
      </c>
      <c r="BI120" s="4">
        <v>97601.789429271477</v>
      </c>
      <c r="BJ120" s="4">
        <v>302038.31496633729</v>
      </c>
      <c r="BK120" s="4">
        <v>117293.58934859755</v>
      </c>
      <c r="BL120" s="4">
        <v>1523999.9999999995</v>
      </c>
      <c r="BM1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0" s="4">
        <v>294804.96027377353</v>
      </c>
      <c r="BO1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0" s="4">
        <f>(Base[[#This Row],['[SC']'[Mort_prématurée']Gains]]-Base[[#This Row],['[SC']'[Mort_prématurée']Coûts]])/Base[[#This Row],[Population_totale]]</f>
        <v>0</v>
      </c>
      <c r="BQ120" s="4">
        <f>IF(Base[[#This Row],[Pathologie]]&lt;&gt;"Mort prématurée",0,Base[[#This Row],[Risque]])</f>
        <v>0</v>
      </c>
      <c r="BR120" s="4">
        <v>2680</v>
      </c>
      <c r="BS1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20" s="4">
        <f>Base[[#This Row],[Prévalence_prod]]*(1-Base[[#This Row],[Risque]])*Base[[#This Row],[Durée_arrêt]]*Base[[#This Row],[Population_emploi]]</f>
        <v>6637693.7201428628</v>
      </c>
      <c r="BV120" s="4">
        <f>Base[[#This Row],['[Prod']'[Absentéisme']Total_jours_absence_avant]]-Base[[#This Row],['[Prod']'[Absentéisme']Total_jours_absence_après]]</f>
        <v>776885.32563405856</v>
      </c>
      <c r="BW120" s="4">
        <f>IF(AND(Base[[#This Row],[Pathologie]]&lt;&gt;"Dépendance",Base[[#This Row],[Pathologie]]&lt;&gt;"Mort prématurée",Base[[#This Row],[Pathologie]]&lt;&gt;"Migraine"),0.0619,0)</f>
        <v>6.1899999999999997E-2</v>
      </c>
      <c r="BX120" s="4">
        <v>254</v>
      </c>
      <c r="BY12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20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20" s="4">
        <f>Base[[#This Row],[Prévalence_prod]]*Base[[#This Row],[Présentéisme]]*Base[[#This Row],['[Prod']Jours_ouvrés]]</f>
        <v>1.7912080000000001</v>
      </c>
      <c r="CB120" s="4">
        <f>Base[[#This Row],[Prévalence_prod]]*(1-Base[[#This Row],[Risque]])*Base[[#This Row],[Présentéisme]]*Base[[#This Row],['[Prod']Jours_ouvrés]]</f>
        <v>1.6035286723177473</v>
      </c>
      <c r="CC120" s="4">
        <f>Base[[#This Row],['[Prod']'[Présentéisme']Jours_avant]]-Base[[#This Row],['[Prod']'[Présentéisme']Jours_après]]</f>
        <v>0.18767932768225282</v>
      </c>
      <c r="CD120" s="4">
        <f>Base[[#This Row],['[Prod']'[Présentéisme']Jours_gagnés]]/Base[[#This Row],['[Prod']Jours_ouvrés]]</f>
        <v>7.3889499087501109E-4</v>
      </c>
      <c r="CE120">
        <v>5.8333039429220801E-2</v>
      </c>
      <c r="CF120">
        <v>1.4658164114728258E-2</v>
      </c>
      <c r="CG120" s="4">
        <v>11</v>
      </c>
      <c r="CH120" s="4">
        <v>0.60922528771817497</v>
      </c>
      <c r="CI120" s="4">
        <v>3.8601807163334179E-3</v>
      </c>
      <c r="CJ120" s="4">
        <f>IF(Base[[#This Row],[Secteur]]&lt;&gt;"Moyenne",Base[[#This Row],['[Prod']'[Turnover']DMC_initiale]]*(1+Base[[#This Row],['[Prod']'[Turnover']Ecart_accidents]]*Base[[#This Row],['[Prod']Impact_motifs_turnover]]),CJ103*CI103+CJ104*CI104+CJ105*CI105+CJ106*CI106+CJ107*CI107+CJ108*CI108+CJ109*CI109+CJ110*CI110+CJ111*CI111+CJ112*CI112+CJ113*CI113+CJ114*CI114+CJ115*CI115+CJ116*CI116+CJ117*CI117+CJ118*CI118+CJ119*CI119)</f>
        <v>11.098231366752371</v>
      </c>
      <c r="CK120" s="4">
        <f>1/Base[[#This Row],['[Prod']'[Turnover']DMC_initiale]]</f>
        <v>9.0909090909090912E-2</v>
      </c>
      <c r="CL120" s="4">
        <f>1/Base[[#This Row],['[Prod']'[Turnover']DMC_finale]]</f>
        <v>9.0104447001867274E-2</v>
      </c>
    </row>
    <row r="121" spans="2:90" x14ac:dyDescent="0.25">
      <c r="B121" s="4" t="s">
        <v>329</v>
      </c>
      <c r="C121">
        <v>7.5</v>
      </c>
      <c r="D121" t="s">
        <v>84</v>
      </c>
      <c r="E121" t="s">
        <v>8</v>
      </c>
      <c r="F121" s="3">
        <v>0.10477807584727883</v>
      </c>
      <c r="G121" s="3">
        <v>4.1000000000000002E-2</v>
      </c>
      <c r="H121" s="3">
        <v>4.1000000000000002E-2</v>
      </c>
      <c r="I121" s="3">
        <v>0.17199999999999999</v>
      </c>
      <c r="J121" s="3">
        <v>3.8954334592466999</v>
      </c>
      <c r="K121" s="3">
        <v>7.0000000000000007E-2</v>
      </c>
      <c r="L121" s="2">
        <f>Base[[#This Row],[Coût]]*Base[[#This Row],[Part_ménages_dépenses_santé]]</f>
        <v>0.27268034214726899</v>
      </c>
      <c r="M121" s="2">
        <v>0.82690611956969029</v>
      </c>
      <c r="N121" s="6">
        <v>27700000</v>
      </c>
      <c r="O121" s="7">
        <f>Base[[#This Row],[Coût_salarié]]*10^9*Base[[#This Row],[Risque]]*Base[[#This Row],[Prévalence]]*Base[[#This Row],[Part_coûts_salarié]]/Base[[#This Row],[Population_emploi]]</f>
        <v>3.4969107056328594E-2</v>
      </c>
      <c r="P121">
        <v>50</v>
      </c>
      <c r="Q121">
        <v>50</v>
      </c>
      <c r="R121" s="2">
        <v>9.9999999999999978E-2</v>
      </c>
      <c r="S121" s="2">
        <v>0.33340000000000003</v>
      </c>
      <c r="T121" s="4">
        <v>4.1000000000000002E-2</v>
      </c>
      <c r="U121" s="4">
        <f>IF(Bases_annexes!$F$5=0,16.6587111018772,0.77*Bases_annexes!$F$5/(IF(OR(ISBLANK('Données_d''entrée'!$E$44),'Données_d''entrée'!$E$44=0),35,'Données_d''entrée'!$E$44)*52))</f>
        <v>16.658711101877199</v>
      </c>
      <c r="V121" s="4">
        <v>6.5286422873795198</v>
      </c>
      <c r="W1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21" s="4">
        <v>234.5</v>
      </c>
      <c r="Y121" s="4">
        <f>(Base[[#This Row],['[Maladies']Coûts_évités_par_salarié]]+Base[[#This Row],['[Travail']Coûts_évités_par_salarié]])/Base[[#This Row],[Budget_santé_salarié]]</f>
        <v>7.3116582342331688E-3</v>
      </c>
      <c r="Z121" s="4">
        <v>0.8</v>
      </c>
      <c r="AA121" s="4">
        <f>Base[[#This Row],[Coût]]*Base[[#This Row],[Part_société_dépenses_santé]]</f>
        <v>3.1163467673973599</v>
      </c>
      <c r="AB121" s="4">
        <v>67635124</v>
      </c>
      <c r="AC121" s="4">
        <v>82.297079063317852</v>
      </c>
      <c r="AD121" s="4">
        <v>0.11599999999999999</v>
      </c>
      <c r="AE121" s="4">
        <f>Base[[#This Row],['[SC']Prévalence_travail]]*Base[[#This Row],[Population_emploi]]</f>
        <v>3213200</v>
      </c>
      <c r="AF121" s="4">
        <f>Base[[#This Row],[Risque]]*Base[[#This Row],['[SC']Patients_en_emploi]]</f>
        <v>336672.91331247636</v>
      </c>
      <c r="AG121" s="4">
        <v>552654220.25999999</v>
      </c>
      <c r="AH121" s="4">
        <f>IFERROR(Base[[#This Row],['[SC']Prestations]]/Base[[#This Row],['[SC']Patients_en_emploi]],0)</f>
        <v>171.99496460226564</v>
      </c>
      <c r="AI121" s="4">
        <v>51.7</v>
      </c>
      <c r="AJ1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21" s="4">
        <f>Base[[#This Row],['[SC']'[Travail']Coûts_évités]]/Base[[#This Row],[Population_emploi]]</f>
        <v>2.0904709677877622</v>
      </c>
      <c r="AL121" s="4">
        <f>Base[[#This Row],[Coût_société]]*10^9*Base[[#This Row],[Risque]]*Base[[#This Row],[Prévalence]]*Base[[#This Row],[Part_coûts_salarié]]/Base[[#This Row],[Population_emploi]]</f>
        <v>0.39964693778661253</v>
      </c>
      <c r="AM121" s="4">
        <f>IF(Base[[#This Row],[Pathologie]]&lt;&gt;"Dépendance",0,14909.24243952)</f>
        <v>0</v>
      </c>
      <c r="AN121" s="4">
        <f>IF(Base[[#This Row],[Pathologie]]&lt;&gt;"Dépendance",0,1316000)</f>
        <v>0</v>
      </c>
      <c r="AO121" s="4">
        <f>IF(Base[[#This Row],[Pathologie]]&lt;&gt;"Dépendance",0,Base[[#This Row],['[SC']Coût_personne_dépendante]]*Base[[#This Row],['[SC']Nb_personnes_dépendantes]])</f>
        <v>0</v>
      </c>
      <c r="AP121" s="4">
        <f>IF(Base[[#This Row],[Pathologie]]&lt;&gt;"Dépendance",0,Base[[#This Row],['[SC']Coût_total_dépendance]]/Base[[#This Row],[Population_totale]])</f>
        <v>0</v>
      </c>
      <c r="AQ121" s="4">
        <f>IF(Base[[#This Row],[Pathologie]]&lt;&gt;"Dépendance",0,4.5)</f>
        <v>0</v>
      </c>
      <c r="AR121" s="4">
        <v>0.50393265050357905</v>
      </c>
      <c r="AS121" s="4">
        <f>Base[[#This Row],[Espérance_vie]]+Base[[#This Row],['[SC']Hausse_esp_de_vie]]-Base[[#This Row],['[SC']Durée_moyenne_dépendance_avt]]+Base[[#This Row],[Risque]]</f>
        <v>82.905789789668717</v>
      </c>
      <c r="AT1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1" s="4">
        <v>62.9</v>
      </c>
      <c r="AW121" s="4">
        <f t="shared" si="0"/>
        <v>336905600000</v>
      </c>
      <c r="AX121" s="4">
        <v>15049171</v>
      </c>
      <c r="AY121" s="4">
        <f>Base[[#This Row],['[SC']Budget_total_retraites]]/Base[[#This Row],['[SC']Nombre_de_retraités]]</f>
        <v>22386.987296509556</v>
      </c>
      <c r="AZ121" s="4">
        <f>Base[[#This Row],['[SC']Budget_par_retraité]]*Base[[#This Row],['[SC']Nb_personnes_dépendantes]]</f>
        <v>0</v>
      </c>
      <c r="BA121" s="4">
        <f>Base[[#This Row],['[SC']'[Dépendance']Coût_retraite_personnes_dépendantes]]/Base[[#This Row],[Population_totale]]</f>
        <v>0</v>
      </c>
      <c r="BB12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1" s="4">
        <f>Base[[#This Row],['[SC']'[Dépendance']Gains]]-Base[[#This Row],['[SC']'[Dépendance']Coûts]]</f>
        <v>0</v>
      </c>
      <c r="BD121" s="4">
        <f>IF(Base[[#This Row],[Pathologie]]&lt;&gt;"Mort prématurée",0,Base[[#This Row],[Risque]]*Base[[#This Row],[Prévalence]]*Base[[#This Row],[Population_totale]])</f>
        <v>0</v>
      </c>
      <c r="BE121" s="4">
        <v>52.74</v>
      </c>
      <c r="BF121" s="4">
        <f>Base[[#This Row],['[SC']Âge_moyen_retraite]]-Base[[#This Row],['[SC']'[Mort_prématurée']Âge_moyen_mort précoce]]</f>
        <v>10.159999999999997</v>
      </c>
      <c r="BG121" s="4">
        <f>Base[[#This Row],[Espérance_vie]]+Base[[#This Row],['[SC']Hausse_esp_de_vie]]-Base[[#This Row],['[SC']Âge_moyen_retraite]]</f>
        <v>19.90101171382144</v>
      </c>
      <c r="BH121" s="4">
        <v>106583.42676924677</v>
      </c>
      <c r="BI121" s="4">
        <v>97601.789429271477</v>
      </c>
      <c r="BJ121" s="4">
        <v>302038.31496633729</v>
      </c>
      <c r="BK121" s="4">
        <v>117293.58934859755</v>
      </c>
      <c r="BL121" s="4">
        <v>1523999.9999999995</v>
      </c>
      <c r="BM1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1" s="4">
        <v>294804.96027377353</v>
      </c>
      <c r="BO1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1" s="4">
        <f>(Base[[#This Row],['[SC']'[Mort_prématurée']Gains]]-Base[[#This Row],['[SC']'[Mort_prématurée']Coûts]])/Base[[#This Row],[Population_totale]]</f>
        <v>0</v>
      </c>
      <c r="BQ121" s="4">
        <f>IF(Base[[#This Row],[Pathologie]]&lt;&gt;"Mort prématurée",0,Base[[#This Row],[Risque]])</f>
        <v>0</v>
      </c>
      <c r="BR121" s="4">
        <v>2680</v>
      </c>
      <c r="BS1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21" s="4">
        <f>Base[[#This Row],[Prévalence_prod]]*(1-Base[[#This Row],[Risque]])*Base[[#This Row],[Durée_arrêt]]*Base[[#This Row],[Population_emploi]]</f>
        <v>6637693.7201428628</v>
      </c>
      <c r="BV121" s="4">
        <f>Base[[#This Row],['[Prod']'[Absentéisme']Total_jours_absence_avant]]-Base[[#This Row],['[Prod']'[Absentéisme']Total_jours_absence_après]]</f>
        <v>776885.32563405856</v>
      </c>
      <c r="BW121" s="4">
        <f>IF(AND(Base[[#This Row],[Pathologie]]&lt;&gt;"Dépendance",Base[[#This Row],[Pathologie]]&lt;&gt;"Mort prématurée",Base[[#This Row],[Pathologie]]&lt;&gt;"Migraine"),0.0619,0)</f>
        <v>6.1899999999999997E-2</v>
      </c>
      <c r="BX121" s="4">
        <v>254</v>
      </c>
      <c r="BY121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21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21" s="4">
        <f>Base[[#This Row],[Prévalence_prod]]*Base[[#This Row],[Présentéisme]]*Base[[#This Row],['[Prod']Jours_ouvrés]]</f>
        <v>1.7912080000000001</v>
      </c>
      <c r="CB121" s="4">
        <f>Base[[#This Row],[Prévalence_prod]]*(1-Base[[#This Row],[Risque]])*Base[[#This Row],[Présentéisme]]*Base[[#This Row],['[Prod']Jours_ouvrés]]</f>
        <v>1.6035286723177473</v>
      </c>
      <c r="CC121" s="4">
        <f>Base[[#This Row],['[Prod']'[Présentéisme']Jours_avant]]-Base[[#This Row],['[Prod']'[Présentéisme']Jours_après]]</f>
        <v>0.18767932768225282</v>
      </c>
      <c r="CD121" s="4">
        <f>Base[[#This Row],['[Prod']'[Présentéisme']Jours_gagnés]]/Base[[#This Row],['[Prod']Jours_ouvrés]]</f>
        <v>7.3889499087501109E-4</v>
      </c>
      <c r="CE121">
        <v>5.8333039429220801E-2</v>
      </c>
      <c r="CF121">
        <v>1.4658164114728258E-2</v>
      </c>
      <c r="CG121" s="4">
        <v>11</v>
      </c>
      <c r="CH121" s="4">
        <v>0.78414927716175975</v>
      </c>
      <c r="CI121" s="4">
        <v>0.12835819090128339</v>
      </c>
      <c r="CJ121" s="4">
        <f>IF(Base[[#This Row],[Secteur]]&lt;&gt;"Moyenne",Base[[#This Row],['[Prod']'[Turnover']DMC_initiale]]*(1+Base[[#This Row],['[Prod']'[Turnover']Ecart_accidents]]*Base[[#This Row],['[Prod']Impact_motifs_turnover]]),CJ104*CI104+CJ105*CI105+CJ106*CI106+CJ107*CI107+CJ108*CI108+CJ109*CI109+CJ110*CI110+CJ111*CI111+CJ112*CI112+CJ113*CI113+CJ114*CI114+CJ115*CI115+CJ116*CI116+CJ117*CI117+CJ118*CI118+CJ119*CI119+CJ120*CI120)</f>
        <v>11.126436076745907</v>
      </c>
      <c r="CK121" s="4">
        <f>1/Base[[#This Row],['[Prod']'[Turnover']DMC_initiale]]</f>
        <v>9.0909090909090912E-2</v>
      </c>
      <c r="CL121" s="4">
        <f>1/Base[[#This Row],['[Prod']'[Turnover']DMC_finale]]</f>
        <v>8.9876038751526707E-2</v>
      </c>
    </row>
    <row r="122" spans="2:90" x14ac:dyDescent="0.25">
      <c r="B122" s="4" t="s">
        <v>330</v>
      </c>
      <c r="C122">
        <v>7.5</v>
      </c>
      <c r="D122" t="s">
        <v>84</v>
      </c>
      <c r="E122" t="s">
        <v>8</v>
      </c>
      <c r="F122" s="3">
        <v>0.10477807584727883</v>
      </c>
      <c r="G122" s="3">
        <v>4.1000000000000002E-2</v>
      </c>
      <c r="H122" s="3">
        <v>4.1000000000000002E-2</v>
      </c>
      <c r="I122" s="3">
        <v>0.17199999999999999</v>
      </c>
      <c r="J122" s="3">
        <v>3.8954334592466999</v>
      </c>
      <c r="K122" s="3">
        <v>7.0000000000000007E-2</v>
      </c>
      <c r="L122" s="2">
        <f>Base[[#This Row],[Coût]]*Base[[#This Row],[Part_ménages_dépenses_santé]]</f>
        <v>0.27268034214726899</v>
      </c>
      <c r="M122" s="2">
        <v>0.82690611956969029</v>
      </c>
      <c r="N122" s="6">
        <v>27700000</v>
      </c>
      <c r="O122" s="7">
        <f>Base[[#This Row],[Coût_salarié]]*10^9*Base[[#This Row],[Risque]]*Base[[#This Row],[Prévalence]]*Base[[#This Row],[Part_coûts_salarié]]/Base[[#This Row],[Population_emploi]]</f>
        <v>3.4969107056328594E-2</v>
      </c>
      <c r="P122">
        <v>50</v>
      </c>
      <c r="Q122">
        <v>50</v>
      </c>
      <c r="R122" s="2">
        <v>9.9999999999999978E-2</v>
      </c>
      <c r="S122" s="2">
        <v>0.33340000000000003</v>
      </c>
      <c r="T122" s="4">
        <v>4.1000000000000002E-2</v>
      </c>
      <c r="U122" s="4">
        <f>IF(Bases_annexes!$F$5=0,16.6587111018772,0.77*Bases_annexes!$F$5/(IF(OR(ISBLANK('Données_d''entrée'!$E$44),'Données_d''entrée'!$E$44=0),35,'Données_d''entrée'!$E$44)*52))</f>
        <v>16.658711101877199</v>
      </c>
      <c r="V122" s="4">
        <v>6.5286422873795198</v>
      </c>
      <c r="W1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22" s="4">
        <v>234.5</v>
      </c>
      <c r="Y122" s="4">
        <f>(Base[[#This Row],['[Maladies']Coûts_évités_par_salarié]]+Base[[#This Row],['[Travail']Coûts_évités_par_salarié]])/Base[[#This Row],[Budget_santé_salarié]]</f>
        <v>7.3116582342331688E-3</v>
      </c>
      <c r="Z122" s="4">
        <v>0.8</v>
      </c>
      <c r="AA122" s="4">
        <f>Base[[#This Row],[Coût]]*Base[[#This Row],[Part_société_dépenses_santé]]</f>
        <v>3.1163467673973599</v>
      </c>
      <c r="AB122" s="4">
        <v>67635124</v>
      </c>
      <c r="AC122" s="4">
        <v>82.297079063317852</v>
      </c>
      <c r="AD122" s="4">
        <v>0.11599999999999999</v>
      </c>
      <c r="AE122" s="4">
        <f>Base[[#This Row],['[SC']Prévalence_travail]]*Base[[#This Row],[Population_emploi]]</f>
        <v>3213200</v>
      </c>
      <c r="AF122" s="4">
        <f>Base[[#This Row],[Risque]]*Base[[#This Row],['[SC']Patients_en_emploi]]</f>
        <v>336672.91331247636</v>
      </c>
      <c r="AG122" s="4">
        <v>552654220.25999999</v>
      </c>
      <c r="AH122" s="4">
        <f>IFERROR(Base[[#This Row],['[SC']Prestations]]/Base[[#This Row],['[SC']Patients_en_emploi]],0)</f>
        <v>171.99496460226564</v>
      </c>
      <c r="AI122" s="4">
        <v>51.7</v>
      </c>
      <c r="AJ1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22" s="4">
        <f>Base[[#This Row],['[SC']'[Travail']Coûts_évités]]/Base[[#This Row],[Population_emploi]]</f>
        <v>2.0904709677877622</v>
      </c>
      <c r="AL122" s="4">
        <f>Base[[#This Row],[Coût_société]]*10^9*Base[[#This Row],[Risque]]*Base[[#This Row],[Prévalence]]*Base[[#This Row],[Part_coûts_salarié]]/Base[[#This Row],[Population_emploi]]</f>
        <v>0.39964693778661253</v>
      </c>
      <c r="AM122" s="4">
        <f>IF(Base[[#This Row],[Pathologie]]&lt;&gt;"Dépendance",0,14909.24243952)</f>
        <v>0</v>
      </c>
      <c r="AN122" s="4">
        <f>IF(Base[[#This Row],[Pathologie]]&lt;&gt;"Dépendance",0,1316000)</f>
        <v>0</v>
      </c>
      <c r="AO122" s="4">
        <f>IF(Base[[#This Row],[Pathologie]]&lt;&gt;"Dépendance",0,Base[[#This Row],['[SC']Coût_personne_dépendante]]*Base[[#This Row],['[SC']Nb_personnes_dépendantes]])</f>
        <v>0</v>
      </c>
      <c r="AP122" s="4">
        <f>IF(Base[[#This Row],[Pathologie]]&lt;&gt;"Dépendance",0,Base[[#This Row],['[SC']Coût_total_dépendance]]/Base[[#This Row],[Population_totale]])</f>
        <v>0</v>
      </c>
      <c r="AQ122" s="4">
        <f>IF(Base[[#This Row],[Pathologie]]&lt;&gt;"Dépendance",0,4.5)</f>
        <v>0</v>
      </c>
      <c r="AR122" s="4">
        <v>0.50393265050357905</v>
      </c>
      <c r="AS122" s="4">
        <f>Base[[#This Row],[Espérance_vie]]+Base[[#This Row],['[SC']Hausse_esp_de_vie]]-Base[[#This Row],['[SC']Durée_moyenne_dépendance_avt]]+Base[[#This Row],[Risque]]</f>
        <v>82.905789789668717</v>
      </c>
      <c r="AT1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2" s="4">
        <v>62.9</v>
      </c>
      <c r="AW122" s="4">
        <f t="shared" si="0"/>
        <v>336905600000</v>
      </c>
      <c r="AX122" s="4">
        <v>15049171</v>
      </c>
      <c r="AY122" s="4">
        <f>Base[[#This Row],['[SC']Budget_total_retraites]]/Base[[#This Row],['[SC']Nombre_de_retraités]]</f>
        <v>22386.987296509556</v>
      </c>
      <c r="AZ122" s="4">
        <f>Base[[#This Row],['[SC']Budget_par_retraité]]*Base[[#This Row],['[SC']Nb_personnes_dépendantes]]</f>
        <v>0</v>
      </c>
      <c r="BA122" s="4">
        <f>Base[[#This Row],['[SC']'[Dépendance']Coût_retraite_personnes_dépendantes]]/Base[[#This Row],[Population_totale]]</f>
        <v>0</v>
      </c>
      <c r="BB12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2" s="4">
        <f>Base[[#This Row],['[SC']'[Dépendance']Gains]]-Base[[#This Row],['[SC']'[Dépendance']Coûts]]</f>
        <v>0</v>
      </c>
      <c r="BD122" s="4">
        <f>IF(Base[[#This Row],[Pathologie]]&lt;&gt;"Mort prématurée",0,Base[[#This Row],[Risque]]*Base[[#This Row],[Prévalence]]*Base[[#This Row],[Population_totale]])</f>
        <v>0</v>
      </c>
      <c r="BE122" s="4">
        <v>52.74</v>
      </c>
      <c r="BF122" s="4">
        <f>Base[[#This Row],['[SC']Âge_moyen_retraite]]-Base[[#This Row],['[SC']'[Mort_prématurée']Âge_moyen_mort précoce]]</f>
        <v>10.159999999999997</v>
      </c>
      <c r="BG122" s="4">
        <f>Base[[#This Row],[Espérance_vie]]+Base[[#This Row],['[SC']Hausse_esp_de_vie]]-Base[[#This Row],['[SC']Âge_moyen_retraite]]</f>
        <v>19.90101171382144</v>
      </c>
      <c r="BH122" s="4">
        <v>106583.42676924677</v>
      </c>
      <c r="BI122" s="4">
        <v>97601.789429271477</v>
      </c>
      <c r="BJ122" s="4">
        <v>302038.31496633729</v>
      </c>
      <c r="BK122" s="4">
        <v>117293.58934859755</v>
      </c>
      <c r="BL122" s="4">
        <v>1523999.9999999995</v>
      </c>
      <c r="BM1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2" s="4">
        <v>294804.96027377353</v>
      </c>
      <c r="BO1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2" s="4">
        <f>(Base[[#This Row],['[SC']'[Mort_prématurée']Gains]]-Base[[#This Row],['[SC']'[Mort_prématurée']Coûts]])/Base[[#This Row],[Population_totale]]</f>
        <v>0</v>
      </c>
      <c r="BQ122" s="4">
        <f>IF(Base[[#This Row],[Pathologie]]&lt;&gt;"Mort prématurée",0,Base[[#This Row],[Risque]])</f>
        <v>0</v>
      </c>
      <c r="BR122" s="4">
        <v>2680</v>
      </c>
      <c r="BS1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22" s="4">
        <f>Base[[#This Row],[Prévalence_prod]]*(1-Base[[#This Row],[Risque]])*Base[[#This Row],[Durée_arrêt]]*Base[[#This Row],[Population_emploi]]</f>
        <v>6637693.7201428628</v>
      </c>
      <c r="BV122" s="4">
        <f>Base[[#This Row],['[Prod']'[Absentéisme']Total_jours_absence_avant]]-Base[[#This Row],['[Prod']'[Absentéisme']Total_jours_absence_après]]</f>
        <v>776885.32563405856</v>
      </c>
      <c r="BW122" s="4">
        <f>IF(AND(Base[[#This Row],[Pathologie]]&lt;&gt;"Dépendance",Base[[#This Row],[Pathologie]]&lt;&gt;"Mort prématurée",Base[[#This Row],[Pathologie]]&lt;&gt;"Migraine"),0.0619,0)</f>
        <v>6.1899999999999997E-2</v>
      </c>
      <c r="BX122" s="4">
        <v>254</v>
      </c>
      <c r="BY122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22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22" s="4">
        <f>Base[[#This Row],[Prévalence_prod]]*Base[[#This Row],[Présentéisme]]*Base[[#This Row],['[Prod']Jours_ouvrés]]</f>
        <v>1.7912080000000001</v>
      </c>
      <c r="CB122" s="4">
        <f>Base[[#This Row],[Prévalence_prod]]*(1-Base[[#This Row],[Risque]])*Base[[#This Row],[Présentéisme]]*Base[[#This Row],['[Prod']Jours_ouvrés]]</f>
        <v>1.6035286723177473</v>
      </c>
      <c r="CC122" s="4">
        <f>Base[[#This Row],['[Prod']'[Présentéisme']Jours_avant]]-Base[[#This Row],['[Prod']'[Présentéisme']Jours_après]]</f>
        <v>0.18767932768225282</v>
      </c>
      <c r="CD122" s="4">
        <f>Base[[#This Row],['[Prod']'[Présentéisme']Jours_gagnés]]/Base[[#This Row],['[Prod']Jours_ouvrés]]</f>
        <v>7.3889499087501109E-4</v>
      </c>
      <c r="CE122">
        <v>5.8333039429220801E-2</v>
      </c>
      <c r="CF122">
        <v>1.4658164114728258E-2</v>
      </c>
      <c r="CG122" s="4">
        <v>11</v>
      </c>
      <c r="CH122" s="4">
        <v>0.99648427619813984</v>
      </c>
      <c r="CI122" s="4">
        <v>0.42377466100567313</v>
      </c>
      <c r="CJ122" s="4">
        <f>IF(Base[[#This Row],[Secteur]]&lt;&gt;"Moyenne",Base[[#This Row],['[Prod']'[Turnover']DMC_initiale]]*(1+Base[[#This Row],['[Prod']'[Turnover']Ecart_accidents]]*Base[[#This Row],['[Prod']Impact_motifs_turnover]]),CJ105*CI105+CJ106*CI106+CJ107*CI107+CJ108*CI108+CJ109*CI109+CJ110*CI110+CJ111*CI111+CJ112*CI112+CJ113*CI113+CJ114*CI114+CJ115*CI115+CJ116*CI116+CJ117*CI117+CJ118*CI118+CJ119*CI119+CJ120*CI120+CJ121*CI121)</f>
        <v>11.160672930640844</v>
      </c>
      <c r="CK122" s="4">
        <f>1/Base[[#This Row],['[Prod']'[Turnover']DMC_initiale]]</f>
        <v>9.0909090909090912E-2</v>
      </c>
      <c r="CL122" s="4">
        <f>1/Base[[#This Row],['[Prod']'[Turnover']DMC_finale]]</f>
        <v>8.9600332006376626E-2</v>
      </c>
    </row>
    <row r="123" spans="2:90" x14ac:dyDescent="0.25">
      <c r="B123" s="4" t="s">
        <v>331</v>
      </c>
      <c r="C123">
        <v>7.5</v>
      </c>
      <c r="D123" t="s">
        <v>84</v>
      </c>
      <c r="E123" t="s">
        <v>8</v>
      </c>
      <c r="F123" s="3">
        <v>0.10477807584727883</v>
      </c>
      <c r="G123" s="3">
        <v>4.1000000000000002E-2</v>
      </c>
      <c r="H123" s="3">
        <v>4.1000000000000002E-2</v>
      </c>
      <c r="I123" s="3">
        <v>0.17199999999999999</v>
      </c>
      <c r="J123" s="3">
        <v>3.8954334592466999</v>
      </c>
      <c r="K123" s="3">
        <v>7.0000000000000007E-2</v>
      </c>
      <c r="L123" s="2">
        <f>Base[[#This Row],[Coût]]*Base[[#This Row],[Part_ménages_dépenses_santé]]</f>
        <v>0.27268034214726899</v>
      </c>
      <c r="M123" s="2">
        <v>0.82690611956969029</v>
      </c>
      <c r="N123" s="6">
        <v>27700000</v>
      </c>
      <c r="O123" s="7">
        <f>Base[[#This Row],[Coût_salarié]]*10^9*Base[[#This Row],[Risque]]*Base[[#This Row],[Prévalence]]*Base[[#This Row],[Part_coûts_salarié]]/Base[[#This Row],[Population_emploi]]</f>
        <v>3.4969107056328594E-2</v>
      </c>
      <c r="P123">
        <v>50</v>
      </c>
      <c r="Q123">
        <v>50</v>
      </c>
      <c r="R123" s="2">
        <v>9.9999999999999978E-2</v>
      </c>
      <c r="S123" s="2">
        <v>0.33340000000000003</v>
      </c>
      <c r="T123" s="4">
        <v>4.1000000000000002E-2</v>
      </c>
      <c r="U123" s="4">
        <f>IF(Bases_annexes!$F$5=0,16.6587111018772,0.77*Bases_annexes!$F$5/(IF(OR(ISBLANK('Données_d''entrée'!$E$44),'Données_d''entrée'!$E$44=0),35,'Données_d''entrée'!$E$44)*52))</f>
        <v>16.658711101877199</v>
      </c>
      <c r="V123" s="4">
        <v>6.5286422873795198</v>
      </c>
      <c r="W1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23" s="4">
        <v>234.5</v>
      </c>
      <c r="Y123" s="4">
        <f>(Base[[#This Row],['[Maladies']Coûts_évités_par_salarié]]+Base[[#This Row],['[Travail']Coûts_évités_par_salarié]])/Base[[#This Row],[Budget_santé_salarié]]</f>
        <v>7.3116582342331688E-3</v>
      </c>
      <c r="Z123" s="4">
        <v>0.8</v>
      </c>
      <c r="AA123" s="4">
        <f>Base[[#This Row],[Coût]]*Base[[#This Row],[Part_société_dépenses_santé]]</f>
        <v>3.1163467673973599</v>
      </c>
      <c r="AB123" s="4">
        <v>67635124</v>
      </c>
      <c r="AC123" s="4">
        <v>82.297079063317852</v>
      </c>
      <c r="AD123" s="4">
        <v>0.11599999999999999</v>
      </c>
      <c r="AE123" s="4">
        <f>Base[[#This Row],['[SC']Prévalence_travail]]*Base[[#This Row],[Population_emploi]]</f>
        <v>3213200</v>
      </c>
      <c r="AF123" s="4">
        <f>Base[[#This Row],[Risque]]*Base[[#This Row],['[SC']Patients_en_emploi]]</f>
        <v>336672.91331247636</v>
      </c>
      <c r="AG123" s="4">
        <v>552654220.25999999</v>
      </c>
      <c r="AH123" s="4">
        <f>IFERROR(Base[[#This Row],['[SC']Prestations]]/Base[[#This Row],['[SC']Patients_en_emploi]],0)</f>
        <v>171.99496460226564</v>
      </c>
      <c r="AI123" s="4">
        <v>51.7</v>
      </c>
      <c r="AJ1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23" s="4">
        <f>Base[[#This Row],['[SC']'[Travail']Coûts_évités]]/Base[[#This Row],[Population_emploi]]</f>
        <v>2.0904709677877622</v>
      </c>
      <c r="AL123" s="4">
        <f>Base[[#This Row],[Coût_société]]*10^9*Base[[#This Row],[Risque]]*Base[[#This Row],[Prévalence]]*Base[[#This Row],[Part_coûts_salarié]]/Base[[#This Row],[Population_emploi]]</f>
        <v>0.39964693778661253</v>
      </c>
      <c r="AM123" s="4">
        <f>IF(Base[[#This Row],[Pathologie]]&lt;&gt;"Dépendance",0,14909.24243952)</f>
        <v>0</v>
      </c>
      <c r="AN123" s="4">
        <f>IF(Base[[#This Row],[Pathologie]]&lt;&gt;"Dépendance",0,1316000)</f>
        <v>0</v>
      </c>
      <c r="AO123" s="4">
        <f>IF(Base[[#This Row],[Pathologie]]&lt;&gt;"Dépendance",0,Base[[#This Row],['[SC']Coût_personne_dépendante]]*Base[[#This Row],['[SC']Nb_personnes_dépendantes]])</f>
        <v>0</v>
      </c>
      <c r="AP123" s="4">
        <f>IF(Base[[#This Row],[Pathologie]]&lt;&gt;"Dépendance",0,Base[[#This Row],['[SC']Coût_total_dépendance]]/Base[[#This Row],[Population_totale]])</f>
        <v>0</v>
      </c>
      <c r="AQ123" s="4">
        <f>IF(Base[[#This Row],[Pathologie]]&lt;&gt;"Dépendance",0,4.5)</f>
        <v>0</v>
      </c>
      <c r="AR123" s="4">
        <v>0.50393265050357905</v>
      </c>
      <c r="AS123" s="4">
        <f>Base[[#This Row],[Espérance_vie]]+Base[[#This Row],['[SC']Hausse_esp_de_vie]]-Base[[#This Row],['[SC']Durée_moyenne_dépendance_avt]]+Base[[#This Row],[Risque]]</f>
        <v>82.905789789668717</v>
      </c>
      <c r="AT1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3" s="4">
        <v>62.9</v>
      </c>
      <c r="AW123" s="4">
        <f t="shared" si="0"/>
        <v>336905600000</v>
      </c>
      <c r="AX123" s="4">
        <v>15049171</v>
      </c>
      <c r="AY123" s="4">
        <f>Base[[#This Row],['[SC']Budget_total_retraites]]/Base[[#This Row],['[SC']Nombre_de_retraités]]</f>
        <v>22386.987296509556</v>
      </c>
      <c r="AZ123" s="4">
        <f>Base[[#This Row],['[SC']Budget_par_retraité]]*Base[[#This Row],['[SC']Nb_personnes_dépendantes]]</f>
        <v>0</v>
      </c>
      <c r="BA123" s="4">
        <f>Base[[#This Row],['[SC']'[Dépendance']Coût_retraite_personnes_dépendantes]]/Base[[#This Row],[Population_totale]]</f>
        <v>0</v>
      </c>
      <c r="BB12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3" s="4">
        <f>Base[[#This Row],['[SC']'[Dépendance']Gains]]-Base[[#This Row],['[SC']'[Dépendance']Coûts]]</f>
        <v>0</v>
      </c>
      <c r="BD123" s="4">
        <f>IF(Base[[#This Row],[Pathologie]]&lt;&gt;"Mort prématurée",0,Base[[#This Row],[Risque]]*Base[[#This Row],[Prévalence]]*Base[[#This Row],[Population_totale]])</f>
        <v>0</v>
      </c>
      <c r="BE123" s="4">
        <v>52.74</v>
      </c>
      <c r="BF123" s="4">
        <f>Base[[#This Row],['[SC']Âge_moyen_retraite]]-Base[[#This Row],['[SC']'[Mort_prématurée']Âge_moyen_mort précoce]]</f>
        <v>10.159999999999997</v>
      </c>
      <c r="BG123" s="4">
        <f>Base[[#This Row],[Espérance_vie]]+Base[[#This Row],['[SC']Hausse_esp_de_vie]]-Base[[#This Row],['[SC']Âge_moyen_retraite]]</f>
        <v>19.90101171382144</v>
      </c>
      <c r="BH123" s="4">
        <v>106583.42676924677</v>
      </c>
      <c r="BI123" s="4">
        <v>97601.789429271477</v>
      </c>
      <c r="BJ123" s="4">
        <v>302038.31496633729</v>
      </c>
      <c r="BK123" s="4">
        <v>117293.58934859755</v>
      </c>
      <c r="BL123" s="4">
        <v>1523999.9999999995</v>
      </c>
      <c r="BM1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3" s="4">
        <v>294804.96027377353</v>
      </c>
      <c r="BO1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3" s="4">
        <f>(Base[[#This Row],['[SC']'[Mort_prématurée']Gains]]-Base[[#This Row],['[SC']'[Mort_prématurée']Coûts]])/Base[[#This Row],[Population_totale]]</f>
        <v>0</v>
      </c>
      <c r="BQ123" s="4">
        <f>IF(Base[[#This Row],[Pathologie]]&lt;&gt;"Mort prématurée",0,Base[[#This Row],[Risque]])</f>
        <v>0</v>
      </c>
      <c r="BR123" s="4">
        <v>2680</v>
      </c>
      <c r="BS1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23" s="4">
        <f>Base[[#This Row],[Prévalence_prod]]*(1-Base[[#This Row],[Risque]])*Base[[#This Row],[Durée_arrêt]]*Base[[#This Row],[Population_emploi]]</f>
        <v>6637693.7201428628</v>
      </c>
      <c r="BV123" s="4">
        <f>Base[[#This Row],['[Prod']'[Absentéisme']Total_jours_absence_avant]]-Base[[#This Row],['[Prod']'[Absentéisme']Total_jours_absence_après]]</f>
        <v>776885.32563405856</v>
      </c>
      <c r="BW123" s="4">
        <f>IF(AND(Base[[#This Row],[Pathologie]]&lt;&gt;"Dépendance",Base[[#This Row],[Pathologie]]&lt;&gt;"Mort prématurée",Base[[#This Row],[Pathologie]]&lt;&gt;"Migraine"),0.0619,0)</f>
        <v>6.1899999999999997E-2</v>
      </c>
      <c r="BX123" s="4">
        <v>254</v>
      </c>
      <c r="BY12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23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23" s="4">
        <f>Base[[#This Row],[Prévalence_prod]]*Base[[#This Row],[Présentéisme]]*Base[[#This Row],['[Prod']Jours_ouvrés]]</f>
        <v>1.7912080000000001</v>
      </c>
      <c r="CB123" s="4">
        <f>Base[[#This Row],[Prévalence_prod]]*(1-Base[[#This Row],[Risque]])*Base[[#This Row],[Présentéisme]]*Base[[#This Row],['[Prod']Jours_ouvrés]]</f>
        <v>1.6035286723177473</v>
      </c>
      <c r="CC123" s="4">
        <f>Base[[#This Row],['[Prod']'[Présentéisme']Jours_avant]]-Base[[#This Row],['[Prod']'[Présentéisme']Jours_après]]</f>
        <v>0.18767932768225282</v>
      </c>
      <c r="CD123" s="4">
        <f>Base[[#This Row],['[Prod']'[Présentéisme']Jours_gagnés]]/Base[[#This Row],['[Prod']Jours_ouvrés]]</f>
        <v>7.3889499087501109E-4</v>
      </c>
      <c r="CE123">
        <v>5.8333039429220801E-2</v>
      </c>
      <c r="CF123">
        <v>1.4658164114728258E-2</v>
      </c>
      <c r="CG123" s="4">
        <v>11</v>
      </c>
      <c r="CH123" s="4">
        <v>1.1593596509901765</v>
      </c>
      <c r="CI123" s="4">
        <v>4.0741311947357597E-2</v>
      </c>
      <c r="CJ123" s="4">
        <f>IF(Base[[#This Row],[Secteur]]&lt;&gt;"Moyenne",Base[[#This Row],['[Prod']'[Turnover']DMC_initiale]]*(1+Base[[#This Row],['[Prod']'[Turnover']Ecart_accidents]]*Base[[#This Row],['[Prod']Impact_motifs_turnover]]),CJ106*CI106+CJ107*CI107+CJ108*CI108+CJ109*CI109+CJ110*CI110+CJ111*CI111+CJ112*CI112+CJ113*CI113+CJ114*CI114+CJ115*CI115+CJ116*CI116+CJ117*CI117+CJ118*CI118+CJ119*CI119+CJ120*CI120+CJ121*CI121+CJ122*CI122)</f>
        <v>11.186934924354288</v>
      </c>
      <c r="CK123" s="4">
        <f>1/Base[[#This Row],['[Prod']'[Turnover']DMC_initiale]]</f>
        <v>9.0909090909090912E-2</v>
      </c>
      <c r="CL123" s="4">
        <f>1/Base[[#This Row],['[Prod']'[Turnover']DMC_finale]]</f>
        <v>8.9389989908940148E-2</v>
      </c>
    </row>
    <row r="124" spans="2:90" x14ac:dyDescent="0.25">
      <c r="B124" s="4" t="s">
        <v>332</v>
      </c>
      <c r="C124">
        <v>7.5</v>
      </c>
      <c r="D124" t="s">
        <v>84</v>
      </c>
      <c r="E124" t="s">
        <v>8</v>
      </c>
      <c r="F124" s="3">
        <v>0.10477807584727883</v>
      </c>
      <c r="G124" s="3">
        <v>4.1000000000000002E-2</v>
      </c>
      <c r="H124" s="3">
        <v>4.1000000000000002E-2</v>
      </c>
      <c r="I124" s="3">
        <v>0.17199999999999999</v>
      </c>
      <c r="J124" s="3">
        <v>3.8954334592466999</v>
      </c>
      <c r="K124" s="3">
        <v>7.0000000000000007E-2</v>
      </c>
      <c r="L124" s="2">
        <f>Base[[#This Row],[Coût]]*Base[[#This Row],[Part_ménages_dépenses_santé]]</f>
        <v>0.27268034214726899</v>
      </c>
      <c r="M124" s="2">
        <v>0.82690611956969029</v>
      </c>
      <c r="N124" s="6">
        <v>27700000</v>
      </c>
      <c r="O124" s="7">
        <f>Base[[#This Row],[Coût_salarié]]*10^9*Base[[#This Row],[Risque]]*Base[[#This Row],[Prévalence]]*Base[[#This Row],[Part_coûts_salarié]]/Base[[#This Row],[Population_emploi]]</f>
        <v>3.4969107056328594E-2</v>
      </c>
      <c r="P124">
        <v>50</v>
      </c>
      <c r="Q124">
        <v>50</v>
      </c>
      <c r="R124" s="2">
        <v>9.9999999999999978E-2</v>
      </c>
      <c r="S124" s="2">
        <v>0.33340000000000003</v>
      </c>
      <c r="T124" s="4">
        <v>4.1000000000000002E-2</v>
      </c>
      <c r="U124" s="4">
        <f>IF(Bases_annexes!$F$5=0,16.6587111018772,0.77*Bases_annexes!$F$5/(IF(OR(ISBLANK('Données_d''entrée'!$E$44),'Données_d''entrée'!$E$44=0),35,'Données_d''entrée'!$E$44)*52))</f>
        <v>16.658711101877199</v>
      </c>
      <c r="V124" s="4">
        <v>6.5286422873795198</v>
      </c>
      <c r="W1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1.6796147488713495</v>
      </c>
      <c r="X124" s="4">
        <v>234.5</v>
      </c>
      <c r="Y124" s="4">
        <f>(Base[[#This Row],['[Maladies']Coûts_évités_par_salarié]]+Base[[#This Row],['[Travail']Coûts_évités_par_salarié]])/Base[[#This Row],[Budget_santé_salarié]]</f>
        <v>7.3116582342331688E-3</v>
      </c>
      <c r="Z124" s="4">
        <v>0.8</v>
      </c>
      <c r="AA124" s="4">
        <f>Base[[#This Row],[Coût]]*Base[[#This Row],[Part_société_dépenses_santé]]</f>
        <v>3.1163467673973599</v>
      </c>
      <c r="AB124" s="4">
        <v>67635124</v>
      </c>
      <c r="AC124" s="4">
        <v>82.297079063317852</v>
      </c>
      <c r="AD124" s="4">
        <v>0.11599999999999999</v>
      </c>
      <c r="AE124" s="4">
        <f>Base[[#This Row],['[SC']Prévalence_travail]]*Base[[#This Row],[Population_emploi]]</f>
        <v>3213200</v>
      </c>
      <c r="AF124" s="4">
        <f>Base[[#This Row],[Risque]]*Base[[#This Row],['[SC']Patients_en_emploi]]</f>
        <v>336672.91331247636</v>
      </c>
      <c r="AG124" s="4">
        <v>552654220.25999999</v>
      </c>
      <c r="AH124" s="4">
        <f>IFERROR(Base[[#This Row],['[SC']Prestations]]/Base[[#This Row],['[SC']Patients_en_emploi]],0)</f>
        <v>171.99496460226564</v>
      </c>
      <c r="AI124" s="4">
        <v>51.7</v>
      </c>
      <c r="AJ1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57906045.807721019</v>
      </c>
      <c r="AK124" s="4">
        <f>Base[[#This Row],['[SC']'[Travail']Coûts_évités]]/Base[[#This Row],[Population_emploi]]</f>
        <v>2.0904709677877622</v>
      </c>
      <c r="AL124" s="4">
        <f>Base[[#This Row],[Coût_société]]*10^9*Base[[#This Row],[Risque]]*Base[[#This Row],[Prévalence]]*Base[[#This Row],[Part_coûts_salarié]]/Base[[#This Row],[Population_emploi]]</f>
        <v>0.39964693778661253</v>
      </c>
      <c r="AM124" s="4">
        <f>IF(Base[[#This Row],[Pathologie]]&lt;&gt;"Dépendance",0,14909.24243952)</f>
        <v>0</v>
      </c>
      <c r="AN124" s="4">
        <f>IF(Base[[#This Row],[Pathologie]]&lt;&gt;"Dépendance",0,1316000)</f>
        <v>0</v>
      </c>
      <c r="AO124" s="4">
        <f>IF(Base[[#This Row],[Pathologie]]&lt;&gt;"Dépendance",0,Base[[#This Row],['[SC']Coût_personne_dépendante]]*Base[[#This Row],['[SC']Nb_personnes_dépendantes]])</f>
        <v>0</v>
      </c>
      <c r="AP124" s="4">
        <f>IF(Base[[#This Row],[Pathologie]]&lt;&gt;"Dépendance",0,Base[[#This Row],['[SC']Coût_total_dépendance]]/Base[[#This Row],[Population_totale]])</f>
        <v>0</v>
      </c>
      <c r="AQ124" s="4">
        <f>IF(Base[[#This Row],[Pathologie]]&lt;&gt;"Dépendance",0,4.5)</f>
        <v>0</v>
      </c>
      <c r="AR124" s="4">
        <v>0.50393265050357905</v>
      </c>
      <c r="AS124" s="4">
        <f>Base[[#This Row],[Espérance_vie]]+Base[[#This Row],['[SC']Hausse_esp_de_vie]]-Base[[#This Row],['[SC']Durée_moyenne_dépendance_avt]]+Base[[#This Row],[Risque]]</f>
        <v>82.905789789668717</v>
      </c>
      <c r="AT1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4" s="4">
        <v>62.9</v>
      </c>
      <c r="AW124" s="4">
        <f t="shared" si="0"/>
        <v>336905600000</v>
      </c>
      <c r="AX124" s="4">
        <v>15049171</v>
      </c>
      <c r="AY124" s="4">
        <f>Base[[#This Row],['[SC']Budget_total_retraites]]/Base[[#This Row],['[SC']Nombre_de_retraités]]</f>
        <v>22386.987296509556</v>
      </c>
      <c r="AZ124" s="4">
        <f>Base[[#This Row],['[SC']Budget_par_retraité]]*Base[[#This Row],['[SC']Nb_personnes_dépendantes]]</f>
        <v>0</v>
      </c>
      <c r="BA124" s="4">
        <f>Base[[#This Row],['[SC']'[Dépendance']Coût_retraite_personnes_dépendantes]]/Base[[#This Row],[Population_totale]]</f>
        <v>0</v>
      </c>
      <c r="BB12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4" s="4">
        <f>Base[[#This Row],['[SC']'[Dépendance']Gains]]-Base[[#This Row],['[SC']'[Dépendance']Coûts]]</f>
        <v>0</v>
      </c>
      <c r="BD124" s="4">
        <f>IF(Base[[#This Row],[Pathologie]]&lt;&gt;"Mort prématurée",0,Base[[#This Row],[Risque]]*Base[[#This Row],[Prévalence]]*Base[[#This Row],[Population_totale]])</f>
        <v>0</v>
      </c>
      <c r="BE124" s="4">
        <v>52.74</v>
      </c>
      <c r="BF124" s="4">
        <f>Base[[#This Row],['[SC']Âge_moyen_retraite]]-Base[[#This Row],['[SC']'[Mort_prématurée']Âge_moyen_mort précoce]]</f>
        <v>10.159999999999997</v>
      </c>
      <c r="BG124" s="4">
        <f>Base[[#This Row],[Espérance_vie]]+Base[[#This Row],['[SC']Hausse_esp_de_vie]]-Base[[#This Row],['[SC']Âge_moyen_retraite]]</f>
        <v>19.90101171382144</v>
      </c>
      <c r="BH124" s="4">
        <v>106583.42676924677</v>
      </c>
      <c r="BI124" s="4">
        <v>97601.789429271477</v>
      </c>
      <c r="BJ124" s="4">
        <v>302038.31496633729</v>
      </c>
      <c r="BK124" s="4">
        <v>117293.58934859755</v>
      </c>
      <c r="BL124" s="4">
        <v>1523999.9999999995</v>
      </c>
      <c r="BM1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4" s="4">
        <v>294804.96027377353</v>
      </c>
      <c r="BO1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4" s="4">
        <f>(Base[[#This Row],['[SC']'[Mort_prématurée']Gains]]-Base[[#This Row],['[SC']'[Mort_prématurée']Coûts]])/Base[[#This Row],[Population_totale]]</f>
        <v>0</v>
      </c>
      <c r="BQ124" s="4">
        <f>IF(Base[[#This Row],[Pathologie]]&lt;&gt;"Mort prématurée",0,Base[[#This Row],[Risque]])</f>
        <v>0</v>
      </c>
      <c r="BR124" s="4">
        <v>2680</v>
      </c>
      <c r="BS1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9.2914847222924429E-4</v>
      </c>
      <c r="BT1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124" s="4">
        <f>Base[[#This Row],[Prévalence_prod]]*(1-Base[[#This Row],[Risque]])*Base[[#This Row],[Durée_arrêt]]*Base[[#This Row],[Population_emploi]]</f>
        <v>6637693.7201428628</v>
      </c>
      <c r="BV124" s="4">
        <f>Base[[#This Row],['[Prod']'[Absentéisme']Total_jours_absence_avant]]-Base[[#This Row],['[Prod']'[Absentéisme']Total_jours_absence_après]]</f>
        <v>776885.32563405856</v>
      </c>
      <c r="BW124" s="4">
        <f>IF(AND(Base[[#This Row],[Pathologie]]&lt;&gt;"Dépendance",Base[[#This Row],[Pathologie]]&lt;&gt;"Mort prématurée",Base[[#This Row],[Pathologie]]&lt;&gt;"Migraine"),0.0619,0)</f>
        <v>6.1899999999999997E-2</v>
      </c>
      <c r="BX124" s="4">
        <v>254</v>
      </c>
      <c r="BY12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124" s="4">
        <f>(Base[[#This Row],['[Prod']'[Absentéisme']Jours_théoriques]]-Base[[#This Row],['[Prod']'[Absentéisme']Total_jours_absence_évités]])/(Base[[#This Row],[Population_emploi]]*Base[[#This Row],['[Prod']Jours_ouvrés]])</f>
        <v>2.0642319011141097E-3</v>
      </c>
      <c r="CA124" s="4">
        <f>Base[[#This Row],[Prévalence_prod]]*Base[[#This Row],[Présentéisme]]*Base[[#This Row],['[Prod']Jours_ouvrés]]</f>
        <v>1.7912080000000001</v>
      </c>
      <c r="CB124" s="4">
        <f>Base[[#This Row],[Prévalence_prod]]*(1-Base[[#This Row],[Risque]])*Base[[#This Row],[Présentéisme]]*Base[[#This Row],['[Prod']Jours_ouvrés]]</f>
        <v>1.6035286723177473</v>
      </c>
      <c r="CC124" s="4">
        <f>Base[[#This Row],['[Prod']'[Présentéisme']Jours_avant]]-Base[[#This Row],['[Prod']'[Présentéisme']Jours_après]]</f>
        <v>0.18767932768225282</v>
      </c>
      <c r="CD124" s="4">
        <f>Base[[#This Row],['[Prod']'[Présentéisme']Jours_gagnés]]/Base[[#This Row],['[Prod']Jours_ouvrés]]</f>
        <v>7.3889499087501109E-4</v>
      </c>
      <c r="CE124">
        <v>5.8333039429220801E-2</v>
      </c>
      <c r="CF124">
        <v>1.4658164114728258E-2</v>
      </c>
      <c r="CG124" s="4">
        <v>11</v>
      </c>
      <c r="CH124" s="4">
        <v>0.85076983926913452</v>
      </c>
      <c r="CI124" s="4">
        <v>0</v>
      </c>
      <c r="CJ124" s="4">
        <f>IF(Base[[#This Row],[Secteur]]&lt;&gt;"Moyenne",Base[[#This Row],['[Prod']'[Turnover']DMC_initiale]]*(1+Base[[#This Row],['[Prod']'[Turnover']Ecart_accidents]]*Base[[#This Row],['[Prod']Impact_motifs_turnover]]),CJ107*CI107+CJ108*CI108+CJ109*CI109+CJ110*CI110+CJ111*CI111+CJ112*CI112+CJ113*CI113+CJ114*CI114+CJ115*CI115+CJ116*CI116+CJ117*CI117+CJ118*CI118+CJ119*CI119+CJ120*CI120+CJ121*CI121+CJ122*CI122+CJ123*CI123)</f>
        <v>11.137177963206547</v>
      </c>
      <c r="CK124" s="4">
        <f>1/Base[[#This Row],['[Prod']'[Turnover']DMC_initiale]]</f>
        <v>9.0909090909090912E-2</v>
      </c>
      <c r="CL124" s="4">
        <f>1/Base[[#This Row],['[Prod']'[Turnover']DMC_finale]]</f>
        <v>8.9789352680154741E-2</v>
      </c>
    </row>
    <row r="125" spans="2:90" x14ac:dyDescent="0.25">
      <c r="B125" s="4" t="s">
        <v>315</v>
      </c>
      <c r="C125">
        <v>7.5</v>
      </c>
      <c r="D125" t="s">
        <v>84</v>
      </c>
      <c r="E125" t="s">
        <v>9</v>
      </c>
      <c r="F125" s="3">
        <v>0.10976750803048256</v>
      </c>
      <c r="G125" s="3">
        <v>0.14499999999999999</v>
      </c>
      <c r="H125" s="3">
        <v>0.14499999999999999</v>
      </c>
      <c r="I125" s="3">
        <v>0.153</v>
      </c>
      <c r="J125" s="3">
        <v>29.93</v>
      </c>
      <c r="K125" s="3">
        <v>7.0000000000000007E-2</v>
      </c>
      <c r="L125" s="2">
        <f>Base[[#This Row],[Coût]]*Base[[#This Row],[Part_ménages_dépenses_santé]]</f>
        <v>2.0951</v>
      </c>
      <c r="M125" s="2">
        <v>0.82690611956969029</v>
      </c>
      <c r="N125" s="6">
        <v>27700000</v>
      </c>
      <c r="O125" s="7">
        <f>Base[[#This Row],[Coût_salarié]]*10^9*Base[[#This Row],[Risque]]*Base[[#This Row],[Prévalence]]*Base[[#This Row],[Part_coûts_salarié]]/Base[[#This Row],[Population_emploi]]</f>
        <v>0.99545813681589546</v>
      </c>
      <c r="P125">
        <v>50</v>
      </c>
      <c r="Q125">
        <v>50</v>
      </c>
      <c r="R125" s="2">
        <v>9.9999999999999978E-2</v>
      </c>
      <c r="S125" s="2">
        <v>0.33340000000000003</v>
      </c>
      <c r="T125" s="4">
        <v>0.14499999999999999</v>
      </c>
      <c r="U125" s="4">
        <f>IF(Bases_annexes!$F$5=0,16.6587111018772,0.77*Bases_annexes!$F$5/(IF(OR(ISBLANK('Données_d''entrée'!$E$44),'Données_d''entrée'!$E$44=0),35,'Données_d''entrée'!$E$44)*52))</f>
        <v>16.658711101877199</v>
      </c>
      <c r="V125" s="4">
        <v>17.7120401072847</v>
      </c>
      <c r="W1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25" s="4">
        <v>234.5</v>
      </c>
      <c r="Y125" s="4">
        <f>(Base[[#This Row],['[Maladies']Coûts_évités_par_salarié]]+Base[[#This Row],['[Travail']Coûts_évités_par_salarié]])/Base[[#This Row],[Budget_santé_salarié]]</f>
        <v>3.963358337029102E-2</v>
      </c>
      <c r="Z125" s="4">
        <v>0.8</v>
      </c>
      <c r="AA125" s="4">
        <f>Base[[#This Row],[Coût]]*Base[[#This Row],[Part_société_dépenses_santé]]</f>
        <v>23.944000000000003</v>
      </c>
      <c r="AB125" s="4">
        <v>67635124</v>
      </c>
      <c r="AC125" s="4">
        <v>82.297079063317852</v>
      </c>
      <c r="AD125" s="4">
        <v>0.14499999999999999</v>
      </c>
      <c r="AE125" s="4">
        <f>Base[[#This Row],['[SC']Prévalence_travail]]*Base[[#This Row],[Population_emploi]]</f>
        <v>4016499.9999999995</v>
      </c>
      <c r="AF125" s="4">
        <f>Base[[#This Row],[Risque]]*Base[[#This Row],['[SC']Patients_en_emploi]]</f>
        <v>440881.19600443315</v>
      </c>
      <c r="AG125" s="4">
        <v>5730042552.54</v>
      </c>
      <c r="AH125" s="4">
        <f>IFERROR(Base[[#This Row],['[SC']Prestations]]/Base[[#This Row],['[SC']Patients_en_emploi]],0)</f>
        <v>1426.625806682435</v>
      </c>
      <c r="AI125" s="4">
        <v>51.7</v>
      </c>
      <c r="AJ1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25" s="4">
        <f>Base[[#This Row],['[SC']'[Travail']Coûts_évités]]/Base[[#This Row],[Population_emploi]]</f>
        <v>22.706588155268637</v>
      </c>
      <c r="AL125" s="4">
        <f>Base[[#This Row],[Coût_société]]*10^9*Base[[#This Row],[Risque]]*Base[[#This Row],[Prévalence]]*Base[[#This Row],[Part_coûts_salarié]]/Base[[#This Row],[Population_emploi]]</f>
        <v>11.376664420753091</v>
      </c>
      <c r="AM125" s="4">
        <f>IF(Base[[#This Row],[Pathologie]]&lt;&gt;"Dépendance",0,14909.24243952)</f>
        <v>0</v>
      </c>
      <c r="AN125" s="4">
        <f>IF(Base[[#This Row],[Pathologie]]&lt;&gt;"Dépendance",0,1316000)</f>
        <v>0</v>
      </c>
      <c r="AO125" s="4">
        <f>IF(Base[[#This Row],[Pathologie]]&lt;&gt;"Dépendance",0,Base[[#This Row],['[SC']Coût_personne_dépendante]]*Base[[#This Row],['[SC']Nb_personnes_dépendantes]])</f>
        <v>0</v>
      </c>
      <c r="AP125" s="4">
        <f>IF(Base[[#This Row],[Pathologie]]&lt;&gt;"Dépendance",0,Base[[#This Row],['[SC']Coût_total_dépendance]]/Base[[#This Row],[Population_totale]])</f>
        <v>0</v>
      </c>
      <c r="AQ125" s="4">
        <f>IF(Base[[#This Row],[Pathologie]]&lt;&gt;"Dépendance",0,4.5)</f>
        <v>0</v>
      </c>
      <c r="AR125" s="4">
        <v>0.50393265050357905</v>
      </c>
      <c r="AS125" s="4">
        <f>Base[[#This Row],[Espérance_vie]]+Base[[#This Row],['[SC']Hausse_esp_de_vie]]-Base[[#This Row],['[SC']Durée_moyenne_dépendance_avt]]+Base[[#This Row],[Risque]]</f>
        <v>82.910779221851925</v>
      </c>
      <c r="AT1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5" s="4">
        <v>62.9</v>
      </c>
      <c r="AW125" s="4">
        <f t="shared" si="0"/>
        <v>336905600000</v>
      </c>
      <c r="AX125" s="4">
        <v>15049171</v>
      </c>
      <c r="AY125" s="4">
        <f>Base[[#This Row],['[SC']Budget_total_retraites]]/Base[[#This Row],['[SC']Nombre_de_retraités]]</f>
        <v>22386.987296509556</v>
      </c>
      <c r="AZ125" s="4">
        <f>Base[[#This Row],['[SC']Budget_par_retraité]]*Base[[#This Row],['[SC']Nb_personnes_dépendantes]]</f>
        <v>0</v>
      </c>
      <c r="BA125" s="4">
        <f>Base[[#This Row],['[SC']'[Dépendance']Coût_retraite_personnes_dépendantes]]/Base[[#This Row],[Population_totale]]</f>
        <v>0</v>
      </c>
      <c r="BB12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5" s="4">
        <f>Base[[#This Row],['[SC']'[Dépendance']Gains]]-Base[[#This Row],['[SC']'[Dépendance']Coûts]]</f>
        <v>0</v>
      </c>
      <c r="BD125" s="4">
        <f>IF(Base[[#This Row],[Pathologie]]&lt;&gt;"Mort prématurée",0,Base[[#This Row],[Risque]]*Base[[#This Row],[Prévalence]]*Base[[#This Row],[Population_totale]])</f>
        <v>0</v>
      </c>
      <c r="BE125" s="4">
        <v>52.74</v>
      </c>
      <c r="BF125" s="4">
        <f>Base[[#This Row],['[SC']Âge_moyen_retraite]]-Base[[#This Row],['[SC']'[Mort_prématurée']Âge_moyen_mort précoce]]</f>
        <v>10.159999999999997</v>
      </c>
      <c r="BG125" s="4">
        <f>Base[[#This Row],[Espérance_vie]]+Base[[#This Row],['[SC']Hausse_esp_de_vie]]-Base[[#This Row],['[SC']Âge_moyen_retraite]]</f>
        <v>19.90101171382144</v>
      </c>
      <c r="BH125" s="4">
        <v>106583.42676924677</v>
      </c>
      <c r="BI125" s="4">
        <v>97601.789429271477</v>
      </c>
      <c r="BJ125" s="4">
        <v>302038.31496633729</v>
      </c>
      <c r="BK125" s="4">
        <v>117293.58934859755</v>
      </c>
      <c r="BL125" s="4">
        <v>1523999.9999999995</v>
      </c>
      <c r="BM1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5" s="4">
        <v>294804.96027377353</v>
      </c>
      <c r="BO1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5" s="4">
        <f>(Base[[#This Row],['[SC']'[Mort_prématurée']Gains]]-Base[[#This Row],['[SC']'[Mort_prématurée']Coûts]])/Base[[#This Row],[Population_totale]]</f>
        <v>0</v>
      </c>
      <c r="BQ125" s="4">
        <f>IF(Base[[#This Row],[Pathologie]]&lt;&gt;"Mort prématurée",0,Base[[#This Row],[Risque]])</f>
        <v>0</v>
      </c>
      <c r="BR125" s="4">
        <v>2680</v>
      </c>
      <c r="BS1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25" s="4">
        <f>Base[[#This Row],[Prévalence_prod]]*(1-Base[[#This Row],[Risque]])*Base[[#This Row],[Durée_arrêt]]*Base[[#This Row],[Population_emploi]]</f>
        <v>63331503.664730832</v>
      </c>
      <c r="BV125" s="4">
        <f>Base[[#This Row],['[Prod']'[Absentéisme']Total_jours_absence_avant]]-Base[[#This Row],['[Prod']'[Absentéisme']Total_jours_absence_après]]</f>
        <v>7808905.4261781573</v>
      </c>
      <c r="BW125" s="4">
        <f>IF(AND(Base[[#This Row],[Pathologie]]&lt;&gt;"Dépendance",Base[[#This Row],[Pathologie]]&lt;&gt;"Mort prématurée",Base[[#This Row],[Pathologie]]&lt;&gt;"Migraine"),0.0619,0)</f>
        <v>6.1899999999999997E-2</v>
      </c>
      <c r="BX125" s="4">
        <v>254</v>
      </c>
      <c r="BY125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25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25" s="4">
        <f>Base[[#This Row],[Prévalence_prod]]*Base[[#This Row],[Présentéisme]]*Base[[#This Row],['[Prod']Jours_ouvrés]]</f>
        <v>5.6349899999999993</v>
      </c>
      <c r="CB125" s="4">
        <f>Base[[#This Row],[Prévalence_prod]]*(1-Base[[#This Row],[Risque]])*Base[[#This Row],[Présentéisme]]*Base[[#This Row],['[Prod']Jours_ouvrés]]</f>
        <v>5.0164511899233108</v>
      </c>
      <c r="CC125" s="4">
        <f>Base[[#This Row],['[Prod']'[Présentéisme']Jours_avant]]-Base[[#This Row],['[Prod']'[Présentéisme']Jours_après]]</f>
        <v>0.61853881007668843</v>
      </c>
      <c r="CD125" s="4">
        <f>Base[[#This Row],['[Prod']'[Présentéisme']Jours_gagnés]]/Base[[#This Row],['[Prod']Jours_ouvrés]]</f>
        <v>2.4351921656562536E-3</v>
      </c>
      <c r="CE125">
        <v>5.8333039429220801E-2</v>
      </c>
      <c r="CF125">
        <v>1.4658164114728258E-2</v>
      </c>
      <c r="CG125" s="4">
        <v>11</v>
      </c>
      <c r="CH125" s="4">
        <v>1.3966184516047948</v>
      </c>
      <c r="CI125" s="4">
        <v>1.4392894727292521E-2</v>
      </c>
      <c r="CJ125" s="4">
        <f>IF(Base[[#This Row],[Secteur]]&lt;&gt;"Moyenne",Base[[#This Row],['[Prod']'[Turnover']DMC_initiale]]*(1+Base[[#This Row],['[Prod']'[Turnover']Ecart_accidents]]*Base[[#This Row],['[Prod']Impact_motifs_turnover]]),CJ108*CI108+CJ109*CI109+CJ110*CI110+CJ111*CI111+CJ112*CI112+CJ113*CI113+CJ114*CI114+CJ115*CI115+CJ116*CI116+CJ117*CI117+CJ118*CI118+CJ119*CI119+CJ120*CI120+CJ121*CI121+CJ122*CI122+CJ123*CI123+CJ124*CI124)</f>
        <v>11.225190487162088</v>
      </c>
      <c r="CK125" s="4">
        <f>1/Base[[#This Row],['[Prod']'[Turnover']DMC_initiale]]</f>
        <v>9.0909090909090912E-2</v>
      </c>
      <c r="CL125" s="4">
        <f>1/Base[[#This Row],['[Prod']'[Turnover']DMC_finale]]</f>
        <v>8.9085347918475846E-2</v>
      </c>
    </row>
    <row r="126" spans="2:90" x14ac:dyDescent="0.25">
      <c r="B126" s="4" t="s">
        <v>316</v>
      </c>
      <c r="C126">
        <v>7.5</v>
      </c>
      <c r="D126" t="s">
        <v>84</v>
      </c>
      <c r="E126" t="s">
        <v>9</v>
      </c>
      <c r="F126" s="3">
        <v>0.10976750803048256</v>
      </c>
      <c r="G126" s="3">
        <v>0.14499999999999999</v>
      </c>
      <c r="H126" s="3">
        <v>0.14499999999999999</v>
      </c>
      <c r="I126" s="3">
        <v>0.153</v>
      </c>
      <c r="J126" s="3">
        <v>29.93</v>
      </c>
      <c r="K126" s="3">
        <v>7.0000000000000007E-2</v>
      </c>
      <c r="L126" s="2">
        <f>Base[[#This Row],[Coût]]*Base[[#This Row],[Part_ménages_dépenses_santé]]</f>
        <v>2.0951</v>
      </c>
      <c r="M126" s="2">
        <v>0.82690611956969029</v>
      </c>
      <c r="N126" s="6">
        <v>27700000</v>
      </c>
      <c r="O126" s="7">
        <f>Base[[#This Row],[Coût_salarié]]*10^9*Base[[#This Row],[Risque]]*Base[[#This Row],[Prévalence]]*Base[[#This Row],[Part_coûts_salarié]]/Base[[#This Row],[Population_emploi]]</f>
        <v>0.99545813681589546</v>
      </c>
      <c r="P126">
        <v>50</v>
      </c>
      <c r="Q126">
        <v>50</v>
      </c>
      <c r="R126" s="2">
        <v>9.9999999999999978E-2</v>
      </c>
      <c r="S126" s="2">
        <v>0.33340000000000003</v>
      </c>
      <c r="T126" s="4">
        <v>0.14499999999999999</v>
      </c>
      <c r="U126" s="4">
        <f>IF(Bases_annexes!$F$5=0,16.6587111018772,0.77*Bases_annexes!$F$5/(IF(OR(ISBLANK('Données_d''entrée'!$E$44),'Données_d''entrée'!$E$44=0),35,'Données_d''entrée'!$E$44)*52))</f>
        <v>16.658711101877199</v>
      </c>
      <c r="V126" s="4">
        <v>17.7120401072847</v>
      </c>
      <c r="W1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26" s="4">
        <v>234.5</v>
      </c>
      <c r="Y126" s="4">
        <f>(Base[[#This Row],['[Maladies']Coûts_évités_par_salarié]]+Base[[#This Row],['[Travail']Coûts_évités_par_salarié]])/Base[[#This Row],[Budget_santé_salarié]]</f>
        <v>3.963358337029102E-2</v>
      </c>
      <c r="Z126" s="4">
        <v>0.8</v>
      </c>
      <c r="AA126" s="4">
        <f>Base[[#This Row],[Coût]]*Base[[#This Row],[Part_société_dépenses_santé]]</f>
        <v>23.944000000000003</v>
      </c>
      <c r="AB126" s="4">
        <v>67635124</v>
      </c>
      <c r="AC126" s="4">
        <v>82.297079063317852</v>
      </c>
      <c r="AD126" s="4">
        <v>0.14499999999999999</v>
      </c>
      <c r="AE126" s="4">
        <f>Base[[#This Row],['[SC']Prévalence_travail]]*Base[[#This Row],[Population_emploi]]</f>
        <v>4016499.9999999995</v>
      </c>
      <c r="AF126" s="4">
        <f>Base[[#This Row],[Risque]]*Base[[#This Row],['[SC']Patients_en_emploi]]</f>
        <v>440881.19600443315</v>
      </c>
      <c r="AG126" s="4">
        <v>5730042552.54</v>
      </c>
      <c r="AH126" s="4">
        <f>IFERROR(Base[[#This Row],['[SC']Prestations]]/Base[[#This Row],['[SC']Patients_en_emploi]],0)</f>
        <v>1426.625806682435</v>
      </c>
      <c r="AI126" s="4">
        <v>51.7</v>
      </c>
      <c r="AJ1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26" s="4">
        <f>Base[[#This Row],['[SC']'[Travail']Coûts_évités]]/Base[[#This Row],[Population_emploi]]</f>
        <v>22.706588155268637</v>
      </c>
      <c r="AL126" s="4">
        <f>Base[[#This Row],[Coût_société]]*10^9*Base[[#This Row],[Risque]]*Base[[#This Row],[Prévalence]]*Base[[#This Row],[Part_coûts_salarié]]/Base[[#This Row],[Population_emploi]]</f>
        <v>11.376664420753091</v>
      </c>
      <c r="AM126" s="4">
        <f>IF(Base[[#This Row],[Pathologie]]&lt;&gt;"Dépendance",0,14909.24243952)</f>
        <v>0</v>
      </c>
      <c r="AN126" s="4">
        <f>IF(Base[[#This Row],[Pathologie]]&lt;&gt;"Dépendance",0,1316000)</f>
        <v>0</v>
      </c>
      <c r="AO126" s="4">
        <f>IF(Base[[#This Row],[Pathologie]]&lt;&gt;"Dépendance",0,Base[[#This Row],['[SC']Coût_personne_dépendante]]*Base[[#This Row],['[SC']Nb_personnes_dépendantes]])</f>
        <v>0</v>
      </c>
      <c r="AP126" s="4">
        <f>IF(Base[[#This Row],[Pathologie]]&lt;&gt;"Dépendance",0,Base[[#This Row],['[SC']Coût_total_dépendance]]/Base[[#This Row],[Population_totale]])</f>
        <v>0</v>
      </c>
      <c r="AQ126" s="4">
        <f>IF(Base[[#This Row],[Pathologie]]&lt;&gt;"Dépendance",0,4.5)</f>
        <v>0</v>
      </c>
      <c r="AR126" s="4">
        <v>0.50393265050357905</v>
      </c>
      <c r="AS126" s="4">
        <f>Base[[#This Row],[Espérance_vie]]+Base[[#This Row],['[SC']Hausse_esp_de_vie]]-Base[[#This Row],['[SC']Durée_moyenne_dépendance_avt]]+Base[[#This Row],[Risque]]</f>
        <v>82.910779221851925</v>
      </c>
      <c r="AT1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6" s="4">
        <v>62.9</v>
      </c>
      <c r="AW126" s="4">
        <f t="shared" si="0"/>
        <v>336905600000</v>
      </c>
      <c r="AX126" s="4">
        <v>15049171</v>
      </c>
      <c r="AY126" s="4">
        <f>Base[[#This Row],['[SC']Budget_total_retraites]]/Base[[#This Row],['[SC']Nombre_de_retraités]]</f>
        <v>22386.987296509556</v>
      </c>
      <c r="AZ126" s="4">
        <f>Base[[#This Row],['[SC']Budget_par_retraité]]*Base[[#This Row],['[SC']Nb_personnes_dépendantes]]</f>
        <v>0</v>
      </c>
      <c r="BA126" s="4">
        <f>Base[[#This Row],['[SC']'[Dépendance']Coût_retraite_personnes_dépendantes]]/Base[[#This Row],[Population_totale]]</f>
        <v>0</v>
      </c>
      <c r="BB12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6" s="4">
        <f>Base[[#This Row],['[SC']'[Dépendance']Gains]]-Base[[#This Row],['[SC']'[Dépendance']Coûts]]</f>
        <v>0</v>
      </c>
      <c r="BD126" s="4">
        <f>IF(Base[[#This Row],[Pathologie]]&lt;&gt;"Mort prématurée",0,Base[[#This Row],[Risque]]*Base[[#This Row],[Prévalence]]*Base[[#This Row],[Population_totale]])</f>
        <v>0</v>
      </c>
      <c r="BE126" s="4">
        <v>52.74</v>
      </c>
      <c r="BF126" s="4">
        <f>Base[[#This Row],['[SC']Âge_moyen_retraite]]-Base[[#This Row],['[SC']'[Mort_prématurée']Âge_moyen_mort précoce]]</f>
        <v>10.159999999999997</v>
      </c>
      <c r="BG126" s="4">
        <f>Base[[#This Row],[Espérance_vie]]+Base[[#This Row],['[SC']Hausse_esp_de_vie]]-Base[[#This Row],['[SC']Âge_moyen_retraite]]</f>
        <v>19.90101171382144</v>
      </c>
      <c r="BH126" s="4">
        <v>106583.42676924677</v>
      </c>
      <c r="BI126" s="4">
        <v>97601.789429271477</v>
      </c>
      <c r="BJ126" s="4">
        <v>302038.31496633729</v>
      </c>
      <c r="BK126" s="4">
        <v>117293.58934859755</v>
      </c>
      <c r="BL126" s="4">
        <v>1523999.9999999995</v>
      </c>
      <c r="BM1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6" s="4">
        <v>294804.96027377353</v>
      </c>
      <c r="BO1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6" s="4">
        <f>(Base[[#This Row],['[SC']'[Mort_prématurée']Gains]]-Base[[#This Row],['[SC']'[Mort_prématurée']Coûts]])/Base[[#This Row],[Population_totale]]</f>
        <v>0</v>
      </c>
      <c r="BQ126" s="4">
        <f>IF(Base[[#This Row],[Pathologie]]&lt;&gt;"Mort prématurée",0,Base[[#This Row],[Risque]])</f>
        <v>0</v>
      </c>
      <c r="BR126" s="4">
        <v>2680</v>
      </c>
      <c r="BS1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26" s="4">
        <f>Base[[#This Row],[Prévalence_prod]]*(1-Base[[#This Row],[Risque]])*Base[[#This Row],[Durée_arrêt]]*Base[[#This Row],[Population_emploi]]</f>
        <v>63331503.664730832</v>
      </c>
      <c r="BV126" s="4">
        <f>Base[[#This Row],['[Prod']'[Absentéisme']Total_jours_absence_avant]]-Base[[#This Row],['[Prod']'[Absentéisme']Total_jours_absence_après]]</f>
        <v>7808905.4261781573</v>
      </c>
      <c r="BW126" s="4">
        <f>IF(AND(Base[[#This Row],[Pathologie]]&lt;&gt;"Dépendance",Base[[#This Row],[Pathologie]]&lt;&gt;"Mort prématurée",Base[[#This Row],[Pathologie]]&lt;&gt;"Migraine"),0.0619,0)</f>
        <v>6.1899999999999997E-2</v>
      </c>
      <c r="BX126" s="4">
        <v>254</v>
      </c>
      <c r="BY126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26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26" s="4">
        <f>Base[[#This Row],[Prévalence_prod]]*Base[[#This Row],[Présentéisme]]*Base[[#This Row],['[Prod']Jours_ouvrés]]</f>
        <v>5.6349899999999993</v>
      </c>
      <c r="CB126" s="4">
        <f>Base[[#This Row],[Prévalence_prod]]*(1-Base[[#This Row],[Risque]])*Base[[#This Row],[Présentéisme]]*Base[[#This Row],['[Prod']Jours_ouvrés]]</f>
        <v>5.0164511899233108</v>
      </c>
      <c r="CC126" s="4">
        <f>Base[[#This Row],['[Prod']'[Présentéisme']Jours_avant]]-Base[[#This Row],['[Prod']'[Présentéisme']Jours_après]]</f>
        <v>0.61853881007668843</v>
      </c>
      <c r="CD126" s="4">
        <f>Base[[#This Row],['[Prod']'[Présentéisme']Jours_gagnés]]/Base[[#This Row],['[Prod']Jours_ouvrés]]</f>
        <v>2.4351921656562536E-3</v>
      </c>
      <c r="CE126">
        <v>5.8333039429220801E-2</v>
      </c>
      <c r="CF126">
        <v>1.4658164114728258E-2</v>
      </c>
      <c r="CG126" s="4">
        <v>11</v>
      </c>
      <c r="CH126" s="4">
        <v>0.68054183762612652</v>
      </c>
      <c r="CI126" s="4">
        <v>1.2135452577082654E-2</v>
      </c>
      <c r="CJ126" s="4">
        <f>IF(Base[[#This Row],[Secteur]]&lt;&gt;"Moyenne",Base[[#This Row],['[Prod']'[Turnover']DMC_initiale]]*(1+Base[[#This Row],['[Prod']'[Turnover']Ecart_accidents]]*Base[[#This Row],['[Prod']Impact_motifs_turnover]]),CJ109*CI109+CJ110*CI110+CJ111*CI111+CJ112*CI112+CJ113*CI113+CJ114*CI114+CJ115*CI115+CJ116*CI116+CJ117*CI117+CJ118*CI118+CJ119*CI119+CJ120*CI120+CJ121*CI121+CJ122*CI122+CJ123*CI123+CJ124*CI124+CJ125*CI125)</f>
        <v>11.109730433371487</v>
      </c>
      <c r="CK126" s="4">
        <f>1/Base[[#This Row],['[Prod']'[Turnover']DMC_initiale]]</f>
        <v>9.0909090909090912E-2</v>
      </c>
      <c r="CL126" s="4">
        <f>1/Base[[#This Row],['[Prod']'[Turnover']DMC_finale]]</f>
        <v>9.001118487953523E-2</v>
      </c>
    </row>
    <row r="127" spans="2:90" x14ac:dyDescent="0.25">
      <c r="B127" s="4" t="s">
        <v>317</v>
      </c>
      <c r="C127">
        <v>7.5</v>
      </c>
      <c r="D127" t="s">
        <v>84</v>
      </c>
      <c r="E127" t="s">
        <v>9</v>
      </c>
      <c r="F127" s="3">
        <v>0.10976750803048256</v>
      </c>
      <c r="G127" s="3">
        <v>0.14499999999999999</v>
      </c>
      <c r="H127" s="3">
        <v>0.14499999999999999</v>
      </c>
      <c r="I127" s="3">
        <v>0.153</v>
      </c>
      <c r="J127" s="3">
        <v>29.93</v>
      </c>
      <c r="K127" s="3">
        <v>7.0000000000000007E-2</v>
      </c>
      <c r="L127" s="2">
        <f>Base[[#This Row],[Coût]]*Base[[#This Row],[Part_ménages_dépenses_santé]]</f>
        <v>2.0951</v>
      </c>
      <c r="M127" s="2">
        <v>0.82690611956969029</v>
      </c>
      <c r="N127" s="6">
        <v>27700000</v>
      </c>
      <c r="O127" s="7">
        <f>Base[[#This Row],[Coût_salarié]]*10^9*Base[[#This Row],[Risque]]*Base[[#This Row],[Prévalence]]*Base[[#This Row],[Part_coûts_salarié]]/Base[[#This Row],[Population_emploi]]</f>
        <v>0.99545813681589546</v>
      </c>
      <c r="P127">
        <v>50</v>
      </c>
      <c r="Q127">
        <v>50</v>
      </c>
      <c r="R127" s="2">
        <v>9.9999999999999978E-2</v>
      </c>
      <c r="S127" s="2">
        <v>0.33340000000000003</v>
      </c>
      <c r="T127" s="4">
        <v>0.14499999999999999</v>
      </c>
      <c r="U127" s="4">
        <f>IF(Bases_annexes!$F$5=0,16.6587111018772,0.77*Bases_annexes!$F$5/(IF(OR(ISBLANK('Données_d''entrée'!$E$44),'Données_d''entrée'!$E$44=0),35,'Données_d''entrée'!$E$44)*52))</f>
        <v>16.658711101877199</v>
      </c>
      <c r="V127" s="4">
        <v>17.7120401072847</v>
      </c>
      <c r="W1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27" s="4">
        <v>234.5</v>
      </c>
      <c r="Y127" s="4">
        <f>(Base[[#This Row],['[Maladies']Coûts_évités_par_salarié]]+Base[[#This Row],['[Travail']Coûts_évités_par_salarié]])/Base[[#This Row],[Budget_santé_salarié]]</f>
        <v>3.963358337029102E-2</v>
      </c>
      <c r="Z127" s="4">
        <v>0.8</v>
      </c>
      <c r="AA127" s="4">
        <f>Base[[#This Row],[Coût]]*Base[[#This Row],[Part_société_dépenses_santé]]</f>
        <v>23.944000000000003</v>
      </c>
      <c r="AB127" s="4">
        <v>67635124</v>
      </c>
      <c r="AC127" s="4">
        <v>82.297079063317852</v>
      </c>
      <c r="AD127" s="4">
        <v>0.14499999999999999</v>
      </c>
      <c r="AE127" s="4">
        <f>Base[[#This Row],['[SC']Prévalence_travail]]*Base[[#This Row],[Population_emploi]]</f>
        <v>4016499.9999999995</v>
      </c>
      <c r="AF127" s="4">
        <f>Base[[#This Row],[Risque]]*Base[[#This Row],['[SC']Patients_en_emploi]]</f>
        <v>440881.19600443315</v>
      </c>
      <c r="AG127" s="4">
        <v>5730042552.54</v>
      </c>
      <c r="AH127" s="4">
        <f>IFERROR(Base[[#This Row],['[SC']Prestations]]/Base[[#This Row],['[SC']Patients_en_emploi]],0)</f>
        <v>1426.625806682435</v>
      </c>
      <c r="AI127" s="4">
        <v>51.7</v>
      </c>
      <c r="AJ1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27" s="4">
        <f>Base[[#This Row],['[SC']'[Travail']Coûts_évités]]/Base[[#This Row],[Population_emploi]]</f>
        <v>22.706588155268637</v>
      </c>
      <c r="AL127" s="4">
        <f>Base[[#This Row],[Coût_société]]*10^9*Base[[#This Row],[Risque]]*Base[[#This Row],[Prévalence]]*Base[[#This Row],[Part_coûts_salarié]]/Base[[#This Row],[Population_emploi]]</f>
        <v>11.376664420753091</v>
      </c>
      <c r="AM127" s="4">
        <f>IF(Base[[#This Row],[Pathologie]]&lt;&gt;"Dépendance",0,14909.24243952)</f>
        <v>0</v>
      </c>
      <c r="AN127" s="4">
        <f>IF(Base[[#This Row],[Pathologie]]&lt;&gt;"Dépendance",0,1316000)</f>
        <v>0</v>
      </c>
      <c r="AO127" s="4">
        <f>IF(Base[[#This Row],[Pathologie]]&lt;&gt;"Dépendance",0,Base[[#This Row],['[SC']Coût_personne_dépendante]]*Base[[#This Row],['[SC']Nb_personnes_dépendantes]])</f>
        <v>0</v>
      </c>
      <c r="AP127" s="4">
        <f>IF(Base[[#This Row],[Pathologie]]&lt;&gt;"Dépendance",0,Base[[#This Row],['[SC']Coût_total_dépendance]]/Base[[#This Row],[Population_totale]])</f>
        <v>0</v>
      </c>
      <c r="AQ127" s="4">
        <f>IF(Base[[#This Row],[Pathologie]]&lt;&gt;"Dépendance",0,4.5)</f>
        <v>0</v>
      </c>
      <c r="AR127" s="4">
        <v>0.50393265050357905</v>
      </c>
      <c r="AS127" s="4">
        <f>Base[[#This Row],[Espérance_vie]]+Base[[#This Row],['[SC']Hausse_esp_de_vie]]-Base[[#This Row],['[SC']Durée_moyenne_dépendance_avt]]+Base[[#This Row],[Risque]]</f>
        <v>82.910779221851925</v>
      </c>
      <c r="AT1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7" s="4">
        <v>62.9</v>
      </c>
      <c r="AW127" s="4">
        <f t="shared" si="0"/>
        <v>336905600000</v>
      </c>
      <c r="AX127" s="4">
        <v>15049171</v>
      </c>
      <c r="AY127" s="4">
        <f>Base[[#This Row],['[SC']Budget_total_retraites]]/Base[[#This Row],['[SC']Nombre_de_retraités]]</f>
        <v>22386.987296509556</v>
      </c>
      <c r="AZ127" s="4">
        <f>Base[[#This Row],['[SC']Budget_par_retraité]]*Base[[#This Row],['[SC']Nb_personnes_dépendantes]]</f>
        <v>0</v>
      </c>
      <c r="BA127" s="4">
        <f>Base[[#This Row],['[SC']'[Dépendance']Coût_retraite_personnes_dépendantes]]/Base[[#This Row],[Population_totale]]</f>
        <v>0</v>
      </c>
      <c r="BB12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7" s="4">
        <f>Base[[#This Row],['[SC']'[Dépendance']Gains]]-Base[[#This Row],['[SC']'[Dépendance']Coûts]]</f>
        <v>0</v>
      </c>
      <c r="BD127" s="4">
        <f>IF(Base[[#This Row],[Pathologie]]&lt;&gt;"Mort prématurée",0,Base[[#This Row],[Risque]]*Base[[#This Row],[Prévalence]]*Base[[#This Row],[Population_totale]])</f>
        <v>0</v>
      </c>
      <c r="BE127" s="4">
        <v>52.74</v>
      </c>
      <c r="BF127" s="4">
        <f>Base[[#This Row],['[SC']Âge_moyen_retraite]]-Base[[#This Row],['[SC']'[Mort_prématurée']Âge_moyen_mort précoce]]</f>
        <v>10.159999999999997</v>
      </c>
      <c r="BG127" s="4">
        <f>Base[[#This Row],[Espérance_vie]]+Base[[#This Row],['[SC']Hausse_esp_de_vie]]-Base[[#This Row],['[SC']Âge_moyen_retraite]]</f>
        <v>19.90101171382144</v>
      </c>
      <c r="BH127" s="4">
        <v>106583.42676924677</v>
      </c>
      <c r="BI127" s="4">
        <v>97601.789429271477</v>
      </c>
      <c r="BJ127" s="4">
        <v>302038.31496633729</v>
      </c>
      <c r="BK127" s="4">
        <v>117293.58934859755</v>
      </c>
      <c r="BL127" s="4">
        <v>1523999.9999999995</v>
      </c>
      <c r="BM1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7" s="4">
        <v>294804.96027377353</v>
      </c>
      <c r="BO1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7" s="4">
        <f>(Base[[#This Row],['[SC']'[Mort_prématurée']Gains]]-Base[[#This Row],['[SC']'[Mort_prématurée']Coûts]])/Base[[#This Row],[Population_totale]]</f>
        <v>0</v>
      </c>
      <c r="BQ127" s="4">
        <f>IF(Base[[#This Row],[Pathologie]]&lt;&gt;"Mort prématurée",0,Base[[#This Row],[Risque]])</f>
        <v>0</v>
      </c>
      <c r="BR127" s="4">
        <v>2680</v>
      </c>
      <c r="BS1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27" s="4">
        <f>Base[[#This Row],[Prévalence_prod]]*(1-Base[[#This Row],[Risque]])*Base[[#This Row],[Durée_arrêt]]*Base[[#This Row],[Population_emploi]]</f>
        <v>63331503.664730832</v>
      </c>
      <c r="BV127" s="4">
        <f>Base[[#This Row],['[Prod']'[Absentéisme']Total_jours_absence_avant]]-Base[[#This Row],['[Prod']'[Absentéisme']Total_jours_absence_après]]</f>
        <v>7808905.4261781573</v>
      </c>
      <c r="BW127" s="4">
        <f>IF(AND(Base[[#This Row],[Pathologie]]&lt;&gt;"Dépendance",Base[[#This Row],[Pathologie]]&lt;&gt;"Mort prématurée",Base[[#This Row],[Pathologie]]&lt;&gt;"Migraine"),0.0619,0)</f>
        <v>6.1899999999999997E-2</v>
      </c>
      <c r="BX127" s="4">
        <v>254</v>
      </c>
      <c r="BY12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27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27" s="4">
        <f>Base[[#This Row],[Prévalence_prod]]*Base[[#This Row],[Présentéisme]]*Base[[#This Row],['[Prod']Jours_ouvrés]]</f>
        <v>5.6349899999999993</v>
      </c>
      <c r="CB127" s="4">
        <f>Base[[#This Row],[Prévalence_prod]]*(1-Base[[#This Row],[Risque]])*Base[[#This Row],[Présentéisme]]*Base[[#This Row],['[Prod']Jours_ouvrés]]</f>
        <v>5.0164511899233108</v>
      </c>
      <c r="CC127" s="4">
        <f>Base[[#This Row],['[Prod']'[Présentéisme']Jours_avant]]-Base[[#This Row],['[Prod']'[Présentéisme']Jours_après]]</f>
        <v>0.61853881007668843</v>
      </c>
      <c r="CD127" s="4">
        <f>Base[[#This Row],['[Prod']'[Présentéisme']Jours_gagnés]]/Base[[#This Row],['[Prod']Jours_ouvrés]]</f>
        <v>2.4351921656562536E-3</v>
      </c>
      <c r="CE127">
        <v>5.8333039429220801E-2</v>
      </c>
      <c r="CF127">
        <v>1.4658164114728258E-2</v>
      </c>
      <c r="CG127" s="4">
        <v>11</v>
      </c>
      <c r="CH127" s="4">
        <v>0.31563677172153043</v>
      </c>
      <c r="CI127" s="4">
        <v>1.3003350630813707E-4</v>
      </c>
      <c r="CJ127" s="4">
        <f>IF(Base[[#This Row],[Secteur]]&lt;&gt;"Moyenne",Base[[#This Row],['[Prod']'[Turnover']DMC_initiale]]*(1+Base[[#This Row],['[Prod']'[Turnover']Ecart_accidents]]*Base[[#This Row],['[Prod']Impact_motifs_turnover]]),CJ110*CI110+CJ111*CI111+CJ112*CI112+CJ113*CI113+CJ114*CI114+CJ115*CI115+CJ116*CI116+CJ117*CI117+CJ118*CI118+CJ119*CI119+CJ120*CI120+CJ121*CI121+CJ122*CI122+CJ123*CI123+CJ124*CI124+CJ125*CI125+CJ126*CI126)</f>
        <v>11.05089321160591</v>
      </c>
      <c r="CK127" s="4">
        <f>1/Base[[#This Row],['[Prod']'[Turnover']DMC_initiale]]</f>
        <v>9.0909090909090912E-2</v>
      </c>
      <c r="CL127" s="4">
        <f>1/Base[[#This Row],['[Prod']'[Turnover']DMC_finale]]</f>
        <v>9.0490422887244654E-2</v>
      </c>
    </row>
    <row r="128" spans="2:90" x14ac:dyDescent="0.25">
      <c r="B128" s="4" t="s">
        <v>318</v>
      </c>
      <c r="C128">
        <v>7.5</v>
      </c>
      <c r="D128" t="s">
        <v>84</v>
      </c>
      <c r="E128" t="s">
        <v>9</v>
      </c>
      <c r="F128" s="3">
        <v>0.10976750803048256</v>
      </c>
      <c r="G128" s="3">
        <v>0.14499999999999999</v>
      </c>
      <c r="H128" s="3">
        <v>0.14499999999999999</v>
      </c>
      <c r="I128" s="3">
        <v>0.153</v>
      </c>
      <c r="J128" s="3">
        <v>29.93</v>
      </c>
      <c r="K128" s="3">
        <v>7.0000000000000007E-2</v>
      </c>
      <c r="L128" s="2">
        <f>Base[[#This Row],[Coût]]*Base[[#This Row],[Part_ménages_dépenses_santé]]</f>
        <v>2.0951</v>
      </c>
      <c r="M128" s="2">
        <v>0.82690611956969029</v>
      </c>
      <c r="N128" s="6">
        <v>27700000</v>
      </c>
      <c r="O128" s="7">
        <f>Base[[#This Row],[Coût_salarié]]*10^9*Base[[#This Row],[Risque]]*Base[[#This Row],[Prévalence]]*Base[[#This Row],[Part_coûts_salarié]]/Base[[#This Row],[Population_emploi]]</f>
        <v>0.99545813681589546</v>
      </c>
      <c r="P128">
        <v>50</v>
      </c>
      <c r="Q128">
        <v>50</v>
      </c>
      <c r="R128" s="2">
        <v>9.9999999999999978E-2</v>
      </c>
      <c r="S128" s="2">
        <v>0.33340000000000003</v>
      </c>
      <c r="T128" s="4">
        <v>0.14499999999999999</v>
      </c>
      <c r="U128" s="4">
        <f>IF(Bases_annexes!$F$5=0,16.6587111018772,0.77*Bases_annexes!$F$5/(IF(OR(ISBLANK('Données_d''entrée'!$E$44),'Données_d''entrée'!$E$44=0),35,'Données_d''entrée'!$E$44)*52))</f>
        <v>16.658711101877199</v>
      </c>
      <c r="V128" s="4">
        <v>17.7120401072847</v>
      </c>
      <c r="W1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28" s="4">
        <v>234.5</v>
      </c>
      <c r="Y128" s="4">
        <f>(Base[[#This Row],['[Maladies']Coûts_évités_par_salarié]]+Base[[#This Row],['[Travail']Coûts_évités_par_salarié]])/Base[[#This Row],[Budget_santé_salarié]]</f>
        <v>3.963358337029102E-2</v>
      </c>
      <c r="Z128" s="4">
        <v>0.8</v>
      </c>
      <c r="AA128" s="4">
        <f>Base[[#This Row],[Coût]]*Base[[#This Row],[Part_société_dépenses_santé]]</f>
        <v>23.944000000000003</v>
      </c>
      <c r="AB128" s="4">
        <v>67635124</v>
      </c>
      <c r="AC128" s="4">
        <v>82.297079063317852</v>
      </c>
      <c r="AD128" s="4">
        <v>0.14499999999999999</v>
      </c>
      <c r="AE128" s="4">
        <f>Base[[#This Row],['[SC']Prévalence_travail]]*Base[[#This Row],[Population_emploi]]</f>
        <v>4016499.9999999995</v>
      </c>
      <c r="AF128" s="4">
        <f>Base[[#This Row],[Risque]]*Base[[#This Row],['[SC']Patients_en_emploi]]</f>
        <v>440881.19600443315</v>
      </c>
      <c r="AG128" s="4">
        <v>5730042552.54</v>
      </c>
      <c r="AH128" s="4">
        <f>IFERROR(Base[[#This Row],['[SC']Prestations]]/Base[[#This Row],['[SC']Patients_en_emploi]],0)</f>
        <v>1426.625806682435</v>
      </c>
      <c r="AI128" s="4">
        <v>51.7</v>
      </c>
      <c r="AJ1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28" s="4">
        <f>Base[[#This Row],['[SC']'[Travail']Coûts_évités]]/Base[[#This Row],[Population_emploi]]</f>
        <v>22.706588155268637</v>
      </c>
      <c r="AL128" s="4">
        <f>Base[[#This Row],[Coût_société]]*10^9*Base[[#This Row],[Risque]]*Base[[#This Row],[Prévalence]]*Base[[#This Row],[Part_coûts_salarié]]/Base[[#This Row],[Population_emploi]]</f>
        <v>11.376664420753091</v>
      </c>
      <c r="AM128" s="4">
        <f>IF(Base[[#This Row],[Pathologie]]&lt;&gt;"Dépendance",0,14909.24243952)</f>
        <v>0</v>
      </c>
      <c r="AN128" s="4">
        <f>IF(Base[[#This Row],[Pathologie]]&lt;&gt;"Dépendance",0,1316000)</f>
        <v>0</v>
      </c>
      <c r="AO128" s="4">
        <f>IF(Base[[#This Row],[Pathologie]]&lt;&gt;"Dépendance",0,Base[[#This Row],['[SC']Coût_personne_dépendante]]*Base[[#This Row],['[SC']Nb_personnes_dépendantes]])</f>
        <v>0</v>
      </c>
      <c r="AP128" s="4">
        <f>IF(Base[[#This Row],[Pathologie]]&lt;&gt;"Dépendance",0,Base[[#This Row],['[SC']Coût_total_dépendance]]/Base[[#This Row],[Population_totale]])</f>
        <v>0</v>
      </c>
      <c r="AQ128" s="4">
        <f>IF(Base[[#This Row],[Pathologie]]&lt;&gt;"Dépendance",0,4.5)</f>
        <v>0</v>
      </c>
      <c r="AR128" s="4">
        <v>0.50393265050357905</v>
      </c>
      <c r="AS128" s="4">
        <f>Base[[#This Row],[Espérance_vie]]+Base[[#This Row],['[SC']Hausse_esp_de_vie]]-Base[[#This Row],['[SC']Durée_moyenne_dépendance_avt]]+Base[[#This Row],[Risque]]</f>
        <v>82.910779221851925</v>
      </c>
      <c r="AT1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8" s="4">
        <v>62.9</v>
      </c>
      <c r="AW128" s="4">
        <f t="shared" si="0"/>
        <v>336905600000</v>
      </c>
      <c r="AX128" s="4">
        <v>15049171</v>
      </c>
      <c r="AY128" s="4">
        <f>Base[[#This Row],['[SC']Budget_total_retraites]]/Base[[#This Row],['[SC']Nombre_de_retraités]]</f>
        <v>22386.987296509556</v>
      </c>
      <c r="AZ128" s="4">
        <f>Base[[#This Row],['[SC']Budget_par_retraité]]*Base[[#This Row],['[SC']Nb_personnes_dépendantes]]</f>
        <v>0</v>
      </c>
      <c r="BA128" s="4">
        <f>Base[[#This Row],['[SC']'[Dépendance']Coût_retraite_personnes_dépendantes]]/Base[[#This Row],[Population_totale]]</f>
        <v>0</v>
      </c>
      <c r="BB12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8" s="4">
        <f>Base[[#This Row],['[SC']'[Dépendance']Gains]]-Base[[#This Row],['[SC']'[Dépendance']Coûts]]</f>
        <v>0</v>
      </c>
      <c r="BD128" s="4">
        <f>IF(Base[[#This Row],[Pathologie]]&lt;&gt;"Mort prématurée",0,Base[[#This Row],[Risque]]*Base[[#This Row],[Prévalence]]*Base[[#This Row],[Population_totale]])</f>
        <v>0</v>
      </c>
      <c r="BE128" s="4">
        <v>52.74</v>
      </c>
      <c r="BF128" s="4">
        <f>Base[[#This Row],['[SC']Âge_moyen_retraite]]-Base[[#This Row],['[SC']'[Mort_prématurée']Âge_moyen_mort précoce]]</f>
        <v>10.159999999999997</v>
      </c>
      <c r="BG128" s="4">
        <f>Base[[#This Row],[Espérance_vie]]+Base[[#This Row],['[SC']Hausse_esp_de_vie]]-Base[[#This Row],['[SC']Âge_moyen_retraite]]</f>
        <v>19.90101171382144</v>
      </c>
      <c r="BH128" s="4">
        <v>106583.42676924677</v>
      </c>
      <c r="BI128" s="4">
        <v>97601.789429271477</v>
      </c>
      <c r="BJ128" s="4">
        <v>302038.31496633729</v>
      </c>
      <c r="BK128" s="4">
        <v>117293.58934859755</v>
      </c>
      <c r="BL128" s="4">
        <v>1523999.9999999995</v>
      </c>
      <c r="BM1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8" s="4">
        <v>294804.96027377353</v>
      </c>
      <c r="BO1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8" s="4">
        <f>(Base[[#This Row],['[SC']'[Mort_prématurée']Gains]]-Base[[#This Row],['[SC']'[Mort_prématurée']Coûts]])/Base[[#This Row],[Population_totale]]</f>
        <v>0</v>
      </c>
      <c r="BQ128" s="4">
        <f>IF(Base[[#This Row],[Pathologie]]&lt;&gt;"Mort prématurée",0,Base[[#This Row],[Risque]])</f>
        <v>0</v>
      </c>
      <c r="BR128" s="4">
        <v>2680</v>
      </c>
      <c r="BS1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28" s="4">
        <f>Base[[#This Row],[Prévalence_prod]]*(1-Base[[#This Row],[Risque]])*Base[[#This Row],[Durée_arrêt]]*Base[[#This Row],[Population_emploi]]</f>
        <v>63331503.664730832</v>
      </c>
      <c r="BV128" s="4">
        <f>Base[[#This Row],['[Prod']'[Absentéisme']Total_jours_absence_avant]]-Base[[#This Row],['[Prod']'[Absentéisme']Total_jours_absence_après]]</f>
        <v>7808905.4261781573</v>
      </c>
      <c r="BW128" s="4">
        <f>IF(AND(Base[[#This Row],[Pathologie]]&lt;&gt;"Dépendance",Base[[#This Row],[Pathologie]]&lt;&gt;"Mort prématurée",Base[[#This Row],[Pathologie]]&lt;&gt;"Migraine"),0.0619,0)</f>
        <v>6.1899999999999997E-2</v>
      </c>
      <c r="BX128" s="4">
        <v>254</v>
      </c>
      <c r="BY12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28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28" s="4">
        <f>Base[[#This Row],[Prévalence_prod]]*Base[[#This Row],[Présentéisme]]*Base[[#This Row],['[Prod']Jours_ouvrés]]</f>
        <v>5.6349899999999993</v>
      </c>
      <c r="CB128" s="4">
        <f>Base[[#This Row],[Prévalence_prod]]*(1-Base[[#This Row],[Risque]])*Base[[#This Row],[Présentéisme]]*Base[[#This Row],['[Prod']Jours_ouvrés]]</f>
        <v>5.0164511899233108</v>
      </c>
      <c r="CC128" s="4">
        <f>Base[[#This Row],['[Prod']'[Présentéisme']Jours_avant]]-Base[[#This Row],['[Prod']'[Présentéisme']Jours_après]]</f>
        <v>0.61853881007668843</v>
      </c>
      <c r="CD128" s="4">
        <f>Base[[#This Row],['[Prod']'[Présentéisme']Jours_gagnés]]/Base[[#This Row],['[Prod']Jours_ouvrés]]</f>
        <v>2.4351921656562536E-3</v>
      </c>
      <c r="CE128">
        <v>5.8333039429220801E-2</v>
      </c>
      <c r="CF128">
        <v>1.4658164114728258E-2</v>
      </c>
      <c r="CG128" s="4">
        <v>11</v>
      </c>
      <c r="CH128" s="4">
        <v>1.1688035738877327</v>
      </c>
      <c r="CI128" s="4">
        <v>9.6557438521367826E-3</v>
      </c>
      <c r="CJ128" s="4">
        <f>IF(Base[[#This Row],[Secteur]]&lt;&gt;"Moyenne",Base[[#This Row],['[Prod']'[Turnover']DMC_initiale]]*(1+Base[[#This Row],['[Prod']'[Turnover']Ecart_accidents]]*Base[[#This Row],['[Prod']Impact_motifs_turnover]]),CJ111*CI111+CJ112*CI112+CJ113*CI113+CJ114*CI114+CJ115*CI115+CJ116*CI116+CJ117*CI117+CJ118*CI118+CJ119*CI119+CJ120*CI120+CJ121*CI121+CJ122*CI122+CJ123*CI123+CJ124*CI124+CJ125*CI125+CJ126*CI126+CJ127*CI127)</f>
        <v>11.188457660643202</v>
      </c>
      <c r="CK128" s="4">
        <f>1/Base[[#This Row],['[Prod']'[Turnover']DMC_initiale]]</f>
        <v>9.0909090909090912E-2</v>
      </c>
      <c r="CL128" s="4">
        <f>1/Base[[#This Row],['[Prod']'[Turnover']DMC_finale]]</f>
        <v>8.9377824033568531E-2</v>
      </c>
    </row>
    <row r="129" spans="2:90" x14ac:dyDescent="0.25">
      <c r="B129" s="4" t="s">
        <v>319</v>
      </c>
      <c r="C129">
        <v>7.5</v>
      </c>
      <c r="D129" t="s">
        <v>84</v>
      </c>
      <c r="E129" t="s">
        <v>9</v>
      </c>
      <c r="F129" s="3">
        <v>0.10976750803048256</v>
      </c>
      <c r="G129" s="3">
        <v>0.14499999999999999</v>
      </c>
      <c r="H129" s="3">
        <v>0.14499999999999999</v>
      </c>
      <c r="I129" s="3">
        <v>0.153</v>
      </c>
      <c r="J129" s="3">
        <v>29.93</v>
      </c>
      <c r="K129" s="3">
        <v>7.0000000000000007E-2</v>
      </c>
      <c r="L129" s="2">
        <f>Base[[#This Row],[Coût]]*Base[[#This Row],[Part_ménages_dépenses_santé]]</f>
        <v>2.0951</v>
      </c>
      <c r="M129" s="2">
        <v>0.82690611956969029</v>
      </c>
      <c r="N129" s="6">
        <v>27700000</v>
      </c>
      <c r="O129" s="7">
        <f>Base[[#This Row],[Coût_salarié]]*10^9*Base[[#This Row],[Risque]]*Base[[#This Row],[Prévalence]]*Base[[#This Row],[Part_coûts_salarié]]/Base[[#This Row],[Population_emploi]]</f>
        <v>0.99545813681589546</v>
      </c>
      <c r="P129">
        <v>50</v>
      </c>
      <c r="Q129">
        <v>50</v>
      </c>
      <c r="R129" s="2">
        <v>9.9999999999999978E-2</v>
      </c>
      <c r="S129" s="2">
        <v>0.33340000000000003</v>
      </c>
      <c r="T129" s="4">
        <v>0.14499999999999999</v>
      </c>
      <c r="U129" s="4">
        <f>IF(Bases_annexes!$F$5=0,16.6587111018772,0.77*Bases_annexes!$F$5/(IF(OR(ISBLANK('Données_d''entrée'!$E$44),'Données_d''entrée'!$E$44=0),35,'Données_d''entrée'!$E$44)*52))</f>
        <v>16.658711101877199</v>
      </c>
      <c r="V129" s="4">
        <v>17.7120401072847</v>
      </c>
      <c r="W1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29" s="4">
        <v>234.5</v>
      </c>
      <c r="Y129" s="4">
        <f>(Base[[#This Row],['[Maladies']Coûts_évités_par_salarié]]+Base[[#This Row],['[Travail']Coûts_évités_par_salarié]])/Base[[#This Row],[Budget_santé_salarié]]</f>
        <v>3.963358337029102E-2</v>
      </c>
      <c r="Z129" s="4">
        <v>0.8</v>
      </c>
      <c r="AA129" s="4">
        <f>Base[[#This Row],[Coût]]*Base[[#This Row],[Part_société_dépenses_santé]]</f>
        <v>23.944000000000003</v>
      </c>
      <c r="AB129" s="4">
        <v>67635124</v>
      </c>
      <c r="AC129" s="4">
        <v>82.297079063317852</v>
      </c>
      <c r="AD129" s="4">
        <v>0.14499999999999999</v>
      </c>
      <c r="AE129" s="4">
        <f>Base[[#This Row],['[SC']Prévalence_travail]]*Base[[#This Row],[Population_emploi]]</f>
        <v>4016499.9999999995</v>
      </c>
      <c r="AF129" s="4">
        <f>Base[[#This Row],[Risque]]*Base[[#This Row],['[SC']Patients_en_emploi]]</f>
        <v>440881.19600443315</v>
      </c>
      <c r="AG129" s="4">
        <v>5730042552.54</v>
      </c>
      <c r="AH129" s="4">
        <f>IFERROR(Base[[#This Row],['[SC']Prestations]]/Base[[#This Row],['[SC']Patients_en_emploi]],0)</f>
        <v>1426.625806682435</v>
      </c>
      <c r="AI129" s="4">
        <v>51.7</v>
      </c>
      <c r="AJ1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29" s="4">
        <f>Base[[#This Row],['[SC']'[Travail']Coûts_évités]]/Base[[#This Row],[Population_emploi]]</f>
        <v>22.706588155268637</v>
      </c>
      <c r="AL129" s="4">
        <f>Base[[#This Row],[Coût_société]]*10^9*Base[[#This Row],[Risque]]*Base[[#This Row],[Prévalence]]*Base[[#This Row],[Part_coûts_salarié]]/Base[[#This Row],[Population_emploi]]</f>
        <v>11.376664420753091</v>
      </c>
      <c r="AM129" s="4">
        <f>IF(Base[[#This Row],[Pathologie]]&lt;&gt;"Dépendance",0,14909.24243952)</f>
        <v>0</v>
      </c>
      <c r="AN129" s="4">
        <f>IF(Base[[#This Row],[Pathologie]]&lt;&gt;"Dépendance",0,1316000)</f>
        <v>0</v>
      </c>
      <c r="AO129" s="4">
        <f>IF(Base[[#This Row],[Pathologie]]&lt;&gt;"Dépendance",0,Base[[#This Row],['[SC']Coût_personne_dépendante]]*Base[[#This Row],['[SC']Nb_personnes_dépendantes]])</f>
        <v>0</v>
      </c>
      <c r="AP129" s="4">
        <f>IF(Base[[#This Row],[Pathologie]]&lt;&gt;"Dépendance",0,Base[[#This Row],['[SC']Coût_total_dépendance]]/Base[[#This Row],[Population_totale]])</f>
        <v>0</v>
      </c>
      <c r="AQ129" s="4">
        <f>IF(Base[[#This Row],[Pathologie]]&lt;&gt;"Dépendance",0,4.5)</f>
        <v>0</v>
      </c>
      <c r="AR129" s="4">
        <v>0.50393265050357905</v>
      </c>
      <c r="AS129" s="4">
        <f>Base[[#This Row],[Espérance_vie]]+Base[[#This Row],['[SC']Hausse_esp_de_vie]]-Base[[#This Row],['[SC']Durée_moyenne_dépendance_avt]]+Base[[#This Row],[Risque]]</f>
        <v>82.910779221851925</v>
      </c>
      <c r="AT1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29" s="4">
        <v>62.9</v>
      </c>
      <c r="AW129" s="4">
        <f t="shared" si="0"/>
        <v>336905600000</v>
      </c>
      <c r="AX129" s="4">
        <v>15049171</v>
      </c>
      <c r="AY129" s="4">
        <f>Base[[#This Row],['[SC']Budget_total_retraites]]/Base[[#This Row],['[SC']Nombre_de_retraités]]</f>
        <v>22386.987296509556</v>
      </c>
      <c r="AZ129" s="4">
        <f>Base[[#This Row],['[SC']Budget_par_retraité]]*Base[[#This Row],['[SC']Nb_personnes_dépendantes]]</f>
        <v>0</v>
      </c>
      <c r="BA129" s="4">
        <f>Base[[#This Row],['[SC']'[Dépendance']Coût_retraite_personnes_dépendantes]]/Base[[#This Row],[Population_totale]]</f>
        <v>0</v>
      </c>
      <c r="BB12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29" s="4">
        <f>Base[[#This Row],['[SC']'[Dépendance']Gains]]-Base[[#This Row],['[SC']'[Dépendance']Coûts]]</f>
        <v>0</v>
      </c>
      <c r="BD129" s="4">
        <f>IF(Base[[#This Row],[Pathologie]]&lt;&gt;"Mort prématurée",0,Base[[#This Row],[Risque]]*Base[[#This Row],[Prévalence]]*Base[[#This Row],[Population_totale]])</f>
        <v>0</v>
      </c>
      <c r="BE129" s="4">
        <v>52.74</v>
      </c>
      <c r="BF129" s="4">
        <f>Base[[#This Row],['[SC']Âge_moyen_retraite]]-Base[[#This Row],['[SC']'[Mort_prématurée']Âge_moyen_mort précoce]]</f>
        <v>10.159999999999997</v>
      </c>
      <c r="BG129" s="4">
        <f>Base[[#This Row],[Espérance_vie]]+Base[[#This Row],['[SC']Hausse_esp_de_vie]]-Base[[#This Row],['[SC']Âge_moyen_retraite]]</f>
        <v>19.90101171382144</v>
      </c>
      <c r="BH129" s="4">
        <v>106583.42676924677</v>
      </c>
      <c r="BI129" s="4">
        <v>97601.789429271477</v>
      </c>
      <c r="BJ129" s="4">
        <v>302038.31496633729</v>
      </c>
      <c r="BK129" s="4">
        <v>117293.58934859755</v>
      </c>
      <c r="BL129" s="4">
        <v>1523999.9999999995</v>
      </c>
      <c r="BM1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29" s="4">
        <v>294804.96027377353</v>
      </c>
      <c r="BO1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29" s="4">
        <f>(Base[[#This Row],['[SC']'[Mort_prématurée']Gains]]-Base[[#This Row],['[SC']'[Mort_prématurée']Coûts]])/Base[[#This Row],[Population_totale]]</f>
        <v>0</v>
      </c>
      <c r="BQ129" s="4">
        <f>IF(Base[[#This Row],[Pathologie]]&lt;&gt;"Mort prématurée",0,Base[[#This Row],[Risque]])</f>
        <v>0</v>
      </c>
      <c r="BR129" s="4">
        <v>2680</v>
      </c>
      <c r="BS1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29" s="4">
        <f>Base[[#This Row],[Prévalence_prod]]*(1-Base[[#This Row],[Risque]])*Base[[#This Row],[Durée_arrêt]]*Base[[#This Row],[Population_emploi]]</f>
        <v>63331503.664730832</v>
      </c>
      <c r="BV129" s="4">
        <f>Base[[#This Row],['[Prod']'[Absentéisme']Total_jours_absence_avant]]-Base[[#This Row],['[Prod']'[Absentéisme']Total_jours_absence_après]]</f>
        <v>7808905.4261781573</v>
      </c>
      <c r="BW129" s="4">
        <f>IF(AND(Base[[#This Row],[Pathologie]]&lt;&gt;"Dépendance",Base[[#This Row],[Pathologie]]&lt;&gt;"Mort prématurée",Base[[#This Row],[Pathologie]]&lt;&gt;"Migraine"),0.0619,0)</f>
        <v>6.1899999999999997E-2</v>
      </c>
      <c r="BX129" s="4">
        <v>254</v>
      </c>
      <c r="BY129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29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29" s="4">
        <f>Base[[#This Row],[Prévalence_prod]]*Base[[#This Row],[Présentéisme]]*Base[[#This Row],['[Prod']Jours_ouvrés]]</f>
        <v>5.6349899999999993</v>
      </c>
      <c r="CB129" s="4">
        <f>Base[[#This Row],[Prévalence_prod]]*(1-Base[[#This Row],[Risque]])*Base[[#This Row],[Présentéisme]]*Base[[#This Row],['[Prod']Jours_ouvrés]]</f>
        <v>5.0164511899233108</v>
      </c>
      <c r="CC129" s="4">
        <f>Base[[#This Row],['[Prod']'[Présentéisme']Jours_avant]]-Base[[#This Row],['[Prod']'[Présentéisme']Jours_après]]</f>
        <v>0.61853881007668843</v>
      </c>
      <c r="CD129" s="4">
        <f>Base[[#This Row],['[Prod']'[Présentéisme']Jours_gagnés]]/Base[[#This Row],['[Prod']Jours_ouvrés]]</f>
        <v>2.4351921656562536E-3</v>
      </c>
      <c r="CE129">
        <v>5.8333039429220801E-2</v>
      </c>
      <c r="CF129">
        <v>1.4658164114728258E-2</v>
      </c>
      <c r="CG129" s="4">
        <v>11</v>
      </c>
      <c r="CH129" s="4">
        <v>0.52204401140486179</v>
      </c>
      <c r="CI129" s="4">
        <v>1.2443904150185675E-2</v>
      </c>
      <c r="CJ129" s="4">
        <f>IF(Base[[#This Row],[Secteur]]&lt;&gt;"Moyenne",Base[[#This Row],['[Prod']'[Turnover']DMC_initiale]]*(1+Base[[#This Row],['[Prod']'[Turnover']Ecart_accidents]]*Base[[#This Row],['[Prod']Impact_motifs_turnover]]),CJ112*CI112+CJ113*CI113+CJ114*CI114+CJ115*CI115+CJ116*CI116+CJ117*CI117+CJ118*CI118+CJ119*CI119+CJ120*CI120+CJ121*CI121+CJ122*CI122+CJ123*CI123+CJ124*CI124+CJ125*CI125+CJ126*CI126+CJ127*CI127+CJ128*CI128)</f>
        <v>11.084174274737117</v>
      </c>
      <c r="CK129" s="4">
        <f>1/Base[[#This Row],['[Prod']'[Turnover']DMC_initiale]]</f>
        <v>9.0909090909090912E-2</v>
      </c>
      <c r="CL129" s="4">
        <f>1/Base[[#This Row],['[Prod']'[Turnover']DMC_finale]]</f>
        <v>9.0218718617514418E-2</v>
      </c>
    </row>
    <row r="130" spans="2:90" x14ac:dyDescent="0.25">
      <c r="B130" s="4" t="s">
        <v>320</v>
      </c>
      <c r="C130">
        <v>7.5</v>
      </c>
      <c r="D130" t="s">
        <v>84</v>
      </c>
      <c r="E130" t="s">
        <v>9</v>
      </c>
      <c r="F130" s="3">
        <v>0.10976750803048256</v>
      </c>
      <c r="G130" s="3">
        <v>0.14499999999999999</v>
      </c>
      <c r="H130" s="3">
        <v>0.14499999999999999</v>
      </c>
      <c r="I130" s="3">
        <v>0.153</v>
      </c>
      <c r="J130" s="3">
        <v>29.93</v>
      </c>
      <c r="K130" s="3">
        <v>7.0000000000000007E-2</v>
      </c>
      <c r="L130" s="2">
        <f>Base[[#This Row],[Coût]]*Base[[#This Row],[Part_ménages_dépenses_santé]]</f>
        <v>2.0951</v>
      </c>
      <c r="M130" s="2">
        <v>0.82690611956969029</v>
      </c>
      <c r="N130" s="6">
        <v>27700000</v>
      </c>
      <c r="O130" s="7">
        <f>Base[[#This Row],[Coût_salarié]]*10^9*Base[[#This Row],[Risque]]*Base[[#This Row],[Prévalence]]*Base[[#This Row],[Part_coûts_salarié]]/Base[[#This Row],[Population_emploi]]</f>
        <v>0.99545813681589546</v>
      </c>
      <c r="P130">
        <v>50</v>
      </c>
      <c r="Q130">
        <v>50</v>
      </c>
      <c r="R130" s="2">
        <v>9.9999999999999978E-2</v>
      </c>
      <c r="S130" s="2">
        <v>0.33340000000000003</v>
      </c>
      <c r="T130" s="4">
        <v>0.14499999999999999</v>
      </c>
      <c r="U130" s="4">
        <f>IF(Bases_annexes!$F$5=0,16.6587111018772,0.77*Bases_annexes!$F$5/(IF(OR(ISBLANK('Données_d''entrée'!$E$44),'Données_d''entrée'!$E$44=0),35,'Données_d''entrée'!$E$44)*52))</f>
        <v>16.658711101877199</v>
      </c>
      <c r="V130" s="4">
        <v>17.7120401072847</v>
      </c>
      <c r="W1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0" s="4">
        <v>234.5</v>
      </c>
      <c r="Y130" s="4">
        <f>(Base[[#This Row],['[Maladies']Coûts_évités_par_salarié]]+Base[[#This Row],['[Travail']Coûts_évités_par_salarié]])/Base[[#This Row],[Budget_santé_salarié]]</f>
        <v>3.963358337029102E-2</v>
      </c>
      <c r="Z130" s="4">
        <v>0.8</v>
      </c>
      <c r="AA130" s="4">
        <f>Base[[#This Row],[Coût]]*Base[[#This Row],[Part_société_dépenses_santé]]</f>
        <v>23.944000000000003</v>
      </c>
      <c r="AB130" s="4">
        <v>67635124</v>
      </c>
      <c r="AC130" s="4">
        <v>82.297079063317852</v>
      </c>
      <c r="AD130" s="4">
        <v>0.14499999999999999</v>
      </c>
      <c r="AE130" s="4">
        <f>Base[[#This Row],['[SC']Prévalence_travail]]*Base[[#This Row],[Population_emploi]]</f>
        <v>4016499.9999999995</v>
      </c>
      <c r="AF130" s="4">
        <f>Base[[#This Row],[Risque]]*Base[[#This Row],['[SC']Patients_en_emploi]]</f>
        <v>440881.19600443315</v>
      </c>
      <c r="AG130" s="4">
        <v>5730042552.54</v>
      </c>
      <c r="AH130" s="4">
        <f>IFERROR(Base[[#This Row],['[SC']Prestations]]/Base[[#This Row],['[SC']Patients_en_emploi]],0)</f>
        <v>1426.625806682435</v>
      </c>
      <c r="AI130" s="4">
        <v>51.7</v>
      </c>
      <c r="AJ1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0" s="4">
        <f>Base[[#This Row],['[SC']'[Travail']Coûts_évités]]/Base[[#This Row],[Population_emploi]]</f>
        <v>22.706588155268637</v>
      </c>
      <c r="AL130" s="4">
        <f>Base[[#This Row],[Coût_société]]*10^9*Base[[#This Row],[Risque]]*Base[[#This Row],[Prévalence]]*Base[[#This Row],[Part_coûts_salarié]]/Base[[#This Row],[Population_emploi]]</f>
        <v>11.376664420753091</v>
      </c>
      <c r="AM130" s="4">
        <f>IF(Base[[#This Row],[Pathologie]]&lt;&gt;"Dépendance",0,14909.24243952)</f>
        <v>0</v>
      </c>
      <c r="AN130" s="4">
        <f>IF(Base[[#This Row],[Pathologie]]&lt;&gt;"Dépendance",0,1316000)</f>
        <v>0</v>
      </c>
      <c r="AO130" s="4">
        <f>IF(Base[[#This Row],[Pathologie]]&lt;&gt;"Dépendance",0,Base[[#This Row],['[SC']Coût_personne_dépendante]]*Base[[#This Row],['[SC']Nb_personnes_dépendantes]])</f>
        <v>0</v>
      </c>
      <c r="AP130" s="4">
        <f>IF(Base[[#This Row],[Pathologie]]&lt;&gt;"Dépendance",0,Base[[#This Row],['[SC']Coût_total_dépendance]]/Base[[#This Row],[Population_totale]])</f>
        <v>0</v>
      </c>
      <c r="AQ130" s="4">
        <f>IF(Base[[#This Row],[Pathologie]]&lt;&gt;"Dépendance",0,4.5)</f>
        <v>0</v>
      </c>
      <c r="AR130" s="4">
        <v>0.50393265050357905</v>
      </c>
      <c r="AS130" s="4">
        <f>Base[[#This Row],[Espérance_vie]]+Base[[#This Row],['[SC']Hausse_esp_de_vie]]-Base[[#This Row],['[SC']Durée_moyenne_dépendance_avt]]+Base[[#This Row],[Risque]]</f>
        <v>82.910779221851925</v>
      </c>
      <c r="AT1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0" s="4">
        <v>62.9</v>
      </c>
      <c r="AW130" s="4">
        <f t="shared" si="0"/>
        <v>336905600000</v>
      </c>
      <c r="AX130" s="4">
        <v>15049171</v>
      </c>
      <c r="AY130" s="4">
        <f>Base[[#This Row],['[SC']Budget_total_retraites]]/Base[[#This Row],['[SC']Nombre_de_retraités]]</f>
        <v>22386.987296509556</v>
      </c>
      <c r="AZ130" s="4">
        <f>Base[[#This Row],['[SC']Budget_par_retraité]]*Base[[#This Row],['[SC']Nb_personnes_dépendantes]]</f>
        <v>0</v>
      </c>
      <c r="BA130" s="4">
        <f>Base[[#This Row],['[SC']'[Dépendance']Coût_retraite_personnes_dépendantes]]/Base[[#This Row],[Population_totale]]</f>
        <v>0</v>
      </c>
      <c r="BB13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0" s="4">
        <f>Base[[#This Row],['[SC']'[Dépendance']Gains]]-Base[[#This Row],['[SC']'[Dépendance']Coûts]]</f>
        <v>0</v>
      </c>
      <c r="BD130" s="4">
        <f>IF(Base[[#This Row],[Pathologie]]&lt;&gt;"Mort prématurée",0,Base[[#This Row],[Risque]]*Base[[#This Row],[Prévalence]]*Base[[#This Row],[Population_totale]])</f>
        <v>0</v>
      </c>
      <c r="BE130" s="4">
        <v>52.74</v>
      </c>
      <c r="BF130" s="4">
        <f>Base[[#This Row],['[SC']Âge_moyen_retraite]]-Base[[#This Row],['[SC']'[Mort_prématurée']Âge_moyen_mort précoce]]</f>
        <v>10.159999999999997</v>
      </c>
      <c r="BG130" s="4">
        <f>Base[[#This Row],[Espérance_vie]]+Base[[#This Row],['[SC']Hausse_esp_de_vie]]-Base[[#This Row],['[SC']Âge_moyen_retraite]]</f>
        <v>19.90101171382144</v>
      </c>
      <c r="BH130" s="4">
        <v>106583.42676924677</v>
      </c>
      <c r="BI130" s="4">
        <v>97601.789429271477</v>
      </c>
      <c r="BJ130" s="4">
        <v>302038.31496633729</v>
      </c>
      <c r="BK130" s="4">
        <v>117293.58934859755</v>
      </c>
      <c r="BL130" s="4">
        <v>1523999.9999999995</v>
      </c>
      <c r="BM1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0" s="4">
        <v>294804.96027377353</v>
      </c>
      <c r="BO1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0" s="4">
        <f>(Base[[#This Row],['[SC']'[Mort_prématurée']Gains]]-Base[[#This Row],['[SC']'[Mort_prématurée']Coûts]])/Base[[#This Row],[Population_totale]]</f>
        <v>0</v>
      </c>
      <c r="BQ130" s="4">
        <f>IF(Base[[#This Row],[Pathologie]]&lt;&gt;"Mort prématurée",0,Base[[#This Row],[Risque]])</f>
        <v>0</v>
      </c>
      <c r="BR130" s="4">
        <v>2680</v>
      </c>
      <c r="BS1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0" s="4">
        <f>Base[[#This Row],[Prévalence_prod]]*(1-Base[[#This Row],[Risque]])*Base[[#This Row],[Durée_arrêt]]*Base[[#This Row],[Population_emploi]]</f>
        <v>63331503.664730832</v>
      </c>
      <c r="BV130" s="4">
        <f>Base[[#This Row],['[Prod']'[Absentéisme']Total_jours_absence_avant]]-Base[[#This Row],['[Prod']'[Absentéisme']Total_jours_absence_après]]</f>
        <v>7808905.4261781573</v>
      </c>
      <c r="BW130" s="4">
        <f>IF(AND(Base[[#This Row],[Pathologie]]&lt;&gt;"Dépendance",Base[[#This Row],[Pathologie]]&lt;&gt;"Mort prématurée",Base[[#This Row],[Pathologie]]&lt;&gt;"Migraine"),0.0619,0)</f>
        <v>6.1899999999999997E-2</v>
      </c>
      <c r="BX130" s="4">
        <v>254</v>
      </c>
      <c r="BY130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0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0" s="4">
        <f>Base[[#This Row],[Prévalence_prod]]*Base[[#This Row],[Présentéisme]]*Base[[#This Row],['[Prod']Jours_ouvrés]]</f>
        <v>5.6349899999999993</v>
      </c>
      <c r="CB130" s="4">
        <f>Base[[#This Row],[Prévalence_prod]]*(1-Base[[#This Row],[Risque]])*Base[[#This Row],[Présentéisme]]*Base[[#This Row],['[Prod']Jours_ouvrés]]</f>
        <v>5.0164511899233108</v>
      </c>
      <c r="CC130" s="4">
        <f>Base[[#This Row],['[Prod']'[Présentéisme']Jours_avant]]-Base[[#This Row],['[Prod']'[Présentéisme']Jours_après]]</f>
        <v>0.61853881007668843</v>
      </c>
      <c r="CD130" s="4">
        <f>Base[[#This Row],['[Prod']'[Présentéisme']Jours_gagnés]]/Base[[#This Row],['[Prod']Jours_ouvrés]]</f>
        <v>2.4351921656562536E-3</v>
      </c>
      <c r="CE130">
        <v>5.8333039429220801E-2</v>
      </c>
      <c r="CF130">
        <v>1.4658164114728258E-2</v>
      </c>
      <c r="CG130" s="4">
        <v>11</v>
      </c>
      <c r="CH130" s="4">
        <v>0.49446424657188709</v>
      </c>
      <c r="CI130" s="4">
        <v>1.0795805058605798E-2</v>
      </c>
      <c r="CJ130" s="4">
        <f>IF(Base[[#This Row],[Secteur]]&lt;&gt;"Moyenne",Base[[#This Row],['[Prod']'[Turnover']DMC_initiale]]*(1+Base[[#This Row],['[Prod']'[Turnover']Ecart_accidents]]*Base[[#This Row],['[Prod']Impact_motifs_turnover]]),CJ113*CI113+CJ114*CI114+CJ115*CI115+CJ116*CI116+CJ117*CI117+CJ118*CI118+CJ119*CI119+CJ120*CI120+CJ121*CI121+CJ122*CI122+CJ123*CI123+CJ124*CI124+CJ125*CI125+CJ126*CI126+CJ127*CI127+CJ128*CI128+CJ129*CI129)</f>
        <v>11.079727318826279</v>
      </c>
      <c r="CK130" s="4">
        <f>1/Base[[#This Row],['[Prod']'[Turnover']DMC_initiale]]</f>
        <v>9.0909090909090912E-2</v>
      </c>
      <c r="CL130" s="4">
        <f>1/Base[[#This Row],['[Prod']'[Turnover']DMC_finale]]</f>
        <v>9.025492877436031E-2</v>
      </c>
    </row>
    <row r="131" spans="2:90" x14ac:dyDescent="0.25">
      <c r="B131" s="4" t="s">
        <v>321</v>
      </c>
      <c r="C131">
        <v>7.5</v>
      </c>
      <c r="D131" t="s">
        <v>84</v>
      </c>
      <c r="E131" t="s">
        <v>9</v>
      </c>
      <c r="F131" s="3">
        <v>0.10976750803048256</v>
      </c>
      <c r="G131" s="3">
        <v>0.14499999999999999</v>
      </c>
      <c r="H131" s="3">
        <v>0.14499999999999999</v>
      </c>
      <c r="I131" s="3">
        <v>0.153</v>
      </c>
      <c r="J131" s="3">
        <v>29.93</v>
      </c>
      <c r="K131" s="3">
        <v>7.0000000000000007E-2</v>
      </c>
      <c r="L131" s="2">
        <f>Base[[#This Row],[Coût]]*Base[[#This Row],[Part_ménages_dépenses_santé]]</f>
        <v>2.0951</v>
      </c>
      <c r="M131" s="2">
        <v>0.82690611956969029</v>
      </c>
      <c r="N131" s="6">
        <v>27700000</v>
      </c>
      <c r="O131" s="7">
        <f>Base[[#This Row],[Coût_salarié]]*10^9*Base[[#This Row],[Risque]]*Base[[#This Row],[Prévalence]]*Base[[#This Row],[Part_coûts_salarié]]/Base[[#This Row],[Population_emploi]]</f>
        <v>0.99545813681589546</v>
      </c>
      <c r="P131">
        <v>50</v>
      </c>
      <c r="Q131">
        <v>50</v>
      </c>
      <c r="R131" s="2">
        <v>9.9999999999999978E-2</v>
      </c>
      <c r="S131" s="2">
        <v>0.33340000000000003</v>
      </c>
      <c r="T131" s="4">
        <v>0.14499999999999999</v>
      </c>
      <c r="U131" s="4">
        <f>IF(Bases_annexes!$F$5=0,16.6587111018772,0.77*Bases_annexes!$F$5/(IF(OR(ISBLANK('Données_d''entrée'!$E$44),'Données_d''entrée'!$E$44=0),35,'Données_d''entrée'!$E$44)*52))</f>
        <v>16.658711101877199</v>
      </c>
      <c r="V131" s="4">
        <v>17.7120401072847</v>
      </c>
      <c r="W1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1" s="4">
        <v>234.5</v>
      </c>
      <c r="Y131" s="4">
        <f>(Base[[#This Row],['[Maladies']Coûts_évités_par_salarié]]+Base[[#This Row],['[Travail']Coûts_évités_par_salarié]])/Base[[#This Row],[Budget_santé_salarié]]</f>
        <v>3.963358337029102E-2</v>
      </c>
      <c r="Z131" s="4">
        <v>0.8</v>
      </c>
      <c r="AA131" s="4">
        <f>Base[[#This Row],[Coût]]*Base[[#This Row],[Part_société_dépenses_santé]]</f>
        <v>23.944000000000003</v>
      </c>
      <c r="AB131" s="4">
        <v>67635124</v>
      </c>
      <c r="AC131" s="4">
        <v>82.297079063317852</v>
      </c>
      <c r="AD131" s="4">
        <v>0.14499999999999999</v>
      </c>
      <c r="AE131" s="4">
        <f>Base[[#This Row],['[SC']Prévalence_travail]]*Base[[#This Row],[Population_emploi]]</f>
        <v>4016499.9999999995</v>
      </c>
      <c r="AF131" s="4">
        <f>Base[[#This Row],[Risque]]*Base[[#This Row],['[SC']Patients_en_emploi]]</f>
        <v>440881.19600443315</v>
      </c>
      <c r="AG131" s="4">
        <v>5730042552.54</v>
      </c>
      <c r="AH131" s="4">
        <f>IFERROR(Base[[#This Row],['[SC']Prestations]]/Base[[#This Row],['[SC']Patients_en_emploi]],0)</f>
        <v>1426.625806682435</v>
      </c>
      <c r="AI131" s="4">
        <v>51.7</v>
      </c>
      <c r="AJ1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1" s="4">
        <f>Base[[#This Row],['[SC']'[Travail']Coûts_évités]]/Base[[#This Row],[Population_emploi]]</f>
        <v>22.706588155268637</v>
      </c>
      <c r="AL131" s="4">
        <f>Base[[#This Row],[Coût_société]]*10^9*Base[[#This Row],[Risque]]*Base[[#This Row],[Prévalence]]*Base[[#This Row],[Part_coûts_salarié]]/Base[[#This Row],[Population_emploi]]</f>
        <v>11.376664420753091</v>
      </c>
      <c r="AM131" s="4">
        <f>IF(Base[[#This Row],[Pathologie]]&lt;&gt;"Dépendance",0,14909.24243952)</f>
        <v>0</v>
      </c>
      <c r="AN131" s="4">
        <f>IF(Base[[#This Row],[Pathologie]]&lt;&gt;"Dépendance",0,1316000)</f>
        <v>0</v>
      </c>
      <c r="AO131" s="4">
        <f>IF(Base[[#This Row],[Pathologie]]&lt;&gt;"Dépendance",0,Base[[#This Row],['[SC']Coût_personne_dépendante]]*Base[[#This Row],['[SC']Nb_personnes_dépendantes]])</f>
        <v>0</v>
      </c>
      <c r="AP131" s="4">
        <f>IF(Base[[#This Row],[Pathologie]]&lt;&gt;"Dépendance",0,Base[[#This Row],['[SC']Coût_total_dépendance]]/Base[[#This Row],[Population_totale]])</f>
        <v>0</v>
      </c>
      <c r="AQ131" s="4">
        <f>IF(Base[[#This Row],[Pathologie]]&lt;&gt;"Dépendance",0,4.5)</f>
        <v>0</v>
      </c>
      <c r="AR131" s="4">
        <v>0.50393265050357905</v>
      </c>
      <c r="AS131" s="4">
        <f>Base[[#This Row],[Espérance_vie]]+Base[[#This Row],['[SC']Hausse_esp_de_vie]]-Base[[#This Row],['[SC']Durée_moyenne_dépendance_avt]]+Base[[#This Row],[Risque]]</f>
        <v>82.910779221851925</v>
      </c>
      <c r="AT1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1" s="4">
        <v>62.9</v>
      </c>
      <c r="AW131" s="4">
        <f t="shared" si="0"/>
        <v>336905600000</v>
      </c>
      <c r="AX131" s="4">
        <v>15049171</v>
      </c>
      <c r="AY131" s="4">
        <f>Base[[#This Row],['[SC']Budget_total_retraites]]/Base[[#This Row],['[SC']Nombre_de_retraités]]</f>
        <v>22386.987296509556</v>
      </c>
      <c r="AZ131" s="4">
        <f>Base[[#This Row],['[SC']Budget_par_retraité]]*Base[[#This Row],['[SC']Nb_personnes_dépendantes]]</f>
        <v>0</v>
      </c>
      <c r="BA131" s="4">
        <f>Base[[#This Row],['[SC']'[Dépendance']Coût_retraite_personnes_dépendantes]]/Base[[#This Row],[Population_totale]]</f>
        <v>0</v>
      </c>
      <c r="BB13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1" s="4">
        <f>Base[[#This Row],['[SC']'[Dépendance']Gains]]-Base[[#This Row],['[SC']'[Dépendance']Coûts]]</f>
        <v>0</v>
      </c>
      <c r="BD131" s="4">
        <f>IF(Base[[#This Row],[Pathologie]]&lt;&gt;"Mort prématurée",0,Base[[#This Row],[Risque]]*Base[[#This Row],[Prévalence]]*Base[[#This Row],[Population_totale]])</f>
        <v>0</v>
      </c>
      <c r="BE131" s="4">
        <v>52.74</v>
      </c>
      <c r="BF131" s="4">
        <f>Base[[#This Row],['[SC']Âge_moyen_retraite]]-Base[[#This Row],['[SC']'[Mort_prématurée']Âge_moyen_mort précoce]]</f>
        <v>10.159999999999997</v>
      </c>
      <c r="BG131" s="4">
        <f>Base[[#This Row],[Espérance_vie]]+Base[[#This Row],['[SC']Hausse_esp_de_vie]]-Base[[#This Row],['[SC']Âge_moyen_retraite]]</f>
        <v>19.90101171382144</v>
      </c>
      <c r="BH131" s="4">
        <v>106583.42676924677</v>
      </c>
      <c r="BI131" s="4">
        <v>97601.789429271477</v>
      </c>
      <c r="BJ131" s="4">
        <v>302038.31496633729</v>
      </c>
      <c r="BK131" s="4">
        <v>117293.58934859755</v>
      </c>
      <c r="BL131" s="4">
        <v>1523999.9999999995</v>
      </c>
      <c r="BM1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1" s="4">
        <v>294804.96027377353</v>
      </c>
      <c r="BO1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1" s="4">
        <f>(Base[[#This Row],['[SC']'[Mort_prématurée']Gains]]-Base[[#This Row],['[SC']'[Mort_prématurée']Coûts]])/Base[[#This Row],[Population_totale]]</f>
        <v>0</v>
      </c>
      <c r="BQ131" s="4">
        <f>IF(Base[[#This Row],[Pathologie]]&lt;&gt;"Mort prématurée",0,Base[[#This Row],[Risque]])</f>
        <v>0</v>
      </c>
      <c r="BR131" s="4">
        <v>2680</v>
      </c>
      <c r="BS1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1" s="4">
        <f>Base[[#This Row],[Prévalence_prod]]*(1-Base[[#This Row],[Risque]])*Base[[#This Row],[Durée_arrêt]]*Base[[#This Row],[Population_emploi]]</f>
        <v>63331503.664730832</v>
      </c>
      <c r="BV131" s="4">
        <f>Base[[#This Row],['[Prod']'[Absentéisme']Total_jours_absence_avant]]-Base[[#This Row],['[Prod']'[Absentéisme']Total_jours_absence_après]]</f>
        <v>7808905.4261781573</v>
      </c>
      <c r="BW131" s="4">
        <f>IF(AND(Base[[#This Row],[Pathologie]]&lt;&gt;"Dépendance",Base[[#This Row],[Pathologie]]&lt;&gt;"Mort prématurée",Base[[#This Row],[Pathologie]]&lt;&gt;"Migraine"),0.0619,0)</f>
        <v>6.1899999999999997E-2</v>
      </c>
      <c r="BX131" s="4">
        <v>254</v>
      </c>
      <c r="BY13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1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1" s="4">
        <f>Base[[#This Row],[Prévalence_prod]]*Base[[#This Row],[Présentéisme]]*Base[[#This Row],['[Prod']Jours_ouvrés]]</f>
        <v>5.6349899999999993</v>
      </c>
      <c r="CB131" s="4">
        <f>Base[[#This Row],[Prévalence_prod]]*(1-Base[[#This Row],[Risque]])*Base[[#This Row],[Présentéisme]]*Base[[#This Row],['[Prod']Jours_ouvrés]]</f>
        <v>5.0164511899233108</v>
      </c>
      <c r="CC131" s="4">
        <f>Base[[#This Row],['[Prod']'[Présentéisme']Jours_avant]]-Base[[#This Row],['[Prod']'[Présentéisme']Jours_après]]</f>
        <v>0.61853881007668843</v>
      </c>
      <c r="CD131" s="4">
        <f>Base[[#This Row],['[Prod']'[Présentéisme']Jours_gagnés]]/Base[[#This Row],['[Prod']Jours_ouvrés]]</f>
        <v>2.4351921656562536E-3</v>
      </c>
      <c r="CE131">
        <v>5.8333039429220801E-2</v>
      </c>
      <c r="CF131">
        <v>1.4658164114728258E-2</v>
      </c>
      <c r="CG131" s="4">
        <v>11</v>
      </c>
      <c r="CH131" s="4">
        <v>0.85274500894619554</v>
      </c>
      <c r="CI131" s="4">
        <v>4.2903496994109176E-2</v>
      </c>
      <c r="CJ131" s="4">
        <f>IF(Base[[#This Row],[Secteur]]&lt;&gt;"Moyenne",Base[[#This Row],['[Prod']'[Turnover']DMC_initiale]]*(1+Base[[#This Row],['[Prod']'[Turnover']Ecart_accidents]]*Base[[#This Row],['[Prod']Impact_motifs_turnover]]),CJ114*CI114+CJ115*CI115+CJ116*CI116+CJ117*CI117+CJ118*CI118+CJ119*CI119+CJ120*CI120+CJ121*CI121+CJ122*CI122+CJ123*CI123+CJ124*CI124+CJ125*CI125+CJ126*CI126+CJ127*CI127+CJ128*CI128+CJ129*CI129+CJ130*CI130)</f>
        <v>11.137496439180635</v>
      </c>
      <c r="CK131" s="4">
        <f>1/Base[[#This Row],['[Prod']'[Turnover']DMC_initiale]]</f>
        <v>9.0909090909090912E-2</v>
      </c>
      <c r="CL131" s="4">
        <f>1/Base[[#This Row],['[Prod']'[Turnover']DMC_finale]]</f>
        <v>8.9786785159553156E-2</v>
      </c>
    </row>
    <row r="132" spans="2:90" x14ac:dyDescent="0.25">
      <c r="B132" s="4" t="s">
        <v>322</v>
      </c>
      <c r="C132">
        <v>7.5</v>
      </c>
      <c r="D132" t="s">
        <v>84</v>
      </c>
      <c r="E132" t="s">
        <v>9</v>
      </c>
      <c r="F132" s="3">
        <v>0.10976750803048256</v>
      </c>
      <c r="G132" s="3">
        <v>0.14499999999999999</v>
      </c>
      <c r="H132" s="3">
        <v>0.14499999999999999</v>
      </c>
      <c r="I132" s="3">
        <v>0.153</v>
      </c>
      <c r="J132" s="3">
        <v>29.93</v>
      </c>
      <c r="K132" s="3">
        <v>7.0000000000000007E-2</v>
      </c>
      <c r="L132" s="2">
        <f>Base[[#This Row],[Coût]]*Base[[#This Row],[Part_ménages_dépenses_santé]]</f>
        <v>2.0951</v>
      </c>
      <c r="M132" s="2">
        <v>0.82690611956969029</v>
      </c>
      <c r="N132" s="6">
        <v>27700000</v>
      </c>
      <c r="O132" s="7">
        <f>Base[[#This Row],[Coût_salarié]]*10^9*Base[[#This Row],[Risque]]*Base[[#This Row],[Prévalence]]*Base[[#This Row],[Part_coûts_salarié]]/Base[[#This Row],[Population_emploi]]</f>
        <v>0.99545813681589546</v>
      </c>
      <c r="P132">
        <v>50</v>
      </c>
      <c r="Q132">
        <v>50</v>
      </c>
      <c r="R132" s="2">
        <v>9.9999999999999978E-2</v>
      </c>
      <c r="S132" s="2">
        <v>0.33340000000000003</v>
      </c>
      <c r="T132" s="4">
        <v>0.14499999999999999</v>
      </c>
      <c r="U132" s="4">
        <f>IF(Bases_annexes!$F$5=0,16.6587111018772,0.77*Bases_annexes!$F$5/(IF(OR(ISBLANK('Données_d''entrée'!$E$44),'Données_d''entrée'!$E$44=0),35,'Données_d''entrée'!$E$44)*52))</f>
        <v>16.658711101877199</v>
      </c>
      <c r="V132" s="4">
        <v>17.7120401072847</v>
      </c>
      <c r="W1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2" s="4">
        <v>234.5</v>
      </c>
      <c r="Y132" s="4">
        <f>(Base[[#This Row],['[Maladies']Coûts_évités_par_salarié]]+Base[[#This Row],['[Travail']Coûts_évités_par_salarié]])/Base[[#This Row],[Budget_santé_salarié]]</f>
        <v>3.963358337029102E-2</v>
      </c>
      <c r="Z132" s="4">
        <v>0.8</v>
      </c>
      <c r="AA132" s="4">
        <f>Base[[#This Row],[Coût]]*Base[[#This Row],[Part_société_dépenses_santé]]</f>
        <v>23.944000000000003</v>
      </c>
      <c r="AB132" s="4">
        <v>67635124</v>
      </c>
      <c r="AC132" s="4">
        <v>82.297079063317852</v>
      </c>
      <c r="AD132" s="4">
        <v>0.14499999999999999</v>
      </c>
      <c r="AE132" s="4">
        <f>Base[[#This Row],['[SC']Prévalence_travail]]*Base[[#This Row],[Population_emploi]]</f>
        <v>4016499.9999999995</v>
      </c>
      <c r="AF132" s="4">
        <f>Base[[#This Row],[Risque]]*Base[[#This Row],['[SC']Patients_en_emploi]]</f>
        <v>440881.19600443315</v>
      </c>
      <c r="AG132" s="4">
        <v>5730042552.54</v>
      </c>
      <c r="AH132" s="4">
        <f>IFERROR(Base[[#This Row],['[SC']Prestations]]/Base[[#This Row],['[SC']Patients_en_emploi]],0)</f>
        <v>1426.625806682435</v>
      </c>
      <c r="AI132" s="4">
        <v>51.7</v>
      </c>
      <c r="AJ1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2" s="4">
        <f>Base[[#This Row],['[SC']'[Travail']Coûts_évités]]/Base[[#This Row],[Population_emploi]]</f>
        <v>22.706588155268637</v>
      </c>
      <c r="AL132" s="4">
        <f>Base[[#This Row],[Coût_société]]*10^9*Base[[#This Row],[Risque]]*Base[[#This Row],[Prévalence]]*Base[[#This Row],[Part_coûts_salarié]]/Base[[#This Row],[Population_emploi]]</f>
        <v>11.376664420753091</v>
      </c>
      <c r="AM132" s="4">
        <f>IF(Base[[#This Row],[Pathologie]]&lt;&gt;"Dépendance",0,14909.24243952)</f>
        <v>0</v>
      </c>
      <c r="AN132" s="4">
        <f>IF(Base[[#This Row],[Pathologie]]&lt;&gt;"Dépendance",0,1316000)</f>
        <v>0</v>
      </c>
      <c r="AO132" s="4">
        <f>IF(Base[[#This Row],[Pathologie]]&lt;&gt;"Dépendance",0,Base[[#This Row],['[SC']Coût_personne_dépendante]]*Base[[#This Row],['[SC']Nb_personnes_dépendantes]])</f>
        <v>0</v>
      </c>
      <c r="AP132" s="4">
        <f>IF(Base[[#This Row],[Pathologie]]&lt;&gt;"Dépendance",0,Base[[#This Row],['[SC']Coût_total_dépendance]]/Base[[#This Row],[Population_totale]])</f>
        <v>0</v>
      </c>
      <c r="AQ132" s="4">
        <f>IF(Base[[#This Row],[Pathologie]]&lt;&gt;"Dépendance",0,4.5)</f>
        <v>0</v>
      </c>
      <c r="AR132" s="4">
        <v>0.50393265050357905</v>
      </c>
      <c r="AS132" s="4">
        <f>Base[[#This Row],[Espérance_vie]]+Base[[#This Row],['[SC']Hausse_esp_de_vie]]-Base[[#This Row],['[SC']Durée_moyenne_dépendance_avt]]+Base[[#This Row],[Risque]]</f>
        <v>82.910779221851925</v>
      </c>
      <c r="AT1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2" s="4">
        <v>62.9</v>
      </c>
      <c r="AW132" s="4">
        <f t="shared" si="0"/>
        <v>336905600000</v>
      </c>
      <c r="AX132" s="4">
        <v>15049171</v>
      </c>
      <c r="AY132" s="4">
        <f>Base[[#This Row],['[SC']Budget_total_retraites]]/Base[[#This Row],['[SC']Nombre_de_retraités]]</f>
        <v>22386.987296509556</v>
      </c>
      <c r="AZ132" s="4">
        <f>Base[[#This Row],['[SC']Budget_par_retraité]]*Base[[#This Row],['[SC']Nb_personnes_dépendantes]]</f>
        <v>0</v>
      </c>
      <c r="BA132" s="4">
        <f>Base[[#This Row],['[SC']'[Dépendance']Coût_retraite_personnes_dépendantes]]/Base[[#This Row],[Population_totale]]</f>
        <v>0</v>
      </c>
      <c r="BB13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2" s="4">
        <f>Base[[#This Row],['[SC']'[Dépendance']Gains]]-Base[[#This Row],['[SC']'[Dépendance']Coûts]]</f>
        <v>0</v>
      </c>
      <c r="BD132" s="4">
        <f>IF(Base[[#This Row],[Pathologie]]&lt;&gt;"Mort prématurée",0,Base[[#This Row],[Risque]]*Base[[#This Row],[Prévalence]]*Base[[#This Row],[Population_totale]])</f>
        <v>0</v>
      </c>
      <c r="BE132" s="4">
        <v>52.74</v>
      </c>
      <c r="BF132" s="4">
        <f>Base[[#This Row],['[SC']Âge_moyen_retraite]]-Base[[#This Row],['[SC']'[Mort_prématurée']Âge_moyen_mort précoce]]</f>
        <v>10.159999999999997</v>
      </c>
      <c r="BG132" s="4">
        <f>Base[[#This Row],[Espérance_vie]]+Base[[#This Row],['[SC']Hausse_esp_de_vie]]-Base[[#This Row],['[SC']Âge_moyen_retraite]]</f>
        <v>19.90101171382144</v>
      </c>
      <c r="BH132" s="4">
        <v>106583.42676924677</v>
      </c>
      <c r="BI132" s="4">
        <v>97601.789429271477</v>
      </c>
      <c r="BJ132" s="4">
        <v>302038.31496633729</v>
      </c>
      <c r="BK132" s="4">
        <v>117293.58934859755</v>
      </c>
      <c r="BL132" s="4">
        <v>1523999.9999999995</v>
      </c>
      <c r="BM1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2" s="4">
        <v>294804.96027377353</v>
      </c>
      <c r="BO1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2" s="4">
        <f>(Base[[#This Row],['[SC']'[Mort_prématurée']Gains]]-Base[[#This Row],['[SC']'[Mort_prématurée']Coûts]])/Base[[#This Row],[Population_totale]]</f>
        <v>0</v>
      </c>
      <c r="BQ132" s="4">
        <f>IF(Base[[#This Row],[Pathologie]]&lt;&gt;"Mort prématurée",0,Base[[#This Row],[Risque]])</f>
        <v>0</v>
      </c>
      <c r="BR132" s="4">
        <v>2680</v>
      </c>
      <c r="BS1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2" s="4">
        <f>Base[[#This Row],[Prévalence_prod]]*(1-Base[[#This Row],[Risque]])*Base[[#This Row],[Durée_arrêt]]*Base[[#This Row],[Population_emploi]]</f>
        <v>63331503.664730832</v>
      </c>
      <c r="BV132" s="4">
        <f>Base[[#This Row],['[Prod']'[Absentéisme']Total_jours_absence_avant]]-Base[[#This Row],['[Prod']'[Absentéisme']Total_jours_absence_après]]</f>
        <v>7808905.4261781573</v>
      </c>
      <c r="BW132" s="4">
        <f>IF(AND(Base[[#This Row],[Pathologie]]&lt;&gt;"Dépendance",Base[[#This Row],[Pathologie]]&lt;&gt;"Mort prématurée",Base[[#This Row],[Pathologie]]&lt;&gt;"Migraine"),0.0619,0)</f>
        <v>6.1899999999999997E-2</v>
      </c>
      <c r="BX132" s="4">
        <v>254</v>
      </c>
      <c r="BY13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2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2" s="4">
        <f>Base[[#This Row],[Prévalence_prod]]*Base[[#This Row],[Présentéisme]]*Base[[#This Row],['[Prod']Jours_ouvrés]]</f>
        <v>5.6349899999999993</v>
      </c>
      <c r="CB132" s="4">
        <f>Base[[#This Row],[Prévalence_prod]]*(1-Base[[#This Row],[Risque]])*Base[[#This Row],[Présentéisme]]*Base[[#This Row],['[Prod']Jours_ouvrés]]</f>
        <v>5.0164511899233108</v>
      </c>
      <c r="CC132" s="4">
        <f>Base[[#This Row],['[Prod']'[Présentéisme']Jours_avant]]-Base[[#This Row],['[Prod']'[Présentéisme']Jours_après]]</f>
        <v>0.61853881007668843</v>
      </c>
      <c r="CD132" s="4">
        <f>Base[[#This Row],['[Prod']'[Présentéisme']Jours_gagnés]]/Base[[#This Row],['[Prod']Jours_ouvrés]]</f>
        <v>2.4351921656562536E-3</v>
      </c>
      <c r="CE132">
        <v>5.8333039429220801E-2</v>
      </c>
      <c r="CF132">
        <v>1.4658164114728258E-2</v>
      </c>
      <c r="CG132" s="4">
        <v>11</v>
      </c>
      <c r="CH132" s="4">
        <v>1.6219398392978641</v>
      </c>
      <c r="CI132" s="4">
        <v>9.628527536862988E-2</v>
      </c>
      <c r="CJ132" s="4">
        <f>IF(Base[[#This Row],[Secteur]]&lt;&gt;"Moyenne",Base[[#This Row],['[Prod']'[Turnover']DMC_initiale]]*(1+Base[[#This Row],['[Prod']'[Turnover']Ecart_accidents]]*Base[[#This Row],['[Prod']Impact_motifs_turnover]]),CJ115*CI115+CJ116*CI116+CJ117*CI117+CJ118*CI118+CJ119*CI119+CJ120*CI120+CJ121*CI121+CJ122*CI122+CJ123*CI123+CJ124*CI124+CJ125*CI125+CJ126*CI126+CJ127*CI127+CJ128*CI128+CJ129*CI129+CJ130*CI130+CJ131*CI131)</f>
        <v>11.261521263835085</v>
      </c>
      <c r="CK132" s="4">
        <f>1/Base[[#This Row],['[Prod']'[Turnover']DMC_initiale]]</f>
        <v>9.0909090909090912E-2</v>
      </c>
      <c r="CL132" s="4">
        <f>1/Base[[#This Row],['[Prod']'[Turnover']DMC_finale]]</f>
        <v>8.8797949812639457E-2</v>
      </c>
    </row>
    <row r="133" spans="2:90" x14ac:dyDescent="0.25">
      <c r="B133" s="4" t="s">
        <v>323</v>
      </c>
      <c r="C133">
        <v>7.5</v>
      </c>
      <c r="D133" t="s">
        <v>84</v>
      </c>
      <c r="E133" t="s">
        <v>9</v>
      </c>
      <c r="F133" s="3">
        <v>0.10976750803048256</v>
      </c>
      <c r="G133" s="3">
        <v>0.14499999999999999</v>
      </c>
      <c r="H133" s="3">
        <v>0.14499999999999999</v>
      </c>
      <c r="I133" s="3">
        <v>0.153</v>
      </c>
      <c r="J133" s="3">
        <v>29.93</v>
      </c>
      <c r="K133" s="3">
        <v>7.0000000000000007E-2</v>
      </c>
      <c r="L133" s="2">
        <f>Base[[#This Row],[Coût]]*Base[[#This Row],[Part_ménages_dépenses_santé]]</f>
        <v>2.0951</v>
      </c>
      <c r="M133" s="2">
        <v>0.82690611956969029</v>
      </c>
      <c r="N133" s="6">
        <v>27700000</v>
      </c>
      <c r="O133" s="7">
        <f>Base[[#This Row],[Coût_salarié]]*10^9*Base[[#This Row],[Risque]]*Base[[#This Row],[Prévalence]]*Base[[#This Row],[Part_coûts_salarié]]/Base[[#This Row],[Population_emploi]]</f>
        <v>0.99545813681589546</v>
      </c>
      <c r="P133">
        <v>50</v>
      </c>
      <c r="Q133">
        <v>50</v>
      </c>
      <c r="R133" s="2">
        <v>9.9999999999999978E-2</v>
      </c>
      <c r="S133" s="2">
        <v>0.33340000000000003</v>
      </c>
      <c r="T133" s="4">
        <v>0.14499999999999999</v>
      </c>
      <c r="U133" s="4">
        <f>IF(Bases_annexes!$F$5=0,16.6587111018772,0.77*Bases_annexes!$F$5/(IF(OR(ISBLANK('Données_d''entrée'!$E$44),'Données_d''entrée'!$E$44=0),35,'Données_d''entrée'!$E$44)*52))</f>
        <v>16.658711101877199</v>
      </c>
      <c r="V133" s="4">
        <v>17.7120401072847</v>
      </c>
      <c r="W1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3" s="4">
        <v>234.5</v>
      </c>
      <c r="Y133" s="4">
        <f>(Base[[#This Row],['[Maladies']Coûts_évités_par_salarié]]+Base[[#This Row],['[Travail']Coûts_évités_par_salarié]])/Base[[#This Row],[Budget_santé_salarié]]</f>
        <v>3.963358337029102E-2</v>
      </c>
      <c r="Z133" s="4">
        <v>0.8</v>
      </c>
      <c r="AA133" s="4">
        <f>Base[[#This Row],[Coût]]*Base[[#This Row],[Part_société_dépenses_santé]]</f>
        <v>23.944000000000003</v>
      </c>
      <c r="AB133" s="4">
        <v>67635124</v>
      </c>
      <c r="AC133" s="4">
        <v>82.297079063317852</v>
      </c>
      <c r="AD133" s="4">
        <v>0.14499999999999999</v>
      </c>
      <c r="AE133" s="4">
        <f>Base[[#This Row],['[SC']Prévalence_travail]]*Base[[#This Row],[Population_emploi]]</f>
        <v>4016499.9999999995</v>
      </c>
      <c r="AF133" s="4">
        <f>Base[[#This Row],[Risque]]*Base[[#This Row],['[SC']Patients_en_emploi]]</f>
        <v>440881.19600443315</v>
      </c>
      <c r="AG133" s="4">
        <v>5730042552.54</v>
      </c>
      <c r="AH133" s="4">
        <f>IFERROR(Base[[#This Row],['[SC']Prestations]]/Base[[#This Row],['[SC']Patients_en_emploi]],0)</f>
        <v>1426.625806682435</v>
      </c>
      <c r="AI133" s="4">
        <v>51.7</v>
      </c>
      <c r="AJ1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3" s="4">
        <f>Base[[#This Row],['[SC']'[Travail']Coûts_évités]]/Base[[#This Row],[Population_emploi]]</f>
        <v>22.706588155268637</v>
      </c>
      <c r="AL133" s="4">
        <f>Base[[#This Row],[Coût_société]]*10^9*Base[[#This Row],[Risque]]*Base[[#This Row],[Prévalence]]*Base[[#This Row],[Part_coûts_salarié]]/Base[[#This Row],[Population_emploi]]</f>
        <v>11.376664420753091</v>
      </c>
      <c r="AM133" s="4">
        <f>IF(Base[[#This Row],[Pathologie]]&lt;&gt;"Dépendance",0,14909.24243952)</f>
        <v>0</v>
      </c>
      <c r="AN133" s="4">
        <f>IF(Base[[#This Row],[Pathologie]]&lt;&gt;"Dépendance",0,1316000)</f>
        <v>0</v>
      </c>
      <c r="AO133" s="4">
        <f>IF(Base[[#This Row],[Pathologie]]&lt;&gt;"Dépendance",0,Base[[#This Row],['[SC']Coût_personne_dépendante]]*Base[[#This Row],['[SC']Nb_personnes_dépendantes]])</f>
        <v>0</v>
      </c>
      <c r="AP133" s="4">
        <f>IF(Base[[#This Row],[Pathologie]]&lt;&gt;"Dépendance",0,Base[[#This Row],['[SC']Coût_total_dépendance]]/Base[[#This Row],[Population_totale]])</f>
        <v>0</v>
      </c>
      <c r="AQ133" s="4">
        <f>IF(Base[[#This Row],[Pathologie]]&lt;&gt;"Dépendance",0,4.5)</f>
        <v>0</v>
      </c>
      <c r="AR133" s="4">
        <v>0.50393265050357905</v>
      </c>
      <c r="AS133" s="4">
        <f>Base[[#This Row],[Espérance_vie]]+Base[[#This Row],['[SC']Hausse_esp_de_vie]]-Base[[#This Row],['[SC']Durée_moyenne_dépendance_avt]]+Base[[#This Row],[Risque]]</f>
        <v>82.910779221851925</v>
      </c>
      <c r="AT1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3" s="4">
        <v>62.9</v>
      </c>
      <c r="AW133" s="4">
        <f t="shared" si="0"/>
        <v>336905600000</v>
      </c>
      <c r="AX133" s="4">
        <v>15049171</v>
      </c>
      <c r="AY133" s="4">
        <f>Base[[#This Row],['[SC']Budget_total_retraites]]/Base[[#This Row],['[SC']Nombre_de_retraités]]</f>
        <v>22386.987296509556</v>
      </c>
      <c r="AZ133" s="4">
        <f>Base[[#This Row],['[SC']Budget_par_retraité]]*Base[[#This Row],['[SC']Nb_personnes_dépendantes]]</f>
        <v>0</v>
      </c>
      <c r="BA133" s="4">
        <f>Base[[#This Row],['[SC']'[Dépendance']Coût_retraite_personnes_dépendantes]]/Base[[#This Row],[Population_totale]]</f>
        <v>0</v>
      </c>
      <c r="BB13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3" s="4">
        <f>Base[[#This Row],['[SC']'[Dépendance']Gains]]-Base[[#This Row],['[SC']'[Dépendance']Coûts]]</f>
        <v>0</v>
      </c>
      <c r="BD133" s="4">
        <f>IF(Base[[#This Row],[Pathologie]]&lt;&gt;"Mort prématurée",0,Base[[#This Row],[Risque]]*Base[[#This Row],[Prévalence]]*Base[[#This Row],[Population_totale]])</f>
        <v>0</v>
      </c>
      <c r="BE133" s="4">
        <v>52.74</v>
      </c>
      <c r="BF133" s="4">
        <f>Base[[#This Row],['[SC']Âge_moyen_retraite]]-Base[[#This Row],['[SC']'[Mort_prématurée']Âge_moyen_mort précoce]]</f>
        <v>10.159999999999997</v>
      </c>
      <c r="BG133" s="4">
        <f>Base[[#This Row],[Espérance_vie]]+Base[[#This Row],['[SC']Hausse_esp_de_vie]]-Base[[#This Row],['[SC']Âge_moyen_retraite]]</f>
        <v>19.90101171382144</v>
      </c>
      <c r="BH133" s="4">
        <v>106583.42676924677</v>
      </c>
      <c r="BI133" s="4">
        <v>97601.789429271477</v>
      </c>
      <c r="BJ133" s="4">
        <v>302038.31496633729</v>
      </c>
      <c r="BK133" s="4">
        <v>117293.58934859755</v>
      </c>
      <c r="BL133" s="4">
        <v>1523999.9999999995</v>
      </c>
      <c r="BM1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3" s="4">
        <v>294804.96027377353</v>
      </c>
      <c r="BO1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3" s="4">
        <f>(Base[[#This Row],['[SC']'[Mort_prématurée']Gains]]-Base[[#This Row],['[SC']'[Mort_prématurée']Coûts]])/Base[[#This Row],[Population_totale]]</f>
        <v>0</v>
      </c>
      <c r="BQ133" s="4">
        <f>IF(Base[[#This Row],[Pathologie]]&lt;&gt;"Mort prématurée",0,Base[[#This Row],[Risque]])</f>
        <v>0</v>
      </c>
      <c r="BR133" s="4">
        <v>2680</v>
      </c>
      <c r="BS1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3" s="4">
        <f>Base[[#This Row],[Prévalence_prod]]*(1-Base[[#This Row],[Risque]])*Base[[#This Row],[Durée_arrêt]]*Base[[#This Row],[Population_emploi]]</f>
        <v>63331503.664730832</v>
      </c>
      <c r="BV133" s="4">
        <f>Base[[#This Row],['[Prod']'[Absentéisme']Total_jours_absence_avant]]-Base[[#This Row],['[Prod']'[Absentéisme']Total_jours_absence_après]]</f>
        <v>7808905.4261781573</v>
      </c>
      <c r="BW133" s="4">
        <f>IF(AND(Base[[#This Row],[Pathologie]]&lt;&gt;"Dépendance",Base[[#This Row],[Pathologie]]&lt;&gt;"Mort prématurée",Base[[#This Row],[Pathologie]]&lt;&gt;"Migraine"),0.0619,0)</f>
        <v>6.1899999999999997E-2</v>
      </c>
      <c r="BX133" s="4">
        <v>254</v>
      </c>
      <c r="BY133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3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3" s="4">
        <f>Base[[#This Row],[Prévalence_prod]]*Base[[#This Row],[Présentéisme]]*Base[[#This Row],['[Prod']Jours_ouvrés]]</f>
        <v>5.6349899999999993</v>
      </c>
      <c r="CB133" s="4">
        <f>Base[[#This Row],[Prévalence_prod]]*(1-Base[[#This Row],[Risque]])*Base[[#This Row],[Présentéisme]]*Base[[#This Row],['[Prod']Jours_ouvrés]]</f>
        <v>5.0164511899233108</v>
      </c>
      <c r="CC133" s="4">
        <f>Base[[#This Row],['[Prod']'[Présentéisme']Jours_avant]]-Base[[#This Row],['[Prod']'[Présentéisme']Jours_après]]</f>
        <v>0.61853881007668843</v>
      </c>
      <c r="CD133" s="4">
        <f>Base[[#This Row],['[Prod']'[Présentéisme']Jours_gagnés]]/Base[[#This Row],['[Prod']Jours_ouvrés]]</f>
        <v>2.4351921656562536E-3</v>
      </c>
      <c r="CE133">
        <v>5.8333039429220801E-2</v>
      </c>
      <c r="CF133">
        <v>1.4658164114728258E-2</v>
      </c>
      <c r="CG133" s="4">
        <v>11</v>
      </c>
      <c r="CH133" s="4">
        <v>0.96913802401210614</v>
      </c>
      <c r="CI133" s="4">
        <v>0.10293966445307301</v>
      </c>
      <c r="CJ133" s="4">
        <f>IF(Base[[#This Row],[Secteur]]&lt;&gt;"Moyenne",Base[[#This Row],['[Prod']'[Turnover']DMC_initiale]]*(1+Base[[#This Row],['[Prod']'[Turnover']Ecart_accidents]]*Base[[#This Row],['[Prod']Impact_motifs_turnover]]),CJ116*CI116+CJ117*CI117+CJ118*CI118+CJ119*CI119+CJ120*CI120+CJ121*CI121+CJ122*CI122+CJ123*CI123+CJ124*CI124+CJ125*CI125+CJ126*CI126+CJ127*CI127+CJ128*CI128+CJ129*CI129+CJ130*CI130+CJ131*CI131+CJ132*CI132)</f>
        <v>11.156263626263723</v>
      </c>
      <c r="CK133" s="4">
        <f>1/Base[[#This Row],['[Prod']'[Turnover']DMC_initiale]]</f>
        <v>9.0909090909090912E-2</v>
      </c>
      <c r="CL133" s="4">
        <f>1/Base[[#This Row],['[Prod']'[Turnover']DMC_finale]]</f>
        <v>8.9635744860477456E-2</v>
      </c>
    </row>
    <row r="134" spans="2:90" x14ac:dyDescent="0.25">
      <c r="B134" s="4" t="s">
        <v>324</v>
      </c>
      <c r="C134">
        <v>7.5</v>
      </c>
      <c r="D134" t="s">
        <v>84</v>
      </c>
      <c r="E134" t="s">
        <v>9</v>
      </c>
      <c r="F134" s="3">
        <v>0.10976750803048256</v>
      </c>
      <c r="G134" s="3">
        <v>0.14499999999999999</v>
      </c>
      <c r="H134" s="3">
        <v>0.14499999999999999</v>
      </c>
      <c r="I134" s="3">
        <v>0.153</v>
      </c>
      <c r="J134" s="3">
        <v>29.93</v>
      </c>
      <c r="K134" s="3">
        <v>7.0000000000000007E-2</v>
      </c>
      <c r="L134" s="2">
        <f>Base[[#This Row],[Coût]]*Base[[#This Row],[Part_ménages_dépenses_santé]]</f>
        <v>2.0951</v>
      </c>
      <c r="M134" s="2">
        <v>0.82690611956969029</v>
      </c>
      <c r="N134" s="6">
        <v>27700000</v>
      </c>
      <c r="O134" s="7">
        <f>Base[[#This Row],[Coût_salarié]]*10^9*Base[[#This Row],[Risque]]*Base[[#This Row],[Prévalence]]*Base[[#This Row],[Part_coûts_salarié]]/Base[[#This Row],[Population_emploi]]</f>
        <v>0.99545813681589546</v>
      </c>
      <c r="P134">
        <v>50</v>
      </c>
      <c r="Q134">
        <v>50</v>
      </c>
      <c r="R134" s="2">
        <v>9.9999999999999978E-2</v>
      </c>
      <c r="S134" s="2">
        <v>0.33340000000000003</v>
      </c>
      <c r="T134" s="4">
        <v>0.14499999999999999</v>
      </c>
      <c r="U134" s="4">
        <f>IF(Bases_annexes!$F$5=0,16.6587111018772,0.77*Bases_annexes!$F$5/(IF(OR(ISBLANK('Données_d''entrée'!$E$44),'Données_d''entrée'!$E$44=0),35,'Données_d''entrée'!$E$44)*52))</f>
        <v>16.658711101877199</v>
      </c>
      <c r="V134" s="4">
        <v>17.7120401072847</v>
      </c>
      <c r="W1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4" s="4">
        <v>234.5</v>
      </c>
      <c r="Y134" s="4">
        <f>(Base[[#This Row],['[Maladies']Coûts_évités_par_salarié]]+Base[[#This Row],['[Travail']Coûts_évités_par_salarié]])/Base[[#This Row],[Budget_santé_salarié]]</f>
        <v>3.963358337029102E-2</v>
      </c>
      <c r="Z134" s="4">
        <v>0.8</v>
      </c>
      <c r="AA134" s="4">
        <f>Base[[#This Row],[Coût]]*Base[[#This Row],[Part_société_dépenses_santé]]</f>
        <v>23.944000000000003</v>
      </c>
      <c r="AB134" s="4">
        <v>67635124</v>
      </c>
      <c r="AC134" s="4">
        <v>82.297079063317852</v>
      </c>
      <c r="AD134" s="4">
        <v>0.14499999999999999</v>
      </c>
      <c r="AE134" s="4">
        <f>Base[[#This Row],['[SC']Prévalence_travail]]*Base[[#This Row],[Population_emploi]]</f>
        <v>4016499.9999999995</v>
      </c>
      <c r="AF134" s="4">
        <f>Base[[#This Row],[Risque]]*Base[[#This Row],['[SC']Patients_en_emploi]]</f>
        <v>440881.19600443315</v>
      </c>
      <c r="AG134" s="4">
        <v>5730042552.54</v>
      </c>
      <c r="AH134" s="4">
        <f>IFERROR(Base[[#This Row],['[SC']Prestations]]/Base[[#This Row],['[SC']Patients_en_emploi]],0)</f>
        <v>1426.625806682435</v>
      </c>
      <c r="AI134" s="4">
        <v>51.7</v>
      </c>
      <c r="AJ1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4" s="4">
        <f>Base[[#This Row],['[SC']'[Travail']Coûts_évités]]/Base[[#This Row],[Population_emploi]]</f>
        <v>22.706588155268637</v>
      </c>
      <c r="AL134" s="4">
        <f>Base[[#This Row],[Coût_société]]*10^9*Base[[#This Row],[Risque]]*Base[[#This Row],[Prévalence]]*Base[[#This Row],[Part_coûts_salarié]]/Base[[#This Row],[Population_emploi]]</f>
        <v>11.376664420753091</v>
      </c>
      <c r="AM134" s="4">
        <f>IF(Base[[#This Row],[Pathologie]]&lt;&gt;"Dépendance",0,14909.24243952)</f>
        <v>0</v>
      </c>
      <c r="AN134" s="4">
        <f>IF(Base[[#This Row],[Pathologie]]&lt;&gt;"Dépendance",0,1316000)</f>
        <v>0</v>
      </c>
      <c r="AO134" s="4">
        <f>IF(Base[[#This Row],[Pathologie]]&lt;&gt;"Dépendance",0,Base[[#This Row],['[SC']Coût_personne_dépendante]]*Base[[#This Row],['[SC']Nb_personnes_dépendantes]])</f>
        <v>0</v>
      </c>
      <c r="AP134" s="4">
        <f>IF(Base[[#This Row],[Pathologie]]&lt;&gt;"Dépendance",0,Base[[#This Row],['[SC']Coût_total_dépendance]]/Base[[#This Row],[Population_totale]])</f>
        <v>0</v>
      </c>
      <c r="AQ134" s="4">
        <f>IF(Base[[#This Row],[Pathologie]]&lt;&gt;"Dépendance",0,4.5)</f>
        <v>0</v>
      </c>
      <c r="AR134" s="4">
        <v>0.50393265050357905</v>
      </c>
      <c r="AS134" s="4">
        <f>Base[[#This Row],[Espérance_vie]]+Base[[#This Row],['[SC']Hausse_esp_de_vie]]-Base[[#This Row],['[SC']Durée_moyenne_dépendance_avt]]+Base[[#This Row],[Risque]]</f>
        <v>82.910779221851925</v>
      </c>
      <c r="AT1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4" s="4">
        <v>62.9</v>
      </c>
      <c r="AW134" s="4">
        <f t="shared" si="0"/>
        <v>336905600000</v>
      </c>
      <c r="AX134" s="4">
        <v>15049171</v>
      </c>
      <c r="AY134" s="4">
        <f>Base[[#This Row],['[SC']Budget_total_retraites]]/Base[[#This Row],['[SC']Nombre_de_retraités]]</f>
        <v>22386.987296509556</v>
      </c>
      <c r="AZ134" s="4">
        <f>Base[[#This Row],['[SC']Budget_par_retraité]]*Base[[#This Row],['[SC']Nb_personnes_dépendantes]]</f>
        <v>0</v>
      </c>
      <c r="BA134" s="4">
        <f>Base[[#This Row],['[SC']'[Dépendance']Coût_retraite_personnes_dépendantes]]/Base[[#This Row],[Population_totale]]</f>
        <v>0</v>
      </c>
      <c r="BB13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4" s="4">
        <f>Base[[#This Row],['[SC']'[Dépendance']Gains]]-Base[[#This Row],['[SC']'[Dépendance']Coûts]]</f>
        <v>0</v>
      </c>
      <c r="BD134" s="4">
        <f>IF(Base[[#This Row],[Pathologie]]&lt;&gt;"Mort prématurée",0,Base[[#This Row],[Risque]]*Base[[#This Row],[Prévalence]]*Base[[#This Row],[Population_totale]])</f>
        <v>0</v>
      </c>
      <c r="BE134" s="4">
        <v>52.74</v>
      </c>
      <c r="BF134" s="4">
        <f>Base[[#This Row],['[SC']Âge_moyen_retraite]]-Base[[#This Row],['[SC']'[Mort_prématurée']Âge_moyen_mort précoce]]</f>
        <v>10.159999999999997</v>
      </c>
      <c r="BG134" s="4">
        <f>Base[[#This Row],[Espérance_vie]]+Base[[#This Row],['[SC']Hausse_esp_de_vie]]-Base[[#This Row],['[SC']Âge_moyen_retraite]]</f>
        <v>19.90101171382144</v>
      </c>
      <c r="BH134" s="4">
        <v>106583.42676924677</v>
      </c>
      <c r="BI134" s="4">
        <v>97601.789429271477</v>
      </c>
      <c r="BJ134" s="4">
        <v>302038.31496633729</v>
      </c>
      <c r="BK134" s="4">
        <v>117293.58934859755</v>
      </c>
      <c r="BL134" s="4">
        <v>1523999.9999999995</v>
      </c>
      <c r="BM1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4" s="4">
        <v>294804.96027377353</v>
      </c>
      <c r="BO1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4" s="4">
        <f>(Base[[#This Row],['[SC']'[Mort_prématurée']Gains]]-Base[[#This Row],['[SC']'[Mort_prématurée']Coûts]])/Base[[#This Row],[Population_totale]]</f>
        <v>0</v>
      </c>
      <c r="BQ134" s="4">
        <f>IF(Base[[#This Row],[Pathologie]]&lt;&gt;"Mort prématurée",0,Base[[#This Row],[Risque]])</f>
        <v>0</v>
      </c>
      <c r="BR134" s="4">
        <v>2680</v>
      </c>
      <c r="BS1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4" s="4">
        <f>Base[[#This Row],[Prévalence_prod]]*(1-Base[[#This Row],[Risque]])*Base[[#This Row],[Durée_arrêt]]*Base[[#This Row],[Population_emploi]]</f>
        <v>63331503.664730832</v>
      </c>
      <c r="BV134" s="4">
        <f>Base[[#This Row],['[Prod']'[Absentéisme']Total_jours_absence_avant]]-Base[[#This Row],['[Prod']'[Absentéisme']Total_jours_absence_après]]</f>
        <v>7808905.4261781573</v>
      </c>
      <c r="BW134" s="4">
        <f>IF(AND(Base[[#This Row],[Pathologie]]&lt;&gt;"Dépendance",Base[[#This Row],[Pathologie]]&lt;&gt;"Mort prématurée",Base[[#This Row],[Pathologie]]&lt;&gt;"Migraine"),0.0619,0)</f>
        <v>6.1899999999999997E-2</v>
      </c>
      <c r="BX134" s="4">
        <v>254</v>
      </c>
      <c r="BY134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4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4" s="4">
        <f>Base[[#This Row],[Prévalence_prod]]*Base[[#This Row],[Présentéisme]]*Base[[#This Row],['[Prod']Jours_ouvrés]]</f>
        <v>5.6349899999999993</v>
      </c>
      <c r="CB134" s="4">
        <f>Base[[#This Row],[Prévalence_prod]]*(1-Base[[#This Row],[Risque]])*Base[[#This Row],[Présentéisme]]*Base[[#This Row],['[Prod']Jours_ouvrés]]</f>
        <v>5.0164511899233108</v>
      </c>
      <c r="CC134" s="4">
        <f>Base[[#This Row],['[Prod']'[Présentéisme']Jours_avant]]-Base[[#This Row],['[Prod']'[Présentéisme']Jours_après]]</f>
        <v>0.61853881007668843</v>
      </c>
      <c r="CD134" s="4">
        <f>Base[[#This Row],['[Prod']'[Présentéisme']Jours_gagnés]]/Base[[#This Row],['[Prod']Jours_ouvrés]]</f>
        <v>2.4351921656562536E-3</v>
      </c>
      <c r="CE134">
        <v>5.8333039429220801E-2</v>
      </c>
      <c r="CF134">
        <v>1.4658164114728258E-2</v>
      </c>
      <c r="CG134" s="4">
        <v>11</v>
      </c>
      <c r="CH134" s="4">
        <v>1.3987208237662601</v>
      </c>
      <c r="CI134" s="4">
        <v>2.1768516166491274E-2</v>
      </c>
      <c r="CJ134" s="4">
        <f>IF(Base[[#This Row],[Secteur]]&lt;&gt;"Moyenne",Base[[#This Row],['[Prod']'[Turnover']DMC_initiale]]*(1+Base[[#This Row],['[Prod']'[Turnover']Ecart_accidents]]*Base[[#This Row],['[Prod']Impact_motifs_turnover]]),CJ117*CI117+CJ118*CI118+CJ119*CI119+CJ120*CI120+CJ121*CI121+CJ122*CI122+CJ123*CI123+CJ124*CI124+CJ125*CI125+CJ126*CI126+CJ127*CI127+CJ128*CI128+CJ129*CI129+CJ130*CI130+CJ131*CI131+CJ132*CI132+CJ133*CI133)</f>
        <v>11.225529473239991</v>
      </c>
      <c r="CK134" s="4">
        <f>1/Base[[#This Row],['[Prod']'[Turnover']DMC_initiale]]</f>
        <v>9.0909090909090912E-2</v>
      </c>
      <c r="CL134" s="4">
        <f>1/Base[[#This Row],['[Prod']'[Turnover']DMC_finale]]</f>
        <v>8.9082657738670828E-2</v>
      </c>
    </row>
    <row r="135" spans="2:90" x14ac:dyDescent="0.25">
      <c r="B135" s="4" t="s">
        <v>325</v>
      </c>
      <c r="C135">
        <v>7.5</v>
      </c>
      <c r="D135" t="s">
        <v>84</v>
      </c>
      <c r="E135" t="s">
        <v>9</v>
      </c>
      <c r="F135" s="3">
        <v>0.10976750803048256</v>
      </c>
      <c r="G135" s="3">
        <v>0.14499999999999999</v>
      </c>
      <c r="H135" s="3">
        <v>0.14499999999999999</v>
      </c>
      <c r="I135" s="3">
        <v>0.153</v>
      </c>
      <c r="J135" s="3">
        <v>29.93</v>
      </c>
      <c r="K135" s="3">
        <v>7.0000000000000007E-2</v>
      </c>
      <c r="L135" s="2">
        <f>Base[[#This Row],[Coût]]*Base[[#This Row],[Part_ménages_dépenses_santé]]</f>
        <v>2.0951</v>
      </c>
      <c r="M135" s="2">
        <v>0.82690611956969029</v>
      </c>
      <c r="N135" s="6">
        <v>27700000</v>
      </c>
      <c r="O135" s="7">
        <f>Base[[#This Row],[Coût_salarié]]*10^9*Base[[#This Row],[Risque]]*Base[[#This Row],[Prévalence]]*Base[[#This Row],[Part_coûts_salarié]]/Base[[#This Row],[Population_emploi]]</f>
        <v>0.99545813681589546</v>
      </c>
      <c r="P135">
        <v>50</v>
      </c>
      <c r="Q135">
        <v>50</v>
      </c>
      <c r="R135" s="2">
        <v>9.9999999999999978E-2</v>
      </c>
      <c r="S135" s="2">
        <v>0.33340000000000003</v>
      </c>
      <c r="T135" s="4">
        <v>0.14499999999999999</v>
      </c>
      <c r="U135" s="4">
        <f>IF(Bases_annexes!$F$5=0,16.6587111018772,0.77*Bases_annexes!$F$5/(IF(OR(ISBLANK('Données_d''entrée'!$E$44),'Données_d''entrée'!$E$44=0),35,'Données_d''entrée'!$E$44)*52))</f>
        <v>16.658711101877199</v>
      </c>
      <c r="V135" s="4">
        <v>17.7120401072847</v>
      </c>
      <c r="W1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5" s="4">
        <v>234.5</v>
      </c>
      <c r="Y135" s="4">
        <f>(Base[[#This Row],['[Maladies']Coûts_évités_par_salarié]]+Base[[#This Row],['[Travail']Coûts_évités_par_salarié]])/Base[[#This Row],[Budget_santé_salarié]]</f>
        <v>3.963358337029102E-2</v>
      </c>
      <c r="Z135" s="4">
        <v>0.8</v>
      </c>
      <c r="AA135" s="4">
        <f>Base[[#This Row],[Coût]]*Base[[#This Row],[Part_société_dépenses_santé]]</f>
        <v>23.944000000000003</v>
      </c>
      <c r="AB135" s="4">
        <v>67635124</v>
      </c>
      <c r="AC135" s="4">
        <v>82.297079063317852</v>
      </c>
      <c r="AD135" s="4">
        <v>0.14499999999999999</v>
      </c>
      <c r="AE135" s="4">
        <f>Base[[#This Row],['[SC']Prévalence_travail]]*Base[[#This Row],[Population_emploi]]</f>
        <v>4016499.9999999995</v>
      </c>
      <c r="AF135" s="4">
        <f>Base[[#This Row],[Risque]]*Base[[#This Row],['[SC']Patients_en_emploi]]</f>
        <v>440881.19600443315</v>
      </c>
      <c r="AG135" s="4">
        <v>5730042552.54</v>
      </c>
      <c r="AH135" s="4">
        <f>IFERROR(Base[[#This Row],['[SC']Prestations]]/Base[[#This Row],['[SC']Patients_en_emploi]],0)</f>
        <v>1426.625806682435</v>
      </c>
      <c r="AI135" s="4">
        <v>51.7</v>
      </c>
      <c r="AJ1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5" s="4">
        <f>Base[[#This Row],['[SC']'[Travail']Coûts_évités]]/Base[[#This Row],[Population_emploi]]</f>
        <v>22.706588155268637</v>
      </c>
      <c r="AL135" s="4">
        <f>Base[[#This Row],[Coût_société]]*10^9*Base[[#This Row],[Risque]]*Base[[#This Row],[Prévalence]]*Base[[#This Row],[Part_coûts_salarié]]/Base[[#This Row],[Population_emploi]]</f>
        <v>11.376664420753091</v>
      </c>
      <c r="AM135" s="4">
        <f>IF(Base[[#This Row],[Pathologie]]&lt;&gt;"Dépendance",0,14909.24243952)</f>
        <v>0</v>
      </c>
      <c r="AN135" s="4">
        <f>IF(Base[[#This Row],[Pathologie]]&lt;&gt;"Dépendance",0,1316000)</f>
        <v>0</v>
      </c>
      <c r="AO135" s="4">
        <f>IF(Base[[#This Row],[Pathologie]]&lt;&gt;"Dépendance",0,Base[[#This Row],['[SC']Coût_personne_dépendante]]*Base[[#This Row],['[SC']Nb_personnes_dépendantes]])</f>
        <v>0</v>
      </c>
      <c r="AP135" s="4">
        <f>IF(Base[[#This Row],[Pathologie]]&lt;&gt;"Dépendance",0,Base[[#This Row],['[SC']Coût_total_dépendance]]/Base[[#This Row],[Population_totale]])</f>
        <v>0</v>
      </c>
      <c r="AQ135" s="4">
        <f>IF(Base[[#This Row],[Pathologie]]&lt;&gt;"Dépendance",0,4.5)</f>
        <v>0</v>
      </c>
      <c r="AR135" s="4">
        <v>0.50393265050357905</v>
      </c>
      <c r="AS135" s="4">
        <f>Base[[#This Row],[Espérance_vie]]+Base[[#This Row],['[SC']Hausse_esp_de_vie]]-Base[[#This Row],['[SC']Durée_moyenne_dépendance_avt]]+Base[[#This Row],[Risque]]</f>
        <v>82.910779221851925</v>
      </c>
      <c r="AT1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5" s="4">
        <v>62.9</v>
      </c>
      <c r="AW135" s="4">
        <f t="shared" si="0"/>
        <v>336905600000</v>
      </c>
      <c r="AX135" s="4">
        <v>15049171</v>
      </c>
      <c r="AY135" s="4">
        <f>Base[[#This Row],['[SC']Budget_total_retraites]]/Base[[#This Row],['[SC']Nombre_de_retraités]]</f>
        <v>22386.987296509556</v>
      </c>
      <c r="AZ135" s="4">
        <f>Base[[#This Row],['[SC']Budget_par_retraité]]*Base[[#This Row],['[SC']Nb_personnes_dépendantes]]</f>
        <v>0</v>
      </c>
      <c r="BA135" s="4">
        <f>Base[[#This Row],['[SC']'[Dépendance']Coût_retraite_personnes_dépendantes]]/Base[[#This Row],[Population_totale]]</f>
        <v>0</v>
      </c>
      <c r="BB1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5" s="4">
        <f>Base[[#This Row],['[SC']'[Dépendance']Gains]]-Base[[#This Row],['[SC']'[Dépendance']Coûts]]</f>
        <v>0</v>
      </c>
      <c r="BD135" s="4">
        <f>IF(Base[[#This Row],[Pathologie]]&lt;&gt;"Mort prématurée",0,Base[[#This Row],[Risque]]*Base[[#This Row],[Prévalence]]*Base[[#This Row],[Population_totale]])</f>
        <v>0</v>
      </c>
      <c r="BE135" s="4">
        <v>52.74</v>
      </c>
      <c r="BF135" s="4">
        <f>Base[[#This Row],['[SC']Âge_moyen_retraite]]-Base[[#This Row],['[SC']'[Mort_prématurée']Âge_moyen_mort précoce]]</f>
        <v>10.159999999999997</v>
      </c>
      <c r="BG135" s="4">
        <f>Base[[#This Row],[Espérance_vie]]+Base[[#This Row],['[SC']Hausse_esp_de_vie]]-Base[[#This Row],['[SC']Âge_moyen_retraite]]</f>
        <v>19.90101171382144</v>
      </c>
      <c r="BH135" s="4">
        <v>106583.42676924677</v>
      </c>
      <c r="BI135" s="4">
        <v>97601.789429271477</v>
      </c>
      <c r="BJ135" s="4">
        <v>302038.31496633729</v>
      </c>
      <c r="BK135" s="4">
        <v>117293.58934859755</v>
      </c>
      <c r="BL135" s="4">
        <v>1523999.9999999995</v>
      </c>
      <c r="BM1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5" s="4">
        <v>294804.96027377353</v>
      </c>
      <c r="BO1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5" s="4">
        <f>(Base[[#This Row],['[SC']'[Mort_prématurée']Gains]]-Base[[#This Row],['[SC']'[Mort_prématurée']Coûts]])/Base[[#This Row],[Population_totale]]</f>
        <v>0</v>
      </c>
      <c r="BQ135" s="4">
        <f>IF(Base[[#This Row],[Pathologie]]&lt;&gt;"Mort prématurée",0,Base[[#This Row],[Risque]])</f>
        <v>0</v>
      </c>
      <c r="BR135" s="4">
        <v>2680</v>
      </c>
      <c r="BS1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5" s="4">
        <f>Base[[#This Row],[Prévalence_prod]]*(1-Base[[#This Row],[Risque]])*Base[[#This Row],[Durée_arrêt]]*Base[[#This Row],[Population_emploi]]</f>
        <v>63331503.664730832</v>
      </c>
      <c r="BV135" s="4">
        <f>Base[[#This Row],['[Prod']'[Absentéisme']Total_jours_absence_avant]]-Base[[#This Row],['[Prod']'[Absentéisme']Total_jours_absence_après]]</f>
        <v>7808905.4261781573</v>
      </c>
      <c r="BW135" s="4">
        <f>IF(AND(Base[[#This Row],[Pathologie]]&lt;&gt;"Dépendance",Base[[#This Row],[Pathologie]]&lt;&gt;"Mort prématurée",Base[[#This Row],[Pathologie]]&lt;&gt;"Migraine"),0.0619,0)</f>
        <v>6.1899999999999997E-2</v>
      </c>
      <c r="BX135" s="4">
        <v>254</v>
      </c>
      <c r="BY135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5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5" s="4">
        <f>Base[[#This Row],[Prévalence_prod]]*Base[[#This Row],[Présentéisme]]*Base[[#This Row],['[Prod']Jours_ouvrés]]</f>
        <v>5.6349899999999993</v>
      </c>
      <c r="CB135" s="4">
        <f>Base[[#This Row],[Prévalence_prod]]*(1-Base[[#This Row],[Risque]])*Base[[#This Row],[Présentéisme]]*Base[[#This Row],['[Prod']Jours_ouvrés]]</f>
        <v>5.0164511899233108</v>
      </c>
      <c r="CC135" s="4">
        <f>Base[[#This Row],['[Prod']'[Présentéisme']Jours_avant]]-Base[[#This Row],['[Prod']'[Présentéisme']Jours_après]]</f>
        <v>0.61853881007668843</v>
      </c>
      <c r="CD135" s="4">
        <f>Base[[#This Row],['[Prod']'[Présentéisme']Jours_gagnés]]/Base[[#This Row],['[Prod']Jours_ouvrés]]</f>
        <v>2.4351921656562536E-3</v>
      </c>
      <c r="CE135">
        <v>5.8333039429220801E-2</v>
      </c>
      <c r="CF135">
        <v>1.4658164114728258E-2</v>
      </c>
      <c r="CG135" s="4">
        <v>11</v>
      </c>
      <c r="CH135" s="4">
        <v>1.1624525375985588</v>
      </c>
      <c r="CI135" s="4">
        <v>3.7953151649308701E-2</v>
      </c>
      <c r="CJ135" s="4">
        <f>IF(Base[[#This Row],[Secteur]]&lt;&gt;"Moyenne",Base[[#This Row],['[Prod']'[Turnover']DMC_initiale]]*(1+Base[[#This Row],['[Prod']'[Turnover']Ecart_accidents]]*Base[[#This Row],['[Prod']Impact_motifs_turnover]]),CJ118*CI118+CJ119*CI119+CJ120*CI120+CJ121*CI121+CJ122*CI122+CJ123*CI123+CJ124*CI124+CJ125*CI125+CJ126*CI126+CJ127*CI127+CJ128*CI128+CJ129*CI129+CJ130*CI130+CJ131*CI131+CJ132*CI132+CJ133*CI133+CJ134*CI134)</f>
        <v>11.18743362078872</v>
      </c>
      <c r="CK135" s="4">
        <f>1/Base[[#This Row],['[Prod']'[Turnover']DMC_initiale]]</f>
        <v>9.0909090909090912E-2</v>
      </c>
      <c r="CL135" s="4">
        <f>1/Base[[#This Row],['[Prod']'[Turnover']DMC_finale]]</f>
        <v>8.9386005217655939E-2</v>
      </c>
    </row>
    <row r="136" spans="2:90" x14ac:dyDescent="0.25">
      <c r="B136" s="4" t="s">
        <v>326</v>
      </c>
      <c r="C136">
        <v>7.5</v>
      </c>
      <c r="D136" t="s">
        <v>84</v>
      </c>
      <c r="E136" t="s">
        <v>9</v>
      </c>
      <c r="F136" s="3">
        <v>0.10976750803048256</v>
      </c>
      <c r="G136" s="3">
        <v>0.14499999999999999</v>
      </c>
      <c r="H136" s="3">
        <v>0.14499999999999999</v>
      </c>
      <c r="I136" s="3">
        <v>0.153</v>
      </c>
      <c r="J136" s="3">
        <v>29.93</v>
      </c>
      <c r="K136" s="3">
        <v>7.0000000000000007E-2</v>
      </c>
      <c r="L136" s="2">
        <f>Base[[#This Row],[Coût]]*Base[[#This Row],[Part_ménages_dépenses_santé]]</f>
        <v>2.0951</v>
      </c>
      <c r="M136" s="2">
        <v>0.82690611956969029</v>
      </c>
      <c r="N136" s="6">
        <v>27700000</v>
      </c>
      <c r="O136" s="7">
        <f>Base[[#This Row],[Coût_salarié]]*10^9*Base[[#This Row],[Risque]]*Base[[#This Row],[Prévalence]]*Base[[#This Row],[Part_coûts_salarié]]/Base[[#This Row],[Population_emploi]]</f>
        <v>0.99545813681589546</v>
      </c>
      <c r="P136">
        <v>50</v>
      </c>
      <c r="Q136">
        <v>50</v>
      </c>
      <c r="R136" s="2">
        <v>9.9999999999999978E-2</v>
      </c>
      <c r="S136" s="2">
        <v>0.33340000000000003</v>
      </c>
      <c r="T136" s="4">
        <v>0.14499999999999999</v>
      </c>
      <c r="U136" s="4">
        <f>IF(Bases_annexes!$F$5=0,16.6587111018772,0.77*Bases_annexes!$F$5/(IF(OR(ISBLANK('Données_d''entrée'!$E$44),'Données_d''entrée'!$E$44=0),35,'Données_d''entrée'!$E$44)*52))</f>
        <v>16.658711101877199</v>
      </c>
      <c r="V136" s="4">
        <v>17.7120401072847</v>
      </c>
      <c r="W1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6" s="4">
        <v>234.5</v>
      </c>
      <c r="Y136" s="4">
        <f>(Base[[#This Row],['[Maladies']Coûts_évités_par_salarié]]+Base[[#This Row],['[Travail']Coûts_évités_par_salarié]])/Base[[#This Row],[Budget_santé_salarié]]</f>
        <v>3.963358337029102E-2</v>
      </c>
      <c r="Z136" s="4">
        <v>0.8</v>
      </c>
      <c r="AA136" s="4">
        <f>Base[[#This Row],[Coût]]*Base[[#This Row],[Part_société_dépenses_santé]]</f>
        <v>23.944000000000003</v>
      </c>
      <c r="AB136" s="4">
        <v>67635124</v>
      </c>
      <c r="AC136" s="4">
        <v>82.297079063317852</v>
      </c>
      <c r="AD136" s="4">
        <v>0.14499999999999999</v>
      </c>
      <c r="AE136" s="4">
        <f>Base[[#This Row],['[SC']Prévalence_travail]]*Base[[#This Row],[Population_emploi]]</f>
        <v>4016499.9999999995</v>
      </c>
      <c r="AF136" s="4">
        <f>Base[[#This Row],[Risque]]*Base[[#This Row],['[SC']Patients_en_emploi]]</f>
        <v>440881.19600443315</v>
      </c>
      <c r="AG136" s="4">
        <v>5730042552.54</v>
      </c>
      <c r="AH136" s="4">
        <f>IFERROR(Base[[#This Row],['[SC']Prestations]]/Base[[#This Row],['[SC']Patients_en_emploi]],0)</f>
        <v>1426.625806682435</v>
      </c>
      <c r="AI136" s="4">
        <v>51.7</v>
      </c>
      <c r="AJ1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6" s="4">
        <f>Base[[#This Row],['[SC']'[Travail']Coûts_évités]]/Base[[#This Row],[Population_emploi]]</f>
        <v>22.706588155268637</v>
      </c>
      <c r="AL136" s="4">
        <f>Base[[#This Row],[Coût_société]]*10^9*Base[[#This Row],[Risque]]*Base[[#This Row],[Prévalence]]*Base[[#This Row],[Part_coûts_salarié]]/Base[[#This Row],[Population_emploi]]</f>
        <v>11.376664420753091</v>
      </c>
      <c r="AM136" s="4">
        <f>IF(Base[[#This Row],[Pathologie]]&lt;&gt;"Dépendance",0,14909.24243952)</f>
        <v>0</v>
      </c>
      <c r="AN136" s="4">
        <f>IF(Base[[#This Row],[Pathologie]]&lt;&gt;"Dépendance",0,1316000)</f>
        <v>0</v>
      </c>
      <c r="AO136" s="4">
        <f>IF(Base[[#This Row],[Pathologie]]&lt;&gt;"Dépendance",0,Base[[#This Row],['[SC']Coût_personne_dépendante]]*Base[[#This Row],['[SC']Nb_personnes_dépendantes]])</f>
        <v>0</v>
      </c>
      <c r="AP136" s="4">
        <f>IF(Base[[#This Row],[Pathologie]]&lt;&gt;"Dépendance",0,Base[[#This Row],['[SC']Coût_total_dépendance]]/Base[[#This Row],[Population_totale]])</f>
        <v>0</v>
      </c>
      <c r="AQ136" s="4">
        <f>IF(Base[[#This Row],[Pathologie]]&lt;&gt;"Dépendance",0,4.5)</f>
        <v>0</v>
      </c>
      <c r="AR136" s="4">
        <v>0.50393265050357905</v>
      </c>
      <c r="AS136" s="4">
        <f>Base[[#This Row],[Espérance_vie]]+Base[[#This Row],['[SC']Hausse_esp_de_vie]]-Base[[#This Row],['[SC']Durée_moyenne_dépendance_avt]]+Base[[#This Row],[Risque]]</f>
        <v>82.910779221851925</v>
      </c>
      <c r="AT1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6" s="4">
        <v>62.9</v>
      </c>
      <c r="AW136" s="4">
        <f t="shared" si="0"/>
        <v>336905600000</v>
      </c>
      <c r="AX136" s="4">
        <v>15049171</v>
      </c>
      <c r="AY136" s="4">
        <f>Base[[#This Row],['[SC']Budget_total_retraites]]/Base[[#This Row],['[SC']Nombre_de_retraités]]</f>
        <v>22386.987296509556</v>
      </c>
      <c r="AZ136" s="4">
        <f>Base[[#This Row],['[SC']Budget_par_retraité]]*Base[[#This Row],['[SC']Nb_personnes_dépendantes]]</f>
        <v>0</v>
      </c>
      <c r="BA136" s="4">
        <f>Base[[#This Row],['[SC']'[Dépendance']Coût_retraite_personnes_dépendantes]]/Base[[#This Row],[Population_totale]]</f>
        <v>0</v>
      </c>
      <c r="BB1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6" s="4">
        <f>Base[[#This Row],['[SC']'[Dépendance']Gains]]-Base[[#This Row],['[SC']'[Dépendance']Coûts]]</f>
        <v>0</v>
      </c>
      <c r="BD136" s="4">
        <f>IF(Base[[#This Row],[Pathologie]]&lt;&gt;"Mort prématurée",0,Base[[#This Row],[Risque]]*Base[[#This Row],[Prévalence]]*Base[[#This Row],[Population_totale]])</f>
        <v>0</v>
      </c>
      <c r="BE136" s="4">
        <v>52.74</v>
      </c>
      <c r="BF136" s="4">
        <f>Base[[#This Row],['[SC']Âge_moyen_retraite]]-Base[[#This Row],['[SC']'[Mort_prématurée']Âge_moyen_mort précoce]]</f>
        <v>10.159999999999997</v>
      </c>
      <c r="BG136" s="4">
        <f>Base[[#This Row],[Espérance_vie]]+Base[[#This Row],['[SC']Hausse_esp_de_vie]]-Base[[#This Row],['[SC']Âge_moyen_retraite]]</f>
        <v>19.90101171382144</v>
      </c>
      <c r="BH136" s="4">
        <v>106583.42676924677</v>
      </c>
      <c r="BI136" s="4">
        <v>97601.789429271477</v>
      </c>
      <c r="BJ136" s="4">
        <v>302038.31496633729</v>
      </c>
      <c r="BK136" s="4">
        <v>117293.58934859755</v>
      </c>
      <c r="BL136" s="4">
        <v>1523999.9999999995</v>
      </c>
      <c r="BM1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6" s="4">
        <v>294804.96027377353</v>
      </c>
      <c r="BO1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6" s="4">
        <f>(Base[[#This Row],['[SC']'[Mort_prématurée']Gains]]-Base[[#This Row],['[SC']'[Mort_prématurée']Coûts]])/Base[[#This Row],[Population_totale]]</f>
        <v>0</v>
      </c>
      <c r="BQ136" s="4">
        <f>IF(Base[[#This Row],[Pathologie]]&lt;&gt;"Mort prématurée",0,Base[[#This Row],[Risque]])</f>
        <v>0</v>
      </c>
      <c r="BR136" s="4">
        <v>2680</v>
      </c>
      <c r="BS1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6" s="4">
        <f>Base[[#This Row],[Prévalence_prod]]*(1-Base[[#This Row],[Risque]])*Base[[#This Row],[Durée_arrêt]]*Base[[#This Row],[Population_emploi]]</f>
        <v>63331503.664730832</v>
      </c>
      <c r="BV136" s="4">
        <f>Base[[#This Row],['[Prod']'[Absentéisme']Total_jours_absence_avant]]-Base[[#This Row],['[Prod']'[Absentéisme']Total_jours_absence_après]]</f>
        <v>7808905.4261781573</v>
      </c>
      <c r="BW136" s="4">
        <f>IF(AND(Base[[#This Row],[Pathologie]]&lt;&gt;"Dépendance",Base[[#This Row],[Pathologie]]&lt;&gt;"Mort prématurée",Base[[#This Row],[Pathologie]]&lt;&gt;"Migraine"),0.0619,0)</f>
        <v>6.1899999999999997E-2</v>
      </c>
      <c r="BX136" s="4">
        <v>254</v>
      </c>
      <c r="BY136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6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6" s="4">
        <f>Base[[#This Row],[Prévalence_prod]]*Base[[#This Row],[Présentéisme]]*Base[[#This Row],['[Prod']Jours_ouvrés]]</f>
        <v>5.6349899999999993</v>
      </c>
      <c r="CB136" s="4">
        <f>Base[[#This Row],[Prévalence_prod]]*(1-Base[[#This Row],[Risque]])*Base[[#This Row],[Présentéisme]]*Base[[#This Row],['[Prod']Jours_ouvrés]]</f>
        <v>5.0164511899233108</v>
      </c>
      <c r="CC136" s="4">
        <f>Base[[#This Row],['[Prod']'[Présentéisme']Jours_avant]]-Base[[#This Row],['[Prod']'[Présentéisme']Jours_après]]</f>
        <v>0.61853881007668843</v>
      </c>
      <c r="CD136" s="4">
        <f>Base[[#This Row],['[Prod']'[Présentéisme']Jours_gagnés]]/Base[[#This Row],['[Prod']Jours_ouvrés]]</f>
        <v>2.4351921656562536E-3</v>
      </c>
      <c r="CE136">
        <v>5.8333039429220801E-2</v>
      </c>
      <c r="CF136">
        <v>1.4658164114728258E-2</v>
      </c>
      <c r="CG136" s="4">
        <v>11</v>
      </c>
      <c r="CH136" s="4">
        <v>0.19346787829229528</v>
      </c>
      <c r="CI136" s="4">
        <v>2.8126549817953091E-2</v>
      </c>
      <c r="CJ136" s="4">
        <f>IF(Base[[#This Row],[Secteur]]&lt;&gt;"Moyenne",Base[[#This Row],['[Prod']'[Turnover']DMC_initiale]]*(1+Base[[#This Row],['[Prod']'[Turnover']Ecart_accidents]]*Base[[#This Row],['[Prod']Impact_motifs_turnover]]),CJ119*CI119+CJ120*CI120+CJ121*CI121+CJ122*CI122+CJ123*CI123+CJ124*CI124+CJ125*CI125+CJ126*CI126+CJ127*CI127+CJ128*CI128+CJ129*CI129+CJ130*CI130+CJ131*CI131+CJ132*CI132+CJ133*CI133+CJ134*CI134+CJ135*CI135)</f>
        <v>11.031194723020304</v>
      </c>
      <c r="CK136" s="4">
        <f>1/Base[[#This Row],['[Prod']'[Turnover']DMC_initiale]]</f>
        <v>9.0909090909090912E-2</v>
      </c>
      <c r="CL136" s="4">
        <f>1/Base[[#This Row],['[Prod']'[Turnover']DMC_finale]]</f>
        <v>9.065201232584201E-2</v>
      </c>
    </row>
    <row r="137" spans="2:90" x14ac:dyDescent="0.25">
      <c r="B137" s="4" t="s">
        <v>327</v>
      </c>
      <c r="C137">
        <v>7.5</v>
      </c>
      <c r="D137" t="s">
        <v>84</v>
      </c>
      <c r="E137" t="s">
        <v>9</v>
      </c>
      <c r="F137" s="3">
        <v>0.10976750803048256</v>
      </c>
      <c r="G137" s="3">
        <v>0.14499999999999999</v>
      </c>
      <c r="H137" s="3">
        <v>0.14499999999999999</v>
      </c>
      <c r="I137" s="3">
        <v>0.153</v>
      </c>
      <c r="J137" s="3">
        <v>29.93</v>
      </c>
      <c r="K137" s="3">
        <v>7.0000000000000007E-2</v>
      </c>
      <c r="L137" s="2">
        <f>Base[[#This Row],[Coût]]*Base[[#This Row],[Part_ménages_dépenses_santé]]</f>
        <v>2.0951</v>
      </c>
      <c r="M137" s="2">
        <v>0.82690611956969029</v>
      </c>
      <c r="N137" s="6">
        <v>27700000</v>
      </c>
      <c r="O137" s="7">
        <f>Base[[#This Row],[Coût_salarié]]*10^9*Base[[#This Row],[Risque]]*Base[[#This Row],[Prévalence]]*Base[[#This Row],[Part_coûts_salarié]]/Base[[#This Row],[Population_emploi]]</f>
        <v>0.99545813681589546</v>
      </c>
      <c r="P137">
        <v>50</v>
      </c>
      <c r="Q137">
        <v>50</v>
      </c>
      <c r="R137" s="2">
        <v>9.9999999999999978E-2</v>
      </c>
      <c r="S137" s="2">
        <v>0.33340000000000003</v>
      </c>
      <c r="T137" s="4">
        <v>0.14499999999999999</v>
      </c>
      <c r="U137" s="4">
        <f>IF(Bases_annexes!$F$5=0,16.6587111018772,0.77*Bases_annexes!$F$5/(IF(OR(ISBLANK('Données_d''entrée'!$E$44),'Données_d''entrée'!$E$44=0),35,'Données_d''entrée'!$E$44)*52))</f>
        <v>16.658711101877199</v>
      </c>
      <c r="V137" s="4">
        <v>17.7120401072847</v>
      </c>
      <c r="W1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7" s="4">
        <v>234.5</v>
      </c>
      <c r="Y137" s="4">
        <f>(Base[[#This Row],['[Maladies']Coûts_évités_par_salarié]]+Base[[#This Row],['[Travail']Coûts_évités_par_salarié]])/Base[[#This Row],[Budget_santé_salarié]]</f>
        <v>3.963358337029102E-2</v>
      </c>
      <c r="Z137" s="4">
        <v>0.8</v>
      </c>
      <c r="AA137" s="4">
        <f>Base[[#This Row],[Coût]]*Base[[#This Row],[Part_société_dépenses_santé]]</f>
        <v>23.944000000000003</v>
      </c>
      <c r="AB137" s="4">
        <v>67635124</v>
      </c>
      <c r="AC137" s="4">
        <v>82.297079063317852</v>
      </c>
      <c r="AD137" s="4">
        <v>0.14499999999999999</v>
      </c>
      <c r="AE137" s="4">
        <f>Base[[#This Row],['[SC']Prévalence_travail]]*Base[[#This Row],[Population_emploi]]</f>
        <v>4016499.9999999995</v>
      </c>
      <c r="AF137" s="4">
        <f>Base[[#This Row],[Risque]]*Base[[#This Row],['[SC']Patients_en_emploi]]</f>
        <v>440881.19600443315</v>
      </c>
      <c r="AG137" s="4">
        <v>5730042552.54</v>
      </c>
      <c r="AH137" s="4">
        <f>IFERROR(Base[[#This Row],['[SC']Prestations]]/Base[[#This Row],['[SC']Patients_en_emploi]],0)</f>
        <v>1426.625806682435</v>
      </c>
      <c r="AI137" s="4">
        <v>51.7</v>
      </c>
      <c r="AJ1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7" s="4">
        <f>Base[[#This Row],['[SC']'[Travail']Coûts_évités]]/Base[[#This Row],[Population_emploi]]</f>
        <v>22.706588155268637</v>
      </c>
      <c r="AL137" s="4">
        <f>Base[[#This Row],[Coût_société]]*10^9*Base[[#This Row],[Risque]]*Base[[#This Row],[Prévalence]]*Base[[#This Row],[Part_coûts_salarié]]/Base[[#This Row],[Population_emploi]]</f>
        <v>11.376664420753091</v>
      </c>
      <c r="AM137" s="4">
        <f>IF(Base[[#This Row],[Pathologie]]&lt;&gt;"Dépendance",0,14909.24243952)</f>
        <v>0</v>
      </c>
      <c r="AN137" s="4">
        <f>IF(Base[[#This Row],[Pathologie]]&lt;&gt;"Dépendance",0,1316000)</f>
        <v>0</v>
      </c>
      <c r="AO137" s="4">
        <f>IF(Base[[#This Row],[Pathologie]]&lt;&gt;"Dépendance",0,Base[[#This Row],['[SC']Coût_personne_dépendante]]*Base[[#This Row],['[SC']Nb_personnes_dépendantes]])</f>
        <v>0</v>
      </c>
      <c r="AP137" s="4">
        <f>IF(Base[[#This Row],[Pathologie]]&lt;&gt;"Dépendance",0,Base[[#This Row],['[SC']Coût_total_dépendance]]/Base[[#This Row],[Population_totale]])</f>
        <v>0</v>
      </c>
      <c r="AQ137" s="4">
        <f>IF(Base[[#This Row],[Pathologie]]&lt;&gt;"Dépendance",0,4.5)</f>
        <v>0</v>
      </c>
      <c r="AR137" s="4">
        <v>0.50393265050357905</v>
      </c>
      <c r="AS137" s="4">
        <f>Base[[#This Row],[Espérance_vie]]+Base[[#This Row],['[SC']Hausse_esp_de_vie]]-Base[[#This Row],['[SC']Durée_moyenne_dépendance_avt]]+Base[[#This Row],[Risque]]</f>
        <v>82.910779221851925</v>
      </c>
      <c r="AT1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7" s="4">
        <v>62.9</v>
      </c>
      <c r="AW137" s="4">
        <f t="shared" si="0"/>
        <v>336905600000</v>
      </c>
      <c r="AX137" s="4">
        <v>15049171</v>
      </c>
      <c r="AY137" s="4">
        <f>Base[[#This Row],['[SC']Budget_total_retraites]]/Base[[#This Row],['[SC']Nombre_de_retraités]]</f>
        <v>22386.987296509556</v>
      </c>
      <c r="AZ137" s="4">
        <f>Base[[#This Row],['[SC']Budget_par_retraité]]*Base[[#This Row],['[SC']Nb_personnes_dépendantes]]</f>
        <v>0</v>
      </c>
      <c r="BA137" s="4">
        <f>Base[[#This Row],['[SC']'[Dépendance']Coût_retraite_personnes_dépendantes]]/Base[[#This Row],[Population_totale]]</f>
        <v>0</v>
      </c>
      <c r="BB1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7" s="4">
        <f>Base[[#This Row],['[SC']'[Dépendance']Gains]]-Base[[#This Row],['[SC']'[Dépendance']Coûts]]</f>
        <v>0</v>
      </c>
      <c r="BD137" s="4">
        <f>IF(Base[[#This Row],[Pathologie]]&lt;&gt;"Mort prématurée",0,Base[[#This Row],[Risque]]*Base[[#This Row],[Prévalence]]*Base[[#This Row],[Population_totale]])</f>
        <v>0</v>
      </c>
      <c r="BE137" s="4">
        <v>52.74</v>
      </c>
      <c r="BF137" s="4">
        <f>Base[[#This Row],['[SC']Âge_moyen_retraite]]-Base[[#This Row],['[SC']'[Mort_prématurée']Âge_moyen_mort précoce]]</f>
        <v>10.159999999999997</v>
      </c>
      <c r="BG137" s="4">
        <f>Base[[#This Row],[Espérance_vie]]+Base[[#This Row],['[SC']Hausse_esp_de_vie]]-Base[[#This Row],['[SC']Âge_moyen_retraite]]</f>
        <v>19.90101171382144</v>
      </c>
      <c r="BH137" s="4">
        <v>106583.42676924677</v>
      </c>
      <c r="BI137" s="4">
        <v>97601.789429271477</v>
      </c>
      <c r="BJ137" s="4">
        <v>302038.31496633729</v>
      </c>
      <c r="BK137" s="4">
        <v>117293.58934859755</v>
      </c>
      <c r="BL137" s="4">
        <v>1523999.9999999995</v>
      </c>
      <c r="BM1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7" s="4">
        <v>294804.96027377353</v>
      </c>
      <c r="BO1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7" s="4">
        <f>(Base[[#This Row],['[SC']'[Mort_prématurée']Gains]]-Base[[#This Row],['[SC']'[Mort_prématurée']Coûts]])/Base[[#This Row],[Population_totale]]</f>
        <v>0</v>
      </c>
      <c r="BQ137" s="4">
        <f>IF(Base[[#This Row],[Pathologie]]&lt;&gt;"Mort prématurée",0,Base[[#This Row],[Risque]])</f>
        <v>0</v>
      </c>
      <c r="BR137" s="4">
        <v>2680</v>
      </c>
      <c r="BS1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7" s="4">
        <f>Base[[#This Row],[Prévalence_prod]]*(1-Base[[#This Row],[Risque]])*Base[[#This Row],[Durée_arrêt]]*Base[[#This Row],[Population_emploi]]</f>
        <v>63331503.664730832</v>
      </c>
      <c r="BV137" s="4">
        <f>Base[[#This Row],['[Prod']'[Absentéisme']Total_jours_absence_avant]]-Base[[#This Row],['[Prod']'[Absentéisme']Total_jours_absence_après]]</f>
        <v>7808905.4261781573</v>
      </c>
      <c r="BW137" s="4">
        <f>IF(AND(Base[[#This Row],[Pathologie]]&lt;&gt;"Dépendance",Base[[#This Row],[Pathologie]]&lt;&gt;"Mort prématurée",Base[[#This Row],[Pathologie]]&lt;&gt;"Migraine"),0.0619,0)</f>
        <v>6.1899999999999997E-2</v>
      </c>
      <c r="BX137" s="4">
        <v>254</v>
      </c>
      <c r="BY13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7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7" s="4">
        <f>Base[[#This Row],[Prévalence_prod]]*Base[[#This Row],[Présentéisme]]*Base[[#This Row],['[Prod']Jours_ouvrés]]</f>
        <v>5.6349899999999993</v>
      </c>
      <c r="CB137" s="4">
        <f>Base[[#This Row],[Prévalence_prod]]*(1-Base[[#This Row],[Risque]])*Base[[#This Row],[Présentéisme]]*Base[[#This Row],['[Prod']Jours_ouvrés]]</f>
        <v>5.0164511899233108</v>
      </c>
      <c r="CC137" s="4">
        <f>Base[[#This Row],['[Prod']'[Présentéisme']Jours_avant]]-Base[[#This Row],['[Prod']'[Présentéisme']Jours_après]]</f>
        <v>0.61853881007668843</v>
      </c>
      <c r="CD137" s="4">
        <f>Base[[#This Row],['[Prod']'[Présentéisme']Jours_gagnés]]/Base[[#This Row],['[Prod']Jours_ouvrés]]</f>
        <v>2.4351921656562536E-3</v>
      </c>
      <c r="CE137">
        <v>5.8333039429220801E-2</v>
      </c>
      <c r="CF137">
        <v>1.4658164114728258E-2</v>
      </c>
      <c r="CG137" s="4">
        <v>11</v>
      </c>
      <c r="CH137" s="4">
        <v>0.13729577077682142</v>
      </c>
      <c r="CI137" s="4">
        <v>1.373516710817578E-2</v>
      </c>
      <c r="CJ137" s="4">
        <f>IF(Base[[#This Row],[Secteur]]&lt;&gt;"Moyenne",Base[[#This Row],['[Prod']'[Turnover']DMC_initiale]]*(1+Base[[#This Row],['[Prod']'[Turnover']Ecart_accidents]]*Base[[#This Row],['[Prod']Impact_motifs_turnover]]),CJ120*CI120+CJ121*CI121+CJ122*CI122+CJ123*CI123+CJ124*CI124+CJ125*CI125+CJ126*CI126+CJ127*CI127+CJ128*CI128+CJ129*CI129+CJ130*CI130+CJ131*CI131+CJ132*CI132+CJ133*CI133+CJ134*CI134+CJ135*CI135+CJ136*CI136)</f>
        <v>11.022137543343351</v>
      </c>
      <c r="CK137" s="4">
        <f>1/Base[[#This Row],['[Prod']'[Turnover']DMC_initiale]]</f>
        <v>9.0909090909090912E-2</v>
      </c>
      <c r="CL137" s="4">
        <f>1/Base[[#This Row],['[Prod']'[Turnover']DMC_finale]]</f>
        <v>9.0726503463380792E-2</v>
      </c>
    </row>
    <row r="138" spans="2:90" x14ac:dyDescent="0.25">
      <c r="B138" s="4" t="s">
        <v>328</v>
      </c>
      <c r="C138">
        <v>7.5</v>
      </c>
      <c r="D138" t="s">
        <v>84</v>
      </c>
      <c r="E138" t="s">
        <v>9</v>
      </c>
      <c r="F138" s="3">
        <v>0.10976750803048256</v>
      </c>
      <c r="G138" s="3">
        <v>0.14499999999999999</v>
      </c>
      <c r="H138" s="3">
        <v>0.14499999999999999</v>
      </c>
      <c r="I138" s="3">
        <v>0.153</v>
      </c>
      <c r="J138" s="3">
        <v>29.93</v>
      </c>
      <c r="K138" s="3">
        <v>7.0000000000000007E-2</v>
      </c>
      <c r="L138" s="2">
        <f>Base[[#This Row],[Coût]]*Base[[#This Row],[Part_ménages_dépenses_santé]]</f>
        <v>2.0951</v>
      </c>
      <c r="M138" s="2">
        <v>0.82690611956969029</v>
      </c>
      <c r="N138" s="6">
        <v>27700000</v>
      </c>
      <c r="O138" s="7">
        <f>Base[[#This Row],[Coût_salarié]]*10^9*Base[[#This Row],[Risque]]*Base[[#This Row],[Prévalence]]*Base[[#This Row],[Part_coûts_salarié]]/Base[[#This Row],[Population_emploi]]</f>
        <v>0.99545813681589546</v>
      </c>
      <c r="P138">
        <v>50</v>
      </c>
      <c r="Q138">
        <v>50</v>
      </c>
      <c r="R138" s="2">
        <v>9.9999999999999978E-2</v>
      </c>
      <c r="S138" s="2">
        <v>0.33340000000000003</v>
      </c>
      <c r="T138" s="4">
        <v>0.14499999999999999</v>
      </c>
      <c r="U138" s="4">
        <f>IF(Bases_annexes!$F$5=0,16.6587111018772,0.77*Bases_annexes!$F$5/(IF(OR(ISBLANK('Données_d''entrée'!$E$44),'Données_d''entrée'!$E$44=0),35,'Données_d''entrée'!$E$44)*52))</f>
        <v>16.658711101877199</v>
      </c>
      <c r="V138" s="4">
        <v>17.7120401072847</v>
      </c>
      <c r="W1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8" s="4">
        <v>234.5</v>
      </c>
      <c r="Y138" s="4">
        <f>(Base[[#This Row],['[Maladies']Coûts_évités_par_salarié]]+Base[[#This Row],['[Travail']Coûts_évités_par_salarié]])/Base[[#This Row],[Budget_santé_salarié]]</f>
        <v>3.963358337029102E-2</v>
      </c>
      <c r="Z138" s="4">
        <v>0.8</v>
      </c>
      <c r="AA138" s="4">
        <f>Base[[#This Row],[Coût]]*Base[[#This Row],[Part_société_dépenses_santé]]</f>
        <v>23.944000000000003</v>
      </c>
      <c r="AB138" s="4">
        <v>67635124</v>
      </c>
      <c r="AC138" s="4">
        <v>82.297079063317852</v>
      </c>
      <c r="AD138" s="4">
        <v>0.14499999999999999</v>
      </c>
      <c r="AE138" s="4">
        <f>Base[[#This Row],['[SC']Prévalence_travail]]*Base[[#This Row],[Population_emploi]]</f>
        <v>4016499.9999999995</v>
      </c>
      <c r="AF138" s="4">
        <f>Base[[#This Row],[Risque]]*Base[[#This Row],['[SC']Patients_en_emploi]]</f>
        <v>440881.19600443315</v>
      </c>
      <c r="AG138" s="4">
        <v>5730042552.54</v>
      </c>
      <c r="AH138" s="4">
        <f>IFERROR(Base[[#This Row],['[SC']Prestations]]/Base[[#This Row],['[SC']Patients_en_emploi]],0)</f>
        <v>1426.625806682435</v>
      </c>
      <c r="AI138" s="4">
        <v>51.7</v>
      </c>
      <c r="AJ1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8" s="4">
        <f>Base[[#This Row],['[SC']'[Travail']Coûts_évités]]/Base[[#This Row],[Population_emploi]]</f>
        <v>22.706588155268637</v>
      </c>
      <c r="AL138" s="4">
        <f>Base[[#This Row],[Coût_société]]*10^9*Base[[#This Row],[Risque]]*Base[[#This Row],[Prévalence]]*Base[[#This Row],[Part_coûts_salarié]]/Base[[#This Row],[Population_emploi]]</f>
        <v>11.376664420753091</v>
      </c>
      <c r="AM138" s="4">
        <f>IF(Base[[#This Row],[Pathologie]]&lt;&gt;"Dépendance",0,14909.24243952)</f>
        <v>0</v>
      </c>
      <c r="AN138" s="4">
        <f>IF(Base[[#This Row],[Pathologie]]&lt;&gt;"Dépendance",0,1316000)</f>
        <v>0</v>
      </c>
      <c r="AO138" s="4">
        <f>IF(Base[[#This Row],[Pathologie]]&lt;&gt;"Dépendance",0,Base[[#This Row],['[SC']Coût_personne_dépendante]]*Base[[#This Row],['[SC']Nb_personnes_dépendantes]])</f>
        <v>0</v>
      </c>
      <c r="AP138" s="4">
        <f>IF(Base[[#This Row],[Pathologie]]&lt;&gt;"Dépendance",0,Base[[#This Row],['[SC']Coût_total_dépendance]]/Base[[#This Row],[Population_totale]])</f>
        <v>0</v>
      </c>
      <c r="AQ138" s="4">
        <f>IF(Base[[#This Row],[Pathologie]]&lt;&gt;"Dépendance",0,4.5)</f>
        <v>0</v>
      </c>
      <c r="AR138" s="4">
        <v>0.50393265050357905</v>
      </c>
      <c r="AS138" s="4">
        <f>Base[[#This Row],[Espérance_vie]]+Base[[#This Row],['[SC']Hausse_esp_de_vie]]-Base[[#This Row],['[SC']Durée_moyenne_dépendance_avt]]+Base[[#This Row],[Risque]]</f>
        <v>82.910779221851925</v>
      </c>
      <c r="AT1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8" s="4">
        <v>62.9</v>
      </c>
      <c r="AW138" s="4">
        <f t="shared" si="0"/>
        <v>336905600000</v>
      </c>
      <c r="AX138" s="4">
        <v>15049171</v>
      </c>
      <c r="AY138" s="4">
        <f>Base[[#This Row],['[SC']Budget_total_retraites]]/Base[[#This Row],['[SC']Nombre_de_retraités]]</f>
        <v>22386.987296509556</v>
      </c>
      <c r="AZ138" s="4">
        <f>Base[[#This Row],['[SC']Budget_par_retraité]]*Base[[#This Row],['[SC']Nb_personnes_dépendantes]]</f>
        <v>0</v>
      </c>
      <c r="BA138" s="4">
        <f>Base[[#This Row],['[SC']'[Dépendance']Coût_retraite_personnes_dépendantes]]/Base[[#This Row],[Population_totale]]</f>
        <v>0</v>
      </c>
      <c r="BB1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8" s="4">
        <f>Base[[#This Row],['[SC']'[Dépendance']Gains]]-Base[[#This Row],['[SC']'[Dépendance']Coûts]]</f>
        <v>0</v>
      </c>
      <c r="BD138" s="4">
        <f>IF(Base[[#This Row],[Pathologie]]&lt;&gt;"Mort prématurée",0,Base[[#This Row],[Risque]]*Base[[#This Row],[Prévalence]]*Base[[#This Row],[Population_totale]])</f>
        <v>0</v>
      </c>
      <c r="BE138" s="4">
        <v>52.74</v>
      </c>
      <c r="BF138" s="4">
        <f>Base[[#This Row],['[SC']Âge_moyen_retraite]]-Base[[#This Row],['[SC']'[Mort_prématurée']Âge_moyen_mort précoce]]</f>
        <v>10.159999999999997</v>
      </c>
      <c r="BG138" s="4">
        <f>Base[[#This Row],[Espérance_vie]]+Base[[#This Row],['[SC']Hausse_esp_de_vie]]-Base[[#This Row],['[SC']Âge_moyen_retraite]]</f>
        <v>19.90101171382144</v>
      </c>
      <c r="BH138" s="4">
        <v>106583.42676924677</v>
      </c>
      <c r="BI138" s="4">
        <v>97601.789429271477</v>
      </c>
      <c r="BJ138" s="4">
        <v>302038.31496633729</v>
      </c>
      <c r="BK138" s="4">
        <v>117293.58934859755</v>
      </c>
      <c r="BL138" s="4">
        <v>1523999.9999999995</v>
      </c>
      <c r="BM1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8" s="4">
        <v>294804.96027377353</v>
      </c>
      <c r="BO1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8" s="4">
        <f>(Base[[#This Row],['[SC']'[Mort_prématurée']Gains]]-Base[[#This Row],['[SC']'[Mort_prématurée']Coûts]])/Base[[#This Row],[Population_totale]]</f>
        <v>0</v>
      </c>
      <c r="BQ138" s="4">
        <f>IF(Base[[#This Row],[Pathologie]]&lt;&gt;"Mort prématurée",0,Base[[#This Row],[Risque]])</f>
        <v>0</v>
      </c>
      <c r="BR138" s="4">
        <v>2680</v>
      </c>
      <c r="BS1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8" s="4">
        <f>Base[[#This Row],[Prévalence_prod]]*(1-Base[[#This Row],[Risque]])*Base[[#This Row],[Durée_arrêt]]*Base[[#This Row],[Population_emploi]]</f>
        <v>63331503.664730832</v>
      </c>
      <c r="BV138" s="4">
        <f>Base[[#This Row],['[Prod']'[Absentéisme']Total_jours_absence_avant]]-Base[[#This Row],['[Prod']'[Absentéisme']Total_jours_absence_après]]</f>
        <v>7808905.4261781573</v>
      </c>
      <c r="BW138" s="4">
        <f>IF(AND(Base[[#This Row],[Pathologie]]&lt;&gt;"Dépendance",Base[[#This Row],[Pathologie]]&lt;&gt;"Mort prématurée",Base[[#This Row],[Pathologie]]&lt;&gt;"Migraine"),0.0619,0)</f>
        <v>6.1899999999999997E-2</v>
      </c>
      <c r="BX138" s="4">
        <v>254</v>
      </c>
      <c r="BY13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8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8" s="4">
        <f>Base[[#This Row],[Prévalence_prod]]*Base[[#This Row],[Présentéisme]]*Base[[#This Row],['[Prod']Jours_ouvrés]]</f>
        <v>5.6349899999999993</v>
      </c>
      <c r="CB138" s="4">
        <f>Base[[#This Row],[Prévalence_prod]]*(1-Base[[#This Row],[Risque]])*Base[[#This Row],[Présentéisme]]*Base[[#This Row],['[Prod']Jours_ouvrés]]</f>
        <v>5.0164511899233108</v>
      </c>
      <c r="CC138" s="4">
        <f>Base[[#This Row],['[Prod']'[Présentéisme']Jours_avant]]-Base[[#This Row],['[Prod']'[Présentéisme']Jours_après]]</f>
        <v>0.61853881007668843</v>
      </c>
      <c r="CD138" s="4">
        <f>Base[[#This Row],['[Prod']'[Présentéisme']Jours_gagnés]]/Base[[#This Row],['[Prod']Jours_ouvrés]]</f>
        <v>2.4351921656562536E-3</v>
      </c>
      <c r="CE138">
        <v>5.8333039429220801E-2</v>
      </c>
      <c r="CF138">
        <v>1.4658164114728258E-2</v>
      </c>
      <c r="CG138" s="4">
        <v>11</v>
      </c>
      <c r="CH138" s="4">
        <v>0.60922528771817497</v>
      </c>
      <c r="CI138" s="4">
        <v>3.8601807163334179E-3</v>
      </c>
      <c r="CJ138" s="4">
        <f>IF(Base[[#This Row],[Secteur]]&lt;&gt;"Moyenne",Base[[#This Row],['[Prod']'[Turnover']DMC_initiale]]*(1+Base[[#This Row],['[Prod']'[Turnover']Ecart_accidents]]*Base[[#This Row],['[Prod']Impact_motifs_turnover]]),CJ121*CI121+CJ122*CI122+CJ123*CI123+CJ124*CI124+CJ125*CI125+CJ126*CI126+CJ127*CI127+CJ128*CI128+CJ129*CI129+CJ130*CI130+CJ131*CI131+CJ132*CI132+CJ133*CI133+CJ134*CI134+CJ135*CI135+CJ136*CI136+CJ137*CI137)</f>
        <v>11.098231366752371</v>
      </c>
      <c r="CK138" s="4">
        <f>1/Base[[#This Row],['[Prod']'[Turnover']DMC_initiale]]</f>
        <v>9.0909090909090912E-2</v>
      </c>
      <c r="CL138" s="4">
        <f>1/Base[[#This Row],['[Prod']'[Turnover']DMC_finale]]</f>
        <v>9.0104447001867274E-2</v>
      </c>
    </row>
    <row r="139" spans="2:90" x14ac:dyDescent="0.25">
      <c r="B139" s="4" t="s">
        <v>329</v>
      </c>
      <c r="C139">
        <v>7.5</v>
      </c>
      <c r="D139" t="s">
        <v>84</v>
      </c>
      <c r="E139" t="s">
        <v>9</v>
      </c>
      <c r="F139" s="3">
        <v>0.10976750803048256</v>
      </c>
      <c r="G139" s="3">
        <v>0.14499999999999999</v>
      </c>
      <c r="H139" s="3">
        <v>0.14499999999999999</v>
      </c>
      <c r="I139" s="3">
        <v>0.153</v>
      </c>
      <c r="J139" s="3">
        <v>29.93</v>
      </c>
      <c r="K139" s="3">
        <v>7.0000000000000007E-2</v>
      </c>
      <c r="L139" s="2">
        <f>Base[[#This Row],[Coût]]*Base[[#This Row],[Part_ménages_dépenses_santé]]</f>
        <v>2.0951</v>
      </c>
      <c r="M139" s="2">
        <v>0.82690611956969029</v>
      </c>
      <c r="N139" s="6">
        <v>27700000</v>
      </c>
      <c r="O139" s="7">
        <f>Base[[#This Row],[Coût_salarié]]*10^9*Base[[#This Row],[Risque]]*Base[[#This Row],[Prévalence]]*Base[[#This Row],[Part_coûts_salarié]]/Base[[#This Row],[Population_emploi]]</f>
        <v>0.99545813681589546</v>
      </c>
      <c r="P139">
        <v>50</v>
      </c>
      <c r="Q139">
        <v>50</v>
      </c>
      <c r="R139" s="2">
        <v>9.9999999999999978E-2</v>
      </c>
      <c r="S139" s="2">
        <v>0.33340000000000003</v>
      </c>
      <c r="T139" s="4">
        <v>0.14499999999999999</v>
      </c>
      <c r="U139" s="4">
        <f>IF(Bases_annexes!$F$5=0,16.6587111018772,0.77*Bases_annexes!$F$5/(IF(OR(ISBLANK('Données_d''entrée'!$E$44),'Données_d''entrée'!$E$44=0),35,'Données_d''entrée'!$E$44)*52))</f>
        <v>16.658711101877199</v>
      </c>
      <c r="V139" s="4">
        <v>17.7120401072847</v>
      </c>
      <c r="W1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39" s="4">
        <v>234.5</v>
      </c>
      <c r="Y139" s="4">
        <f>(Base[[#This Row],['[Maladies']Coûts_évités_par_salarié]]+Base[[#This Row],['[Travail']Coûts_évités_par_salarié]])/Base[[#This Row],[Budget_santé_salarié]]</f>
        <v>3.963358337029102E-2</v>
      </c>
      <c r="Z139" s="4">
        <v>0.8</v>
      </c>
      <c r="AA139" s="4">
        <f>Base[[#This Row],[Coût]]*Base[[#This Row],[Part_société_dépenses_santé]]</f>
        <v>23.944000000000003</v>
      </c>
      <c r="AB139" s="4">
        <v>67635124</v>
      </c>
      <c r="AC139" s="4">
        <v>82.297079063317852</v>
      </c>
      <c r="AD139" s="4">
        <v>0.14499999999999999</v>
      </c>
      <c r="AE139" s="4">
        <f>Base[[#This Row],['[SC']Prévalence_travail]]*Base[[#This Row],[Population_emploi]]</f>
        <v>4016499.9999999995</v>
      </c>
      <c r="AF139" s="4">
        <f>Base[[#This Row],[Risque]]*Base[[#This Row],['[SC']Patients_en_emploi]]</f>
        <v>440881.19600443315</v>
      </c>
      <c r="AG139" s="4">
        <v>5730042552.54</v>
      </c>
      <c r="AH139" s="4">
        <f>IFERROR(Base[[#This Row],['[SC']Prestations]]/Base[[#This Row],['[SC']Patients_en_emploi]],0)</f>
        <v>1426.625806682435</v>
      </c>
      <c r="AI139" s="4">
        <v>51.7</v>
      </c>
      <c r="AJ1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39" s="4">
        <f>Base[[#This Row],['[SC']'[Travail']Coûts_évités]]/Base[[#This Row],[Population_emploi]]</f>
        <v>22.706588155268637</v>
      </c>
      <c r="AL139" s="4">
        <f>Base[[#This Row],[Coût_société]]*10^9*Base[[#This Row],[Risque]]*Base[[#This Row],[Prévalence]]*Base[[#This Row],[Part_coûts_salarié]]/Base[[#This Row],[Population_emploi]]</f>
        <v>11.376664420753091</v>
      </c>
      <c r="AM139" s="4">
        <f>IF(Base[[#This Row],[Pathologie]]&lt;&gt;"Dépendance",0,14909.24243952)</f>
        <v>0</v>
      </c>
      <c r="AN139" s="4">
        <f>IF(Base[[#This Row],[Pathologie]]&lt;&gt;"Dépendance",0,1316000)</f>
        <v>0</v>
      </c>
      <c r="AO139" s="4">
        <f>IF(Base[[#This Row],[Pathologie]]&lt;&gt;"Dépendance",0,Base[[#This Row],['[SC']Coût_personne_dépendante]]*Base[[#This Row],['[SC']Nb_personnes_dépendantes]])</f>
        <v>0</v>
      </c>
      <c r="AP139" s="4">
        <f>IF(Base[[#This Row],[Pathologie]]&lt;&gt;"Dépendance",0,Base[[#This Row],['[SC']Coût_total_dépendance]]/Base[[#This Row],[Population_totale]])</f>
        <v>0</v>
      </c>
      <c r="AQ139" s="4">
        <f>IF(Base[[#This Row],[Pathologie]]&lt;&gt;"Dépendance",0,4.5)</f>
        <v>0</v>
      </c>
      <c r="AR139" s="4">
        <v>0.50393265050357905</v>
      </c>
      <c r="AS139" s="4">
        <f>Base[[#This Row],[Espérance_vie]]+Base[[#This Row],['[SC']Hausse_esp_de_vie]]-Base[[#This Row],['[SC']Durée_moyenne_dépendance_avt]]+Base[[#This Row],[Risque]]</f>
        <v>82.910779221851925</v>
      </c>
      <c r="AT1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39" s="4">
        <v>62.9</v>
      </c>
      <c r="AW139" s="4">
        <f t="shared" si="0"/>
        <v>336905600000</v>
      </c>
      <c r="AX139" s="4">
        <v>15049171</v>
      </c>
      <c r="AY139" s="4">
        <f>Base[[#This Row],['[SC']Budget_total_retraites]]/Base[[#This Row],['[SC']Nombre_de_retraités]]</f>
        <v>22386.987296509556</v>
      </c>
      <c r="AZ139" s="4">
        <f>Base[[#This Row],['[SC']Budget_par_retraité]]*Base[[#This Row],['[SC']Nb_personnes_dépendantes]]</f>
        <v>0</v>
      </c>
      <c r="BA139" s="4">
        <f>Base[[#This Row],['[SC']'[Dépendance']Coût_retraite_personnes_dépendantes]]/Base[[#This Row],[Population_totale]]</f>
        <v>0</v>
      </c>
      <c r="BB1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39" s="4">
        <f>Base[[#This Row],['[SC']'[Dépendance']Gains]]-Base[[#This Row],['[SC']'[Dépendance']Coûts]]</f>
        <v>0</v>
      </c>
      <c r="BD139" s="4">
        <f>IF(Base[[#This Row],[Pathologie]]&lt;&gt;"Mort prématurée",0,Base[[#This Row],[Risque]]*Base[[#This Row],[Prévalence]]*Base[[#This Row],[Population_totale]])</f>
        <v>0</v>
      </c>
      <c r="BE139" s="4">
        <v>52.74</v>
      </c>
      <c r="BF139" s="4">
        <f>Base[[#This Row],['[SC']Âge_moyen_retraite]]-Base[[#This Row],['[SC']'[Mort_prématurée']Âge_moyen_mort précoce]]</f>
        <v>10.159999999999997</v>
      </c>
      <c r="BG139" s="4">
        <f>Base[[#This Row],[Espérance_vie]]+Base[[#This Row],['[SC']Hausse_esp_de_vie]]-Base[[#This Row],['[SC']Âge_moyen_retraite]]</f>
        <v>19.90101171382144</v>
      </c>
      <c r="BH139" s="4">
        <v>106583.42676924677</v>
      </c>
      <c r="BI139" s="4">
        <v>97601.789429271477</v>
      </c>
      <c r="BJ139" s="4">
        <v>302038.31496633729</v>
      </c>
      <c r="BK139" s="4">
        <v>117293.58934859755</v>
      </c>
      <c r="BL139" s="4">
        <v>1523999.9999999995</v>
      </c>
      <c r="BM1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39" s="4">
        <v>294804.96027377353</v>
      </c>
      <c r="BO1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39" s="4">
        <f>(Base[[#This Row],['[SC']'[Mort_prématurée']Gains]]-Base[[#This Row],['[SC']'[Mort_prématurée']Coûts]])/Base[[#This Row],[Population_totale]]</f>
        <v>0</v>
      </c>
      <c r="BQ139" s="4">
        <f>IF(Base[[#This Row],[Pathologie]]&lt;&gt;"Mort prématurée",0,Base[[#This Row],[Risque]])</f>
        <v>0</v>
      </c>
      <c r="BR139" s="4">
        <v>2680</v>
      </c>
      <c r="BS1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39" s="4">
        <f>Base[[#This Row],[Prévalence_prod]]*(1-Base[[#This Row],[Risque]])*Base[[#This Row],[Durée_arrêt]]*Base[[#This Row],[Population_emploi]]</f>
        <v>63331503.664730832</v>
      </c>
      <c r="BV139" s="4">
        <f>Base[[#This Row],['[Prod']'[Absentéisme']Total_jours_absence_avant]]-Base[[#This Row],['[Prod']'[Absentéisme']Total_jours_absence_après]]</f>
        <v>7808905.4261781573</v>
      </c>
      <c r="BW139" s="4">
        <f>IF(AND(Base[[#This Row],[Pathologie]]&lt;&gt;"Dépendance",Base[[#This Row],[Pathologie]]&lt;&gt;"Mort prématurée",Base[[#This Row],[Pathologie]]&lt;&gt;"Migraine"),0.0619,0)</f>
        <v>6.1899999999999997E-2</v>
      </c>
      <c r="BX139" s="4">
        <v>254</v>
      </c>
      <c r="BY139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39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39" s="4">
        <f>Base[[#This Row],[Prévalence_prod]]*Base[[#This Row],[Présentéisme]]*Base[[#This Row],['[Prod']Jours_ouvrés]]</f>
        <v>5.6349899999999993</v>
      </c>
      <c r="CB139" s="4">
        <f>Base[[#This Row],[Prévalence_prod]]*(1-Base[[#This Row],[Risque]])*Base[[#This Row],[Présentéisme]]*Base[[#This Row],['[Prod']Jours_ouvrés]]</f>
        <v>5.0164511899233108</v>
      </c>
      <c r="CC139" s="4">
        <f>Base[[#This Row],['[Prod']'[Présentéisme']Jours_avant]]-Base[[#This Row],['[Prod']'[Présentéisme']Jours_après]]</f>
        <v>0.61853881007668843</v>
      </c>
      <c r="CD139" s="4">
        <f>Base[[#This Row],['[Prod']'[Présentéisme']Jours_gagnés]]/Base[[#This Row],['[Prod']Jours_ouvrés]]</f>
        <v>2.4351921656562536E-3</v>
      </c>
      <c r="CE139">
        <v>5.8333039429220801E-2</v>
      </c>
      <c r="CF139">
        <v>1.4658164114728258E-2</v>
      </c>
      <c r="CG139" s="4">
        <v>11</v>
      </c>
      <c r="CH139" s="4">
        <v>0.78414927716175975</v>
      </c>
      <c r="CI139" s="4">
        <v>0.12835819090128339</v>
      </c>
      <c r="CJ139" s="4">
        <f>IF(Base[[#This Row],[Secteur]]&lt;&gt;"Moyenne",Base[[#This Row],['[Prod']'[Turnover']DMC_initiale]]*(1+Base[[#This Row],['[Prod']'[Turnover']Ecart_accidents]]*Base[[#This Row],['[Prod']Impact_motifs_turnover]]),CJ122*CI122+CJ123*CI123+CJ124*CI124+CJ125*CI125+CJ126*CI126+CJ127*CI127+CJ128*CI128+CJ129*CI129+CJ130*CI130+CJ131*CI131+CJ132*CI132+CJ133*CI133+CJ134*CI134+CJ135*CI135+CJ136*CI136+CJ137*CI137+CJ138*CI138)</f>
        <v>11.126436076745907</v>
      </c>
      <c r="CK139" s="4">
        <f>1/Base[[#This Row],['[Prod']'[Turnover']DMC_initiale]]</f>
        <v>9.0909090909090912E-2</v>
      </c>
      <c r="CL139" s="4">
        <f>1/Base[[#This Row],['[Prod']'[Turnover']DMC_finale]]</f>
        <v>8.9876038751526707E-2</v>
      </c>
    </row>
    <row r="140" spans="2:90" x14ac:dyDescent="0.25">
      <c r="B140" s="4" t="s">
        <v>330</v>
      </c>
      <c r="C140">
        <v>7.5</v>
      </c>
      <c r="D140" t="s">
        <v>84</v>
      </c>
      <c r="E140" t="s">
        <v>9</v>
      </c>
      <c r="F140" s="3">
        <v>0.10976750803048256</v>
      </c>
      <c r="G140" s="3">
        <v>0.14499999999999999</v>
      </c>
      <c r="H140" s="3">
        <v>0.14499999999999999</v>
      </c>
      <c r="I140" s="3">
        <v>0.153</v>
      </c>
      <c r="J140" s="3">
        <v>29.93</v>
      </c>
      <c r="K140" s="3">
        <v>7.0000000000000007E-2</v>
      </c>
      <c r="L140" s="2">
        <f>Base[[#This Row],[Coût]]*Base[[#This Row],[Part_ménages_dépenses_santé]]</f>
        <v>2.0951</v>
      </c>
      <c r="M140" s="2">
        <v>0.82690611956969029</v>
      </c>
      <c r="N140" s="6">
        <v>27700000</v>
      </c>
      <c r="O140" s="7">
        <f>Base[[#This Row],[Coût_salarié]]*10^9*Base[[#This Row],[Risque]]*Base[[#This Row],[Prévalence]]*Base[[#This Row],[Part_coûts_salarié]]/Base[[#This Row],[Population_emploi]]</f>
        <v>0.99545813681589546</v>
      </c>
      <c r="P140">
        <v>50</v>
      </c>
      <c r="Q140">
        <v>50</v>
      </c>
      <c r="R140" s="2">
        <v>9.9999999999999978E-2</v>
      </c>
      <c r="S140" s="2">
        <v>0.33340000000000003</v>
      </c>
      <c r="T140" s="4">
        <v>0.14499999999999999</v>
      </c>
      <c r="U140" s="4">
        <f>IF(Bases_annexes!$F$5=0,16.6587111018772,0.77*Bases_annexes!$F$5/(IF(OR(ISBLANK('Données_d''entrée'!$E$44),'Données_d''entrée'!$E$44=0),35,'Données_d''entrée'!$E$44)*52))</f>
        <v>16.658711101877199</v>
      </c>
      <c r="V140" s="4">
        <v>17.7120401072847</v>
      </c>
      <c r="W1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40" s="4">
        <v>234.5</v>
      </c>
      <c r="Y140" s="4">
        <f>(Base[[#This Row],['[Maladies']Coûts_évités_par_salarié]]+Base[[#This Row],['[Travail']Coûts_évités_par_salarié]])/Base[[#This Row],[Budget_santé_salarié]]</f>
        <v>3.963358337029102E-2</v>
      </c>
      <c r="Z140" s="4">
        <v>0.8</v>
      </c>
      <c r="AA140" s="4">
        <f>Base[[#This Row],[Coût]]*Base[[#This Row],[Part_société_dépenses_santé]]</f>
        <v>23.944000000000003</v>
      </c>
      <c r="AB140" s="4">
        <v>67635124</v>
      </c>
      <c r="AC140" s="4">
        <v>82.297079063317852</v>
      </c>
      <c r="AD140" s="4">
        <v>0.14499999999999999</v>
      </c>
      <c r="AE140" s="4">
        <f>Base[[#This Row],['[SC']Prévalence_travail]]*Base[[#This Row],[Population_emploi]]</f>
        <v>4016499.9999999995</v>
      </c>
      <c r="AF140" s="4">
        <f>Base[[#This Row],[Risque]]*Base[[#This Row],['[SC']Patients_en_emploi]]</f>
        <v>440881.19600443315</v>
      </c>
      <c r="AG140" s="4">
        <v>5730042552.54</v>
      </c>
      <c r="AH140" s="4">
        <f>IFERROR(Base[[#This Row],['[SC']Prestations]]/Base[[#This Row],['[SC']Patients_en_emploi]],0)</f>
        <v>1426.625806682435</v>
      </c>
      <c r="AI140" s="4">
        <v>51.7</v>
      </c>
      <c r="AJ1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40" s="4">
        <f>Base[[#This Row],['[SC']'[Travail']Coûts_évités]]/Base[[#This Row],[Population_emploi]]</f>
        <v>22.706588155268637</v>
      </c>
      <c r="AL140" s="4">
        <f>Base[[#This Row],[Coût_société]]*10^9*Base[[#This Row],[Risque]]*Base[[#This Row],[Prévalence]]*Base[[#This Row],[Part_coûts_salarié]]/Base[[#This Row],[Population_emploi]]</f>
        <v>11.376664420753091</v>
      </c>
      <c r="AM140" s="4">
        <f>IF(Base[[#This Row],[Pathologie]]&lt;&gt;"Dépendance",0,14909.24243952)</f>
        <v>0</v>
      </c>
      <c r="AN140" s="4">
        <f>IF(Base[[#This Row],[Pathologie]]&lt;&gt;"Dépendance",0,1316000)</f>
        <v>0</v>
      </c>
      <c r="AO140" s="4">
        <f>IF(Base[[#This Row],[Pathologie]]&lt;&gt;"Dépendance",0,Base[[#This Row],['[SC']Coût_personne_dépendante]]*Base[[#This Row],['[SC']Nb_personnes_dépendantes]])</f>
        <v>0</v>
      </c>
      <c r="AP140" s="4">
        <f>IF(Base[[#This Row],[Pathologie]]&lt;&gt;"Dépendance",0,Base[[#This Row],['[SC']Coût_total_dépendance]]/Base[[#This Row],[Population_totale]])</f>
        <v>0</v>
      </c>
      <c r="AQ140" s="4">
        <f>IF(Base[[#This Row],[Pathologie]]&lt;&gt;"Dépendance",0,4.5)</f>
        <v>0</v>
      </c>
      <c r="AR140" s="4">
        <v>0.50393265050357905</v>
      </c>
      <c r="AS140" s="4">
        <f>Base[[#This Row],[Espérance_vie]]+Base[[#This Row],['[SC']Hausse_esp_de_vie]]-Base[[#This Row],['[SC']Durée_moyenne_dépendance_avt]]+Base[[#This Row],[Risque]]</f>
        <v>82.910779221851925</v>
      </c>
      <c r="AT1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0" s="4">
        <v>62.9</v>
      </c>
      <c r="AW140" s="4">
        <f t="shared" si="0"/>
        <v>336905600000</v>
      </c>
      <c r="AX140" s="4">
        <v>15049171</v>
      </c>
      <c r="AY140" s="4">
        <f>Base[[#This Row],['[SC']Budget_total_retraites]]/Base[[#This Row],['[SC']Nombre_de_retraités]]</f>
        <v>22386.987296509556</v>
      </c>
      <c r="AZ140" s="4">
        <f>Base[[#This Row],['[SC']Budget_par_retraité]]*Base[[#This Row],['[SC']Nb_personnes_dépendantes]]</f>
        <v>0</v>
      </c>
      <c r="BA140" s="4">
        <f>Base[[#This Row],['[SC']'[Dépendance']Coût_retraite_personnes_dépendantes]]/Base[[#This Row],[Population_totale]]</f>
        <v>0</v>
      </c>
      <c r="BB1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0" s="4">
        <f>Base[[#This Row],['[SC']'[Dépendance']Gains]]-Base[[#This Row],['[SC']'[Dépendance']Coûts]]</f>
        <v>0</v>
      </c>
      <c r="BD140" s="4">
        <f>IF(Base[[#This Row],[Pathologie]]&lt;&gt;"Mort prématurée",0,Base[[#This Row],[Risque]]*Base[[#This Row],[Prévalence]]*Base[[#This Row],[Population_totale]])</f>
        <v>0</v>
      </c>
      <c r="BE140" s="4">
        <v>52.74</v>
      </c>
      <c r="BF140" s="4">
        <f>Base[[#This Row],['[SC']Âge_moyen_retraite]]-Base[[#This Row],['[SC']'[Mort_prématurée']Âge_moyen_mort précoce]]</f>
        <v>10.159999999999997</v>
      </c>
      <c r="BG140" s="4">
        <f>Base[[#This Row],[Espérance_vie]]+Base[[#This Row],['[SC']Hausse_esp_de_vie]]-Base[[#This Row],['[SC']Âge_moyen_retraite]]</f>
        <v>19.90101171382144</v>
      </c>
      <c r="BH140" s="4">
        <v>106583.42676924677</v>
      </c>
      <c r="BI140" s="4">
        <v>97601.789429271477</v>
      </c>
      <c r="BJ140" s="4">
        <v>302038.31496633729</v>
      </c>
      <c r="BK140" s="4">
        <v>117293.58934859755</v>
      </c>
      <c r="BL140" s="4">
        <v>1523999.9999999995</v>
      </c>
      <c r="BM1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0" s="4">
        <v>294804.96027377353</v>
      </c>
      <c r="BO1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0" s="4">
        <f>(Base[[#This Row],['[SC']'[Mort_prématurée']Gains]]-Base[[#This Row],['[SC']'[Mort_prématurée']Coûts]])/Base[[#This Row],[Population_totale]]</f>
        <v>0</v>
      </c>
      <c r="BQ140" s="4">
        <f>IF(Base[[#This Row],[Pathologie]]&lt;&gt;"Mort prématurée",0,Base[[#This Row],[Risque]])</f>
        <v>0</v>
      </c>
      <c r="BR140" s="4">
        <v>2680</v>
      </c>
      <c r="BS1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40" s="4">
        <f>Base[[#This Row],[Prévalence_prod]]*(1-Base[[#This Row],[Risque]])*Base[[#This Row],[Durée_arrêt]]*Base[[#This Row],[Population_emploi]]</f>
        <v>63331503.664730832</v>
      </c>
      <c r="BV140" s="4">
        <f>Base[[#This Row],['[Prod']'[Absentéisme']Total_jours_absence_avant]]-Base[[#This Row],['[Prod']'[Absentéisme']Total_jours_absence_après]]</f>
        <v>7808905.4261781573</v>
      </c>
      <c r="BW140" s="4">
        <f>IF(AND(Base[[#This Row],[Pathologie]]&lt;&gt;"Dépendance",Base[[#This Row],[Pathologie]]&lt;&gt;"Mort prématurée",Base[[#This Row],[Pathologie]]&lt;&gt;"Migraine"),0.0619,0)</f>
        <v>6.1899999999999997E-2</v>
      </c>
      <c r="BX140" s="4">
        <v>254</v>
      </c>
      <c r="BY140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40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40" s="4">
        <f>Base[[#This Row],[Prévalence_prod]]*Base[[#This Row],[Présentéisme]]*Base[[#This Row],['[Prod']Jours_ouvrés]]</f>
        <v>5.6349899999999993</v>
      </c>
      <c r="CB140" s="4">
        <f>Base[[#This Row],[Prévalence_prod]]*(1-Base[[#This Row],[Risque]])*Base[[#This Row],[Présentéisme]]*Base[[#This Row],['[Prod']Jours_ouvrés]]</f>
        <v>5.0164511899233108</v>
      </c>
      <c r="CC140" s="4">
        <f>Base[[#This Row],['[Prod']'[Présentéisme']Jours_avant]]-Base[[#This Row],['[Prod']'[Présentéisme']Jours_après]]</f>
        <v>0.61853881007668843</v>
      </c>
      <c r="CD140" s="4">
        <f>Base[[#This Row],['[Prod']'[Présentéisme']Jours_gagnés]]/Base[[#This Row],['[Prod']Jours_ouvrés]]</f>
        <v>2.4351921656562536E-3</v>
      </c>
      <c r="CE140">
        <v>5.8333039429220801E-2</v>
      </c>
      <c r="CF140">
        <v>1.4658164114728258E-2</v>
      </c>
      <c r="CG140" s="4">
        <v>11</v>
      </c>
      <c r="CH140" s="4">
        <v>0.99648427619813984</v>
      </c>
      <c r="CI140" s="4">
        <v>0.42377466100567313</v>
      </c>
      <c r="CJ140" s="4">
        <f>IF(Base[[#This Row],[Secteur]]&lt;&gt;"Moyenne",Base[[#This Row],['[Prod']'[Turnover']DMC_initiale]]*(1+Base[[#This Row],['[Prod']'[Turnover']Ecart_accidents]]*Base[[#This Row],['[Prod']Impact_motifs_turnover]]),CJ123*CI123+CJ124*CI124+CJ125*CI125+CJ126*CI126+CJ127*CI127+CJ128*CI128+CJ129*CI129+CJ130*CI130+CJ131*CI131+CJ132*CI132+CJ133*CI133+CJ134*CI134+CJ135*CI135+CJ136*CI136+CJ137*CI137+CJ138*CI138+CJ139*CI139)</f>
        <v>11.160672930640844</v>
      </c>
      <c r="CK140" s="4">
        <f>1/Base[[#This Row],['[Prod']'[Turnover']DMC_initiale]]</f>
        <v>9.0909090909090912E-2</v>
      </c>
      <c r="CL140" s="4">
        <f>1/Base[[#This Row],['[Prod']'[Turnover']DMC_finale]]</f>
        <v>8.9600332006376626E-2</v>
      </c>
    </row>
    <row r="141" spans="2:90" x14ac:dyDescent="0.25">
      <c r="B141" s="4" t="s">
        <v>331</v>
      </c>
      <c r="C141">
        <v>7.5</v>
      </c>
      <c r="D141" t="s">
        <v>84</v>
      </c>
      <c r="E141" t="s">
        <v>9</v>
      </c>
      <c r="F141" s="3">
        <v>0.10976750803048256</v>
      </c>
      <c r="G141" s="3">
        <v>0.14499999999999999</v>
      </c>
      <c r="H141" s="3">
        <v>0.14499999999999999</v>
      </c>
      <c r="I141" s="3">
        <v>0.153</v>
      </c>
      <c r="J141" s="3">
        <v>29.93</v>
      </c>
      <c r="K141" s="3">
        <v>7.0000000000000007E-2</v>
      </c>
      <c r="L141" s="2">
        <f>Base[[#This Row],[Coût]]*Base[[#This Row],[Part_ménages_dépenses_santé]]</f>
        <v>2.0951</v>
      </c>
      <c r="M141" s="2">
        <v>0.82690611956969029</v>
      </c>
      <c r="N141" s="6">
        <v>27700000</v>
      </c>
      <c r="O141" s="7">
        <f>Base[[#This Row],[Coût_salarié]]*10^9*Base[[#This Row],[Risque]]*Base[[#This Row],[Prévalence]]*Base[[#This Row],[Part_coûts_salarié]]/Base[[#This Row],[Population_emploi]]</f>
        <v>0.99545813681589546</v>
      </c>
      <c r="P141">
        <v>50</v>
      </c>
      <c r="Q141">
        <v>50</v>
      </c>
      <c r="R141" s="2">
        <v>9.9999999999999978E-2</v>
      </c>
      <c r="S141" s="2">
        <v>0.33340000000000003</v>
      </c>
      <c r="T141" s="4">
        <v>0.14499999999999999</v>
      </c>
      <c r="U141" s="4">
        <f>IF(Bases_annexes!$F$5=0,16.6587111018772,0.77*Bases_annexes!$F$5/(IF(OR(ISBLANK('Données_d''entrée'!$E$44),'Données_d''entrée'!$E$44=0),35,'Données_d''entrée'!$E$44)*52))</f>
        <v>16.658711101877199</v>
      </c>
      <c r="V141" s="4">
        <v>17.7120401072847</v>
      </c>
      <c r="W1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41" s="4">
        <v>234.5</v>
      </c>
      <c r="Y141" s="4">
        <f>(Base[[#This Row],['[Maladies']Coûts_évités_par_salarié]]+Base[[#This Row],['[Travail']Coûts_évités_par_salarié]])/Base[[#This Row],[Budget_santé_salarié]]</f>
        <v>3.963358337029102E-2</v>
      </c>
      <c r="Z141" s="4">
        <v>0.8</v>
      </c>
      <c r="AA141" s="4">
        <f>Base[[#This Row],[Coût]]*Base[[#This Row],[Part_société_dépenses_santé]]</f>
        <v>23.944000000000003</v>
      </c>
      <c r="AB141" s="4">
        <v>67635124</v>
      </c>
      <c r="AC141" s="4">
        <v>82.297079063317852</v>
      </c>
      <c r="AD141" s="4">
        <v>0.14499999999999999</v>
      </c>
      <c r="AE141" s="4">
        <f>Base[[#This Row],['[SC']Prévalence_travail]]*Base[[#This Row],[Population_emploi]]</f>
        <v>4016499.9999999995</v>
      </c>
      <c r="AF141" s="4">
        <f>Base[[#This Row],[Risque]]*Base[[#This Row],['[SC']Patients_en_emploi]]</f>
        <v>440881.19600443315</v>
      </c>
      <c r="AG141" s="4">
        <v>5730042552.54</v>
      </c>
      <c r="AH141" s="4">
        <f>IFERROR(Base[[#This Row],['[SC']Prestations]]/Base[[#This Row],['[SC']Patients_en_emploi]],0)</f>
        <v>1426.625806682435</v>
      </c>
      <c r="AI141" s="4">
        <v>51.7</v>
      </c>
      <c r="AJ1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41" s="4">
        <f>Base[[#This Row],['[SC']'[Travail']Coûts_évités]]/Base[[#This Row],[Population_emploi]]</f>
        <v>22.706588155268637</v>
      </c>
      <c r="AL141" s="4">
        <f>Base[[#This Row],[Coût_société]]*10^9*Base[[#This Row],[Risque]]*Base[[#This Row],[Prévalence]]*Base[[#This Row],[Part_coûts_salarié]]/Base[[#This Row],[Population_emploi]]</f>
        <v>11.376664420753091</v>
      </c>
      <c r="AM141" s="4">
        <f>IF(Base[[#This Row],[Pathologie]]&lt;&gt;"Dépendance",0,14909.24243952)</f>
        <v>0</v>
      </c>
      <c r="AN141" s="4">
        <f>IF(Base[[#This Row],[Pathologie]]&lt;&gt;"Dépendance",0,1316000)</f>
        <v>0</v>
      </c>
      <c r="AO141" s="4">
        <f>IF(Base[[#This Row],[Pathologie]]&lt;&gt;"Dépendance",0,Base[[#This Row],['[SC']Coût_personne_dépendante]]*Base[[#This Row],['[SC']Nb_personnes_dépendantes]])</f>
        <v>0</v>
      </c>
      <c r="AP141" s="4">
        <f>IF(Base[[#This Row],[Pathologie]]&lt;&gt;"Dépendance",0,Base[[#This Row],['[SC']Coût_total_dépendance]]/Base[[#This Row],[Population_totale]])</f>
        <v>0</v>
      </c>
      <c r="AQ141" s="4">
        <f>IF(Base[[#This Row],[Pathologie]]&lt;&gt;"Dépendance",0,4.5)</f>
        <v>0</v>
      </c>
      <c r="AR141" s="4">
        <v>0.50393265050357905</v>
      </c>
      <c r="AS141" s="4">
        <f>Base[[#This Row],[Espérance_vie]]+Base[[#This Row],['[SC']Hausse_esp_de_vie]]-Base[[#This Row],['[SC']Durée_moyenne_dépendance_avt]]+Base[[#This Row],[Risque]]</f>
        <v>82.910779221851925</v>
      </c>
      <c r="AT1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1" s="4">
        <v>62.9</v>
      </c>
      <c r="AW141" s="4">
        <f t="shared" si="0"/>
        <v>336905600000</v>
      </c>
      <c r="AX141" s="4">
        <v>15049171</v>
      </c>
      <c r="AY141" s="4">
        <f>Base[[#This Row],['[SC']Budget_total_retraites]]/Base[[#This Row],['[SC']Nombre_de_retraités]]</f>
        <v>22386.987296509556</v>
      </c>
      <c r="AZ141" s="4">
        <f>Base[[#This Row],['[SC']Budget_par_retraité]]*Base[[#This Row],['[SC']Nb_personnes_dépendantes]]</f>
        <v>0</v>
      </c>
      <c r="BA141" s="4">
        <f>Base[[#This Row],['[SC']'[Dépendance']Coût_retraite_personnes_dépendantes]]/Base[[#This Row],[Population_totale]]</f>
        <v>0</v>
      </c>
      <c r="BB1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1" s="4">
        <f>Base[[#This Row],['[SC']'[Dépendance']Gains]]-Base[[#This Row],['[SC']'[Dépendance']Coûts]]</f>
        <v>0</v>
      </c>
      <c r="BD141" s="4">
        <f>IF(Base[[#This Row],[Pathologie]]&lt;&gt;"Mort prématurée",0,Base[[#This Row],[Risque]]*Base[[#This Row],[Prévalence]]*Base[[#This Row],[Population_totale]])</f>
        <v>0</v>
      </c>
      <c r="BE141" s="4">
        <v>52.74</v>
      </c>
      <c r="BF141" s="4">
        <f>Base[[#This Row],['[SC']Âge_moyen_retraite]]-Base[[#This Row],['[SC']'[Mort_prématurée']Âge_moyen_mort précoce]]</f>
        <v>10.159999999999997</v>
      </c>
      <c r="BG141" s="4">
        <f>Base[[#This Row],[Espérance_vie]]+Base[[#This Row],['[SC']Hausse_esp_de_vie]]-Base[[#This Row],['[SC']Âge_moyen_retraite]]</f>
        <v>19.90101171382144</v>
      </c>
      <c r="BH141" s="4">
        <v>106583.42676924677</v>
      </c>
      <c r="BI141" s="4">
        <v>97601.789429271477</v>
      </c>
      <c r="BJ141" s="4">
        <v>302038.31496633729</v>
      </c>
      <c r="BK141" s="4">
        <v>117293.58934859755</v>
      </c>
      <c r="BL141" s="4">
        <v>1523999.9999999995</v>
      </c>
      <c r="BM1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1" s="4">
        <v>294804.96027377353</v>
      </c>
      <c r="BO1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1" s="4">
        <f>(Base[[#This Row],['[SC']'[Mort_prématurée']Gains]]-Base[[#This Row],['[SC']'[Mort_prématurée']Coûts]])/Base[[#This Row],[Population_totale]]</f>
        <v>0</v>
      </c>
      <c r="BQ141" s="4">
        <f>IF(Base[[#This Row],[Pathologie]]&lt;&gt;"Mort prématurée",0,Base[[#This Row],[Risque]])</f>
        <v>0</v>
      </c>
      <c r="BR141" s="4">
        <v>2680</v>
      </c>
      <c r="BS1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41" s="4">
        <f>Base[[#This Row],[Prévalence_prod]]*(1-Base[[#This Row],[Risque]])*Base[[#This Row],[Durée_arrêt]]*Base[[#This Row],[Population_emploi]]</f>
        <v>63331503.664730832</v>
      </c>
      <c r="BV141" s="4">
        <f>Base[[#This Row],['[Prod']'[Absentéisme']Total_jours_absence_avant]]-Base[[#This Row],['[Prod']'[Absentéisme']Total_jours_absence_après]]</f>
        <v>7808905.4261781573</v>
      </c>
      <c r="BW141" s="4">
        <f>IF(AND(Base[[#This Row],[Pathologie]]&lt;&gt;"Dépendance",Base[[#This Row],[Pathologie]]&lt;&gt;"Mort prématurée",Base[[#This Row],[Pathologie]]&lt;&gt;"Migraine"),0.0619,0)</f>
        <v>6.1899999999999997E-2</v>
      </c>
      <c r="BX141" s="4">
        <v>254</v>
      </c>
      <c r="BY14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41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41" s="4">
        <f>Base[[#This Row],[Prévalence_prod]]*Base[[#This Row],[Présentéisme]]*Base[[#This Row],['[Prod']Jours_ouvrés]]</f>
        <v>5.6349899999999993</v>
      </c>
      <c r="CB141" s="4">
        <f>Base[[#This Row],[Prévalence_prod]]*(1-Base[[#This Row],[Risque]])*Base[[#This Row],[Présentéisme]]*Base[[#This Row],['[Prod']Jours_ouvrés]]</f>
        <v>5.0164511899233108</v>
      </c>
      <c r="CC141" s="4">
        <f>Base[[#This Row],['[Prod']'[Présentéisme']Jours_avant]]-Base[[#This Row],['[Prod']'[Présentéisme']Jours_après]]</f>
        <v>0.61853881007668843</v>
      </c>
      <c r="CD141" s="4">
        <f>Base[[#This Row],['[Prod']'[Présentéisme']Jours_gagnés]]/Base[[#This Row],['[Prod']Jours_ouvrés]]</f>
        <v>2.4351921656562536E-3</v>
      </c>
      <c r="CE141">
        <v>5.8333039429220801E-2</v>
      </c>
      <c r="CF141">
        <v>1.4658164114728258E-2</v>
      </c>
      <c r="CG141" s="4">
        <v>11</v>
      </c>
      <c r="CH141" s="4">
        <v>1.1593596509901765</v>
      </c>
      <c r="CI141" s="4">
        <v>4.0741311947357597E-2</v>
      </c>
      <c r="CJ141" s="4">
        <f>IF(Base[[#This Row],[Secteur]]&lt;&gt;"Moyenne",Base[[#This Row],['[Prod']'[Turnover']DMC_initiale]]*(1+Base[[#This Row],['[Prod']'[Turnover']Ecart_accidents]]*Base[[#This Row],['[Prod']Impact_motifs_turnover]]),CJ124*CI124+CJ125*CI125+CJ126*CI126+CJ127*CI127+CJ128*CI128+CJ129*CI129+CJ130*CI130+CJ131*CI131+CJ132*CI132+CJ133*CI133+CJ134*CI134+CJ135*CI135+CJ136*CI136+CJ137*CI137+CJ138*CI138+CJ139*CI139+CJ140*CI140)</f>
        <v>11.186934924354288</v>
      </c>
      <c r="CK141" s="4">
        <f>1/Base[[#This Row],['[Prod']'[Turnover']DMC_initiale]]</f>
        <v>9.0909090909090912E-2</v>
      </c>
      <c r="CL141" s="4">
        <f>1/Base[[#This Row],['[Prod']'[Turnover']DMC_finale]]</f>
        <v>8.9389989908940148E-2</v>
      </c>
    </row>
    <row r="142" spans="2:90" x14ac:dyDescent="0.25">
      <c r="B142" s="4" t="s">
        <v>332</v>
      </c>
      <c r="C142">
        <v>7.5</v>
      </c>
      <c r="D142" t="s">
        <v>84</v>
      </c>
      <c r="E142" t="s">
        <v>9</v>
      </c>
      <c r="F142" s="3">
        <v>0.10976750803048256</v>
      </c>
      <c r="G142" s="3">
        <v>0.14499999999999999</v>
      </c>
      <c r="H142" s="3">
        <v>0.14499999999999999</v>
      </c>
      <c r="I142" s="3">
        <v>0.153</v>
      </c>
      <c r="J142" s="3">
        <v>29.93</v>
      </c>
      <c r="K142" s="3">
        <v>7.0000000000000007E-2</v>
      </c>
      <c r="L142" s="2">
        <f>Base[[#This Row],[Coût]]*Base[[#This Row],[Part_ménages_dépenses_santé]]</f>
        <v>2.0951</v>
      </c>
      <c r="M142" s="2">
        <v>0.82690611956969029</v>
      </c>
      <c r="N142" s="6">
        <v>27700000</v>
      </c>
      <c r="O142" s="7">
        <f>Base[[#This Row],[Coût_salarié]]*10^9*Base[[#This Row],[Risque]]*Base[[#This Row],[Prévalence]]*Base[[#This Row],[Part_coûts_salarié]]/Base[[#This Row],[Population_emploi]]</f>
        <v>0.99545813681589546</v>
      </c>
      <c r="P142">
        <v>50</v>
      </c>
      <c r="Q142">
        <v>50</v>
      </c>
      <c r="R142" s="2">
        <v>9.9999999999999978E-2</v>
      </c>
      <c r="S142" s="2">
        <v>0.33340000000000003</v>
      </c>
      <c r="T142" s="4">
        <v>0.14499999999999999</v>
      </c>
      <c r="U142" s="4">
        <f>IF(Bases_annexes!$F$5=0,16.6587111018772,0.77*Bases_annexes!$F$5/(IF(OR(ISBLANK('Données_d''entrée'!$E$44),'Données_d''entrée'!$E$44=0),35,'Données_d''entrée'!$E$44)*52))</f>
        <v>16.658711101877199</v>
      </c>
      <c r="V142" s="4">
        <v>17.7120401072847</v>
      </c>
      <c r="W1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8.2986171635173491</v>
      </c>
      <c r="X142" s="4">
        <v>234.5</v>
      </c>
      <c r="Y142" s="4">
        <f>(Base[[#This Row],['[Maladies']Coûts_évités_par_salarié]]+Base[[#This Row],['[Travail']Coûts_évités_par_salarié]])/Base[[#This Row],[Budget_santé_salarié]]</f>
        <v>3.963358337029102E-2</v>
      </c>
      <c r="Z142" s="4">
        <v>0.8</v>
      </c>
      <c r="AA142" s="4">
        <f>Base[[#This Row],[Coût]]*Base[[#This Row],[Part_société_dépenses_santé]]</f>
        <v>23.944000000000003</v>
      </c>
      <c r="AB142" s="4">
        <v>67635124</v>
      </c>
      <c r="AC142" s="4">
        <v>82.297079063317852</v>
      </c>
      <c r="AD142" s="4">
        <v>0.14499999999999999</v>
      </c>
      <c r="AE142" s="4">
        <f>Base[[#This Row],['[SC']Prévalence_travail]]*Base[[#This Row],[Population_emploi]]</f>
        <v>4016499.9999999995</v>
      </c>
      <c r="AF142" s="4">
        <f>Base[[#This Row],[Risque]]*Base[[#This Row],['[SC']Patients_en_emploi]]</f>
        <v>440881.19600443315</v>
      </c>
      <c r="AG142" s="4">
        <v>5730042552.54</v>
      </c>
      <c r="AH142" s="4">
        <f>IFERROR(Base[[#This Row],['[SC']Prestations]]/Base[[#This Row],['[SC']Patients_en_emploi]],0)</f>
        <v>1426.625806682435</v>
      </c>
      <c r="AI142" s="4">
        <v>51.7</v>
      </c>
      <c r="AJ1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628972491.90094125</v>
      </c>
      <c r="AK142" s="4">
        <f>Base[[#This Row],['[SC']'[Travail']Coûts_évités]]/Base[[#This Row],[Population_emploi]]</f>
        <v>22.706588155268637</v>
      </c>
      <c r="AL142" s="4">
        <f>Base[[#This Row],[Coût_société]]*10^9*Base[[#This Row],[Risque]]*Base[[#This Row],[Prévalence]]*Base[[#This Row],[Part_coûts_salarié]]/Base[[#This Row],[Population_emploi]]</f>
        <v>11.376664420753091</v>
      </c>
      <c r="AM142" s="4">
        <f>IF(Base[[#This Row],[Pathologie]]&lt;&gt;"Dépendance",0,14909.24243952)</f>
        <v>0</v>
      </c>
      <c r="AN142" s="4">
        <f>IF(Base[[#This Row],[Pathologie]]&lt;&gt;"Dépendance",0,1316000)</f>
        <v>0</v>
      </c>
      <c r="AO142" s="4">
        <f>IF(Base[[#This Row],[Pathologie]]&lt;&gt;"Dépendance",0,Base[[#This Row],['[SC']Coût_personne_dépendante]]*Base[[#This Row],['[SC']Nb_personnes_dépendantes]])</f>
        <v>0</v>
      </c>
      <c r="AP142" s="4">
        <f>IF(Base[[#This Row],[Pathologie]]&lt;&gt;"Dépendance",0,Base[[#This Row],['[SC']Coût_total_dépendance]]/Base[[#This Row],[Population_totale]])</f>
        <v>0</v>
      </c>
      <c r="AQ142" s="4">
        <f>IF(Base[[#This Row],[Pathologie]]&lt;&gt;"Dépendance",0,4.5)</f>
        <v>0</v>
      </c>
      <c r="AR142" s="4">
        <v>0.50393265050357905</v>
      </c>
      <c r="AS142" s="4">
        <f>Base[[#This Row],[Espérance_vie]]+Base[[#This Row],['[SC']Hausse_esp_de_vie]]-Base[[#This Row],['[SC']Durée_moyenne_dépendance_avt]]+Base[[#This Row],[Risque]]</f>
        <v>82.910779221851925</v>
      </c>
      <c r="AT1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2" s="4">
        <v>62.9</v>
      </c>
      <c r="AW142" s="4">
        <f t="shared" si="0"/>
        <v>336905600000</v>
      </c>
      <c r="AX142" s="4">
        <v>15049171</v>
      </c>
      <c r="AY142" s="4">
        <f>Base[[#This Row],['[SC']Budget_total_retraites]]/Base[[#This Row],['[SC']Nombre_de_retraités]]</f>
        <v>22386.987296509556</v>
      </c>
      <c r="AZ142" s="4">
        <f>Base[[#This Row],['[SC']Budget_par_retraité]]*Base[[#This Row],['[SC']Nb_personnes_dépendantes]]</f>
        <v>0</v>
      </c>
      <c r="BA142" s="4">
        <f>Base[[#This Row],['[SC']'[Dépendance']Coût_retraite_personnes_dépendantes]]/Base[[#This Row],[Population_totale]]</f>
        <v>0</v>
      </c>
      <c r="BB1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2" s="4">
        <f>Base[[#This Row],['[SC']'[Dépendance']Gains]]-Base[[#This Row],['[SC']'[Dépendance']Coûts]]</f>
        <v>0</v>
      </c>
      <c r="BD142" s="4">
        <f>IF(Base[[#This Row],[Pathologie]]&lt;&gt;"Mort prématurée",0,Base[[#This Row],[Risque]]*Base[[#This Row],[Prévalence]]*Base[[#This Row],[Population_totale]])</f>
        <v>0</v>
      </c>
      <c r="BE142" s="4">
        <v>52.74</v>
      </c>
      <c r="BF142" s="4">
        <f>Base[[#This Row],['[SC']Âge_moyen_retraite]]-Base[[#This Row],['[SC']'[Mort_prématurée']Âge_moyen_mort précoce]]</f>
        <v>10.159999999999997</v>
      </c>
      <c r="BG142" s="4">
        <f>Base[[#This Row],[Espérance_vie]]+Base[[#This Row],['[SC']Hausse_esp_de_vie]]-Base[[#This Row],['[SC']Âge_moyen_retraite]]</f>
        <v>19.90101171382144</v>
      </c>
      <c r="BH142" s="4">
        <v>106583.42676924677</v>
      </c>
      <c r="BI142" s="4">
        <v>97601.789429271477</v>
      </c>
      <c r="BJ142" s="4">
        <v>302038.31496633729</v>
      </c>
      <c r="BK142" s="4">
        <v>117293.58934859755</v>
      </c>
      <c r="BL142" s="4">
        <v>1523999.9999999995</v>
      </c>
      <c r="BM1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2" s="4">
        <v>294804.96027377353</v>
      </c>
      <c r="BO1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2" s="4">
        <f>(Base[[#This Row],['[SC']'[Mort_prématurée']Gains]]-Base[[#This Row],['[SC']'[Mort_prématurée']Coûts]])/Base[[#This Row],[Population_totale]]</f>
        <v>0</v>
      </c>
      <c r="BQ142" s="4">
        <f>IF(Base[[#This Row],[Pathologie]]&lt;&gt;"Mort prématurée",0,Base[[#This Row],[Risque]])</f>
        <v>0</v>
      </c>
      <c r="BR142" s="4">
        <v>2680</v>
      </c>
      <c r="BS1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1.2717631558217063E-2</v>
      </c>
      <c r="BT1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142" s="4">
        <f>Base[[#This Row],[Prévalence_prod]]*(1-Base[[#This Row],[Risque]])*Base[[#This Row],[Durée_arrêt]]*Base[[#This Row],[Population_emploi]]</f>
        <v>63331503.664730832</v>
      </c>
      <c r="BV142" s="4">
        <f>Base[[#This Row],['[Prod']'[Absentéisme']Total_jours_absence_avant]]-Base[[#This Row],['[Prod']'[Absentéisme']Total_jours_absence_après]]</f>
        <v>7808905.4261781573</v>
      </c>
      <c r="BW142" s="4">
        <f>IF(AND(Base[[#This Row],[Pathologie]]&lt;&gt;"Dépendance",Base[[#This Row],[Pathologie]]&lt;&gt;"Mort prématurée",Base[[#This Row],[Pathologie]]&lt;&gt;"Migraine"),0.0619,0)</f>
        <v>6.1899999999999997E-2</v>
      </c>
      <c r="BX142" s="4">
        <v>254</v>
      </c>
      <c r="BY14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142" s="4">
        <f>(Base[[#This Row],['[Prod']'[Absentéisme']Jours_théoriques]]-Base[[#This Row],['[Prod']'[Absentéisme']Total_jours_absence_évités]])/(Base[[#This Row],[Population_emploi]]*Base[[#This Row],['[Prod']Jours_ouvrés]])</f>
        <v>1.9755166364211284E-2</v>
      </c>
      <c r="CA142" s="4">
        <f>Base[[#This Row],[Prévalence_prod]]*Base[[#This Row],[Présentéisme]]*Base[[#This Row],['[Prod']Jours_ouvrés]]</f>
        <v>5.6349899999999993</v>
      </c>
      <c r="CB142" s="4">
        <f>Base[[#This Row],[Prévalence_prod]]*(1-Base[[#This Row],[Risque]])*Base[[#This Row],[Présentéisme]]*Base[[#This Row],['[Prod']Jours_ouvrés]]</f>
        <v>5.0164511899233108</v>
      </c>
      <c r="CC142" s="4">
        <f>Base[[#This Row],['[Prod']'[Présentéisme']Jours_avant]]-Base[[#This Row],['[Prod']'[Présentéisme']Jours_après]]</f>
        <v>0.61853881007668843</v>
      </c>
      <c r="CD142" s="4">
        <f>Base[[#This Row],['[Prod']'[Présentéisme']Jours_gagnés]]/Base[[#This Row],['[Prod']Jours_ouvrés]]</f>
        <v>2.4351921656562536E-3</v>
      </c>
      <c r="CE142">
        <v>5.8333039429220801E-2</v>
      </c>
      <c r="CF142">
        <v>1.4658164114728258E-2</v>
      </c>
      <c r="CG142" s="4">
        <v>11</v>
      </c>
      <c r="CH142" s="4">
        <v>0.85076983926913452</v>
      </c>
      <c r="CI142" s="4">
        <v>0</v>
      </c>
      <c r="CJ142" s="4">
        <f>IF(Base[[#This Row],[Secteur]]&lt;&gt;"Moyenne",Base[[#This Row],['[Prod']'[Turnover']DMC_initiale]]*(1+Base[[#This Row],['[Prod']'[Turnover']Ecart_accidents]]*Base[[#This Row],['[Prod']Impact_motifs_turnover]]),CJ125*CI125+CJ126*CI126+CJ127*CI127+CJ128*CI128+CJ129*CI129+CJ130*CI130+CJ131*CI131+CJ132*CI132+CJ133*CI133+CJ134*CI134+CJ135*CI135+CJ136*CI136+CJ137*CI137+CJ138*CI138+CJ139*CI139+CJ140*CI140+CJ141*CI141)</f>
        <v>11.137177963206547</v>
      </c>
      <c r="CK142" s="4">
        <f>1/Base[[#This Row],['[Prod']'[Turnover']DMC_initiale]]</f>
        <v>9.0909090909090912E-2</v>
      </c>
      <c r="CL142" s="4">
        <f>1/Base[[#This Row],['[Prod']'[Turnover']DMC_finale]]</f>
        <v>8.9789352680154741E-2</v>
      </c>
    </row>
    <row r="143" spans="2:90" x14ac:dyDescent="0.25">
      <c r="B143" s="4" t="s">
        <v>315</v>
      </c>
      <c r="C143">
        <v>7.5</v>
      </c>
      <c r="D143" t="s">
        <v>84</v>
      </c>
      <c r="E143" t="s">
        <v>7</v>
      </c>
      <c r="F143" s="3">
        <v>0.22452444824416889</v>
      </c>
      <c r="G143" s="3">
        <v>0.1217</v>
      </c>
      <c r="H143" s="3">
        <v>0.1217</v>
      </c>
      <c r="I143" s="3">
        <v>9.1999999999999998E-2</v>
      </c>
      <c r="J143" s="3">
        <v>7.27956</v>
      </c>
      <c r="K143" s="3">
        <v>7.0000000000000007E-2</v>
      </c>
      <c r="L143" s="2">
        <f>Base[[#This Row],[Coût]]*Base[[#This Row],[Part_ménages_dépenses_santé]]</f>
        <v>0.50956920000000006</v>
      </c>
      <c r="M143" s="2">
        <v>1</v>
      </c>
      <c r="N143" s="6">
        <v>27700000</v>
      </c>
      <c r="O143" s="7">
        <f>Base[[#This Row],[Coût_salarié]]*10^9*Base[[#This Row],[Risque]]*Base[[#This Row],[Prévalence]]*Base[[#This Row],[Part_coûts_salarié]]/Base[[#This Row],[Population_emploi]]</f>
        <v>0.50266380796279742</v>
      </c>
      <c r="P143">
        <v>50</v>
      </c>
      <c r="Q143">
        <v>50</v>
      </c>
      <c r="R143" s="2">
        <v>9.9999999999999978E-2</v>
      </c>
      <c r="S143" s="2">
        <v>0.33340000000000003</v>
      </c>
      <c r="T143" s="4">
        <v>0.1217</v>
      </c>
      <c r="U143" s="4">
        <f>IF(Bases_annexes!$F$5=0,16.6587111018772,0.77*Bases_annexes!$F$5/(IF(OR(ISBLANK('Données_d''entrée'!$E$44),'Données_d''entrée'!$E$44=0),35,'Données_d''entrée'!$E$44)*52))</f>
        <v>16.658711101877199</v>
      </c>
      <c r="V143" s="4">
        <v>21.5</v>
      </c>
      <c r="W1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3" s="4">
        <v>234.5</v>
      </c>
      <c r="Y143" s="4">
        <f>(Base[[#This Row],['[Maladies']Coûts_évités_par_salarié]]+Base[[#This Row],['[Travail']Coûts_évités_par_salarié]])/Base[[#This Row],[Budget_santé_salarié]]</f>
        <v>6.8044637550508325E-2</v>
      </c>
      <c r="Z143" s="4">
        <v>0.8</v>
      </c>
      <c r="AA143" s="4">
        <f>Base[[#This Row],[Coût]]*Base[[#This Row],[Part_société_dépenses_santé]]</f>
        <v>5.8236480000000004</v>
      </c>
      <c r="AB143" s="4">
        <v>67635124</v>
      </c>
      <c r="AC143" s="4">
        <v>82.297079063317852</v>
      </c>
      <c r="AD143" s="4">
        <v>0.1217</v>
      </c>
      <c r="AE143" s="4">
        <f>Base[[#This Row],['[SC']Prévalence_travail]]*Base[[#This Row],[Population_emploi]]</f>
        <v>3371090</v>
      </c>
      <c r="AF143" s="4">
        <f>Base[[#This Row],[Risque]]*Base[[#This Row],['[SC']Patients_en_emploi]]</f>
        <v>756892.12223143526</v>
      </c>
      <c r="AG143" s="4">
        <v>0</v>
      </c>
      <c r="AH143" s="4">
        <f>IFERROR(Base[[#This Row],['[SC']Prestations]]/Base[[#This Row],['[SC']Patients_en_emploi]],0)</f>
        <v>0</v>
      </c>
      <c r="AI143" s="4">
        <v>51.7</v>
      </c>
      <c r="AJ1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3" s="4">
        <f>Base[[#This Row],['[SC']'[Travail']Coûts_évités]]/Base[[#This Row],[Population_emploi]]</f>
        <v>26.134637917265568</v>
      </c>
      <c r="AL143" s="4">
        <f>Base[[#This Row],[Coût_société]]*10^9*Base[[#This Row],[Risque]]*Base[[#This Row],[Prévalence]]*Base[[#This Row],[Part_coûts_salarié]]/Base[[#This Row],[Population_emploi]]</f>
        <v>5.7447292338605402</v>
      </c>
      <c r="AM143" s="4">
        <f>IF(Base[[#This Row],[Pathologie]]&lt;&gt;"Dépendance",0,14909.24243952)</f>
        <v>0</v>
      </c>
      <c r="AN143" s="4">
        <f>IF(Base[[#This Row],[Pathologie]]&lt;&gt;"Dépendance",0,1316000)</f>
        <v>0</v>
      </c>
      <c r="AO143" s="4">
        <f>IF(Base[[#This Row],[Pathologie]]&lt;&gt;"Dépendance",0,Base[[#This Row],['[SC']Coût_personne_dépendante]]*Base[[#This Row],['[SC']Nb_personnes_dépendantes]])</f>
        <v>0</v>
      </c>
      <c r="AP143" s="4">
        <f>IF(Base[[#This Row],[Pathologie]]&lt;&gt;"Dépendance",0,Base[[#This Row],['[SC']Coût_total_dépendance]]/Base[[#This Row],[Population_totale]])</f>
        <v>0</v>
      </c>
      <c r="AQ143" s="4">
        <f>IF(Base[[#This Row],[Pathologie]]&lt;&gt;"Dépendance",0,4.5)</f>
        <v>0</v>
      </c>
      <c r="AR143" s="4">
        <v>0.50393265050357905</v>
      </c>
      <c r="AS143" s="4">
        <f>Base[[#This Row],[Espérance_vie]]+Base[[#This Row],['[SC']Hausse_esp_de_vie]]-Base[[#This Row],['[SC']Durée_moyenne_dépendance_avt]]+Base[[#This Row],[Risque]]</f>
        <v>83.025536162065606</v>
      </c>
      <c r="AT1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3" s="4">
        <v>62.9</v>
      </c>
      <c r="AW143" s="4">
        <f t="shared" si="0"/>
        <v>336905600000</v>
      </c>
      <c r="AX143" s="4">
        <v>15049171</v>
      </c>
      <c r="AY143" s="4">
        <f>Base[[#This Row],['[SC']Budget_total_retraites]]/Base[[#This Row],['[SC']Nombre_de_retraités]]</f>
        <v>22386.987296509556</v>
      </c>
      <c r="AZ143" s="4">
        <f>Base[[#This Row],['[SC']Budget_par_retraité]]*Base[[#This Row],['[SC']Nb_personnes_dépendantes]]</f>
        <v>0</v>
      </c>
      <c r="BA143" s="4">
        <f>Base[[#This Row],['[SC']'[Dépendance']Coût_retraite_personnes_dépendantes]]/Base[[#This Row],[Population_totale]]</f>
        <v>0</v>
      </c>
      <c r="BB1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3" s="4">
        <f>Base[[#This Row],['[SC']'[Dépendance']Gains]]-Base[[#This Row],['[SC']'[Dépendance']Coûts]]</f>
        <v>0</v>
      </c>
      <c r="BD143" s="4">
        <f>IF(Base[[#This Row],[Pathologie]]&lt;&gt;"Mort prématurée",0,Base[[#This Row],[Risque]]*Base[[#This Row],[Prévalence]]*Base[[#This Row],[Population_totale]])</f>
        <v>0</v>
      </c>
      <c r="BE143" s="4">
        <v>52.74</v>
      </c>
      <c r="BF143" s="4">
        <f>Base[[#This Row],['[SC']Âge_moyen_retraite]]-Base[[#This Row],['[SC']'[Mort_prématurée']Âge_moyen_mort précoce]]</f>
        <v>10.159999999999997</v>
      </c>
      <c r="BG143" s="4">
        <f>Base[[#This Row],[Espérance_vie]]+Base[[#This Row],['[SC']Hausse_esp_de_vie]]-Base[[#This Row],['[SC']Âge_moyen_retraite]]</f>
        <v>19.90101171382144</v>
      </c>
      <c r="BH143" s="4">
        <v>106583.42676924677</v>
      </c>
      <c r="BI143" s="4">
        <v>97601.789429271477</v>
      </c>
      <c r="BJ143" s="4">
        <v>302038.31496633729</v>
      </c>
      <c r="BK143" s="4">
        <v>117293.58934859755</v>
      </c>
      <c r="BL143" s="4">
        <v>1523999.9999999995</v>
      </c>
      <c r="BM1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3" s="4">
        <v>294804.96027377353</v>
      </c>
      <c r="BO1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3" s="4">
        <f>(Base[[#This Row],['[SC']'[Mort_prématurée']Gains]]-Base[[#This Row],['[SC']'[Mort_prématurée']Coûts]])/Base[[#This Row],[Population_totale]]</f>
        <v>0</v>
      </c>
      <c r="BQ143" s="4">
        <f>IF(Base[[#This Row],[Pathologie]]&lt;&gt;"Mort prématurée",0,Base[[#This Row],[Risque]])</f>
        <v>0</v>
      </c>
      <c r="BR143" s="4">
        <v>2680</v>
      </c>
      <c r="BS1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3" s="4">
        <f>Base[[#This Row],[Prévalence_prod]]*(1-Base[[#This Row],[Risque]])*Base[[#This Row],[Durée_arrêt]]*Base[[#This Row],[Population_emploi]]</f>
        <v>56205254.372024149</v>
      </c>
      <c r="BV143" s="4">
        <f>Base[[#This Row],['[Prod']'[Absentéisme']Total_jours_absence_avant]]-Base[[#This Row],['[Prod']'[Absentéisme']Total_jours_absence_après]]</f>
        <v>16273180.627975851</v>
      </c>
      <c r="BW143" s="4">
        <f>IF(AND(Base[[#This Row],[Pathologie]]&lt;&gt;"Dépendance",Base[[#This Row],[Pathologie]]&lt;&gt;"Mort prématurée",Base[[#This Row],[Pathologie]]&lt;&gt;"Migraine"),0.0619,0)</f>
        <v>6.1899999999999997E-2</v>
      </c>
      <c r="BX143" s="4">
        <v>254</v>
      </c>
      <c r="BY143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3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3" s="4">
        <f>Base[[#This Row],[Prévalence_prod]]*Base[[#This Row],[Présentéisme]]*Base[[#This Row],['[Prod']Jours_ouvrés]]</f>
        <v>2.8438856000000001</v>
      </c>
      <c r="CB143" s="4">
        <f>Base[[#This Row],[Prévalence_prod]]*(1-Base[[#This Row],[Risque]])*Base[[#This Row],[Présentéisme]]*Base[[#This Row],['[Prod']Jours_ouvrés]]</f>
        <v>2.2053637547904628</v>
      </c>
      <c r="CC143" s="4">
        <f>Base[[#This Row],['[Prod']'[Présentéisme']Jours_avant]]-Base[[#This Row],['[Prod']'[Présentéisme']Jours_après]]</f>
        <v>0.63852184520953736</v>
      </c>
      <c r="CD143" s="4">
        <f>Base[[#This Row],['[Prod']'[Présentéisme']Jours_gagnés]]/Base[[#This Row],['[Prod']Jours_ouvrés]]</f>
        <v>2.5138655323210133E-3</v>
      </c>
      <c r="CE143">
        <v>5.8333039429220801E-2</v>
      </c>
      <c r="CF143">
        <v>1.4658164114728258E-2</v>
      </c>
      <c r="CG143" s="4">
        <v>11</v>
      </c>
      <c r="CH143" s="4">
        <v>1.3966184516047948</v>
      </c>
      <c r="CI143" s="4">
        <v>1.4392894727292521E-2</v>
      </c>
      <c r="CJ143" s="4">
        <f>IF(Base[[#This Row],[Secteur]]&lt;&gt;"Moyenne",Base[[#This Row],['[Prod']'[Turnover']DMC_initiale]]*(1+Base[[#This Row],['[Prod']'[Turnover']Ecart_accidents]]*Base[[#This Row],['[Prod']Impact_motifs_turnover]]),CJ126*CI126+CJ127*CI127+CJ128*CI128+CJ129*CI129+CJ130*CI130+CJ131*CI131+CJ132*CI132+CJ133*CI133+CJ134*CI134+CJ135*CI135+CJ136*CI136+CJ137*CI137+CJ138*CI138+CJ139*CI139+CJ140*CI140+CJ141*CI141+CJ142*CI142)</f>
        <v>11.225190487162088</v>
      </c>
      <c r="CK143" s="4">
        <f>1/Base[[#This Row],['[Prod']'[Turnover']DMC_initiale]]</f>
        <v>9.0909090909090912E-2</v>
      </c>
      <c r="CL143" s="4">
        <f>1/Base[[#This Row],['[Prod']'[Turnover']DMC_finale]]</f>
        <v>8.9085347918475846E-2</v>
      </c>
    </row>
    <row r="144" spans="2:90" x14ac:dyDescent="0.25">
      <c r="B144" s="4" t="s">
        <v>316</v>
      </c>
      <c r="C144">
        <v>7.5</v>
      </c>
      <c r="D144" t="s">
        <v>84</v>
      </c>
      <c r="E144" t="s">
        <v>7</v>
      </c>
      <c r="F144" s="3">
        <v>0.22452444824416889</v>
      </c>
      <c r="G144" s="3">
        <v>0.1217</v>
      </c>
      <c r="H144" s="3">
        <v>0.1217</v>
      </c>
      <c r="I144" s="3">
        <v>9.1999999999999998E-2</v>
      </c>
      <c r="J144" s="3">
        <v>7.27956</v>
      </c>
      <c r="K144" s="3">
        <v>7.0000000000000007E-2</v>
      </c>
      <c r="L144" s="2">
        <f>Base[[#This Row],[Coût]]*Base[[#This Row],[Part_ménages_dépenses_santé]]</f>
        <v>0.50956920000000006</v>
      </c>
      <c r="M144" s="2">
        <v>1</v>
      </c>
      <c r="N144" s="6">
        <v>27700000</v>
      </c>
      <c r="O144" s="7">
        <f>Base[[#This Row],[Coût_salarié]]*10^9*Base[[#This Row],[Risque]]*Base[[#This Row],[Prévalence]]*Base[[#This Row],[Part_coûts_salarié]]/Base[[#This Row],[Population_emploi]]</f>
        <v>0.50266380796279742</v>
      </c>
      <c r="P144">
        <v>50</v>
      </c>
      <c r="Q144">
        <v>50</v>
      </c>
      <c r="R144" s="2">
        <v>9.9999999999999978E-2</v>
      </c>
      <c r="S144" s="2">
        <v>0.33340000000000003</v>
      </c>
      <c r="T144" s="4">
        <v>0.1217</v>
      </c>
      <c r="U144" s="4">
        <f>IF(Bases_annexes!$F$5=0,16.6587111018772,0.77*Bases_annexes!$F$5/(IF(OR(ISBLANK('Données_d''entrée'!$E$44),'Données_d''entrée'!$E$44=0),35,'Données_d''entrée'!$E$44)*52))</f>
        <v>16.658711101877199</v>
      </c>
      <c r="V144" s="4">
        <v>21.5</v>
      </c>
      <c r="W1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4" s="4">
        <v>234.5</v>
      </c>
      <c r="Y144" s="4">
        <f>(Base[[#This Row],['[Maladies']Coûts_évités_par_salarié]]+Base[[#This Row],['[Travail']Coûts_évités_par_salarié]])/Base[[#This Row],[Budget_santé_salarié]]</f>
        <v>6.8044637550508325E-2</v>
      </c>
      <c r="Z144" s="4">
        <v>0.8</v>
      </c>
      <c r="AA144" s="4">
        <f>Base[[#This Row],[Coût]]*Base[[#This Row],[Part_société_dépenses_santé]]</f>
        <v>5.8236480000000004</v>
      </c>
      <c r="AB144" s="4">
        <v>67635124</v>
      </c>
      <c r="AC144" s="4">
        <v>82.297079063317852</v>
      </c>
      <c r="AD144" s="4">
        <v>0.1217</v>
      </c>
      <c r="AE144" s="4">
        <f>Base[[#This Row],['[SC']Prévalence_travail]]*Base[[#This Row],[Population_emploi]]</f>
        <v>3371090</v>
      </c>
      <c r="AF144" s="4">
        <f>Base[[#This Row],[Risque]]*Base[[#This Row],['[SC']Patients_en_emploi]]</f>
        <v>756892.12223143526</v>
      </c>
      <c r="AG144" s="4">
        <v>0</v>
      </c>
      <c r="AH144" s="4">
        <f>IFERROR(Base[[#This Row],['[SC']Prestations]]/Base[[#This Row],['[SC']Patients_en_emploi]],0)</f>
        <v>0</v>
      </c>
      <c r="AI144" s="4">
        <v>51.7</v>
      </c>
      <c r="AJ1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4" s="4">
        <f>Base[[#This Row],['[SC']'[Travail']Coûts_évités]]/Base[[#This Row],[Population_emploi]]</f>
        <v>26.134637917265568</v>
      </c>
      <c r="AL144" s="4">
        <f>Base[[#This Row],[Coût_société]]*10^9*Base[[#This Row],[Risque]]*Base[[#This Row],[Prévalence]]*Base[[#This Row],[Part_coûts_salarié]]/Base[[#This Row],[Population_emploi]]</f>
        <v>5.7447292338605402</v>
      </c>
      <c r="AM144" s="4">
        <f>IF(Base[[#This Row],[Pathologie]]&lt;&gt;"Dépendance",0,14909.24243952)</f>
        <v>0</v>
      </c>
      <c r="AN144" s="4">
        <f>IF(Base[[#This Row],[Pathologie]]&lt;&gt;"Dépendance",0,1316000)</f>
        <v>0</v>
      </c>
      <c r="AO144" s="4">
        <f>IF(Base[[#This Row],[Pathologie]]&lt;&gt;"Dépendance",0,Base[[#This Row],['[SC']Coût_personne_dépendante]]*Base[[#This Row],['[SC']Nb_personnes_dépendantes]])</f>
        <v>0</v>
      </c>
      <c r="AP144" s="4">
        <f>IF(Base[[#This Row],[Pathologie]]&lt;&gt;"Dépendance",0,Base[[#This Row],['[SC']Coût_total_dépendance]]/Base[[#This Row],[Population_totale]])</f>
        <v>0</v>
      </c>
      <c r="AQ144" s="4">
        <f>IF(Base[[#This Row],[Pathologie]]&lt;&gt;"Dépendance",0,4.5)</f>
        <v>0</v>
      </c>
      <c r="AR144" s="4">
        <v>0.50393265050357905</v>
      </c>
      <c r="AS144" s="4">
        <f>Base[[#This Row],[Espérance_vie]]+Base[[#This Row],['[SC']Hausse_esp_de_vie]]-Base[[#This Row],['[SC']Durée_moyenne_dépendance_avt]]+Base[[#This Row],[Risque]]</f>
        <v>83.025536162065606</v>
      </c>
      <c r="AT1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4" s="4">
        <v>62.9</v>
      </c>
      <c r="AW144" s="4">
        <f t="shared" si="0"/>
        <v>336905600000</v>
      </c>
      <c r="AX144" s="4">
        <v>15049171</v>
      </c>
      <c r="AY144" s="4">
        <f>Base[[#This Row],['[SC']Budget_total_retraites]]/Base[[#This Row],['[SC']Nombre_de_retraités]]</f>
        <v>22386.987296509556</v>
      </c>
      <c r="AZ144" s="4">
        <f>Base[[#This Row],['[SC']Budget_par_retraité]]*Base[[#This Row],['[SC']Nb_personnes_dépendantes]]</f>
        <v>0</v>
      </c>
      <c r="BA144" s="4">
        <f>Base[[#This Row],['[SC']'[Dépendance']Coût_retraite_personnes_dépendantes]]/Base[[#This Row],[Population_totale]]</f>
        <v>0</v>
      </c>
      <c r="BB1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4" s="4">
        <f>Base[[#This Row],['[SC']'[Dépendance']Gains]]-Base[[#This Row],['[SC']'[Dépendance']Coûts]]</f>
        <v>0</v>
      </c>
      <c r="BD144" s="4">
        <f>IF(Base[[#This Row],[Pathologie]]&lt;&gt;"Mort prématurée",0,Base[[#This Row],[Risque]]*Base[[#This Row],[Prévalence]]*Base[[#This Row],[Population_totale]])</f>
        <v>0</v>
      </c>
      <c r="BE144" s="4">
        <v>52.74</v>
      </c>
      <c r="BF144" s="4">
        <f>Base[[#This Row],['[SC']Âge_moyen_retraite]]-Base[[#This Row],['[SC']'[Mort_prématurée']Âge_moyen_mort précoce]]</f>
        <v>10.159999999999997</v>
      </c>
      <c r="BG144" s="4">
        <f>Base[[#This Row],[Espérance_vie]]+Base[[#This Row],['[SC']Hausse_esp_de_vie]]-Base[[#This Row],['[SC']Âge_moyen_retraite]]</f>
        <v>19.90101171382144</v>
      </c>
      <c r="BH144" s="4">
        <v>106583.42676924677</v>
      </c>
      <c r="BI144" s="4">
        <v>97601.789429271477</v>
      </c>
      <c r="BJ144" s="4">
        <v>302038.31496633729</v>
      </c>
      <c r="BK144" s="4">
        <v>117293.58934859755</v>
      </c>
      <c r="BL144" s="4">
        <v>1523999.9999999995</v>
      </c>
      <c r="BM1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4" s="4">
        <v>294804.96027377353</v>
      </c>
      <c r="BO1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4" s="4">
        <f>(Base[[#This Row],['[SC']'[Mort_prématurée']Gains]]-Base[[#This Row],['[SC']'[Mort_prématurée']Coûts]])/Base[[#This Row],[Population_totale]]</f>
        <v>0</v>
      </c>
      <c r="BQ144" s="4">
        <f>IF(Base[[#This Row],[Pathologie]]&lt;&gt;"Mort prématurée",0,Base[[#This Row],[Risque]])</f>
        <v>0</v>
      </c>
      <c r="BR144" s="4">
        <v>2680</v>
      </c>
      <c r="BS1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4" s="4">
        <f>Base[[#This Row],[Prévalence_prod]]*(1-Base[[#This Row],[Risque]])*Base[[#This Row],[Durée_arrêt]]*Base[[#This Row],[Population_emploi]]</f>
        <v>56205254.372024149</v>
      </c>
      <c r="BV144" s="4">
        <f>Base[[#This Row],['[Prod']'[Absentéisme']Total_jours_absence_avant]]-Base[[#This Row],['[Prod']'[Absentéisme']Total_jours_absence_après]]</f>
        <v>16273180.627975851</v>
      </c>
      <c r="BW144" s="4">
        <f>IF(AND(Base[[#This Row],[Pathologie]]&lt;&gt;"Dépendance",Base[[#This Row],[Pathologie]]&lt;&gt;"Mort prématurée",Base[[#This Row],[Pathologie]]&lt;&gt;"Migraine"),0.0619,0)</f>
        <v>6.1899999999999997E-2</v>
      </c>
      <c r="BX144" s="4">
        <v>254</v>
      </c>
      <c r="BY144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4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4" s="4">
        <f>Base[[#This Row],[Prévalence_prod]]*Base[[#This Row],[Présentéisme]]*Base[[#This Row],['[Prod']Jours_ouvrés]]</f>
        <v>2.8438856000000001</v>
      </c>
      <c r="CB144" s="4">
        <f>Base[[#This Row],[Prévalence_prod]]*(1-Base[[#This Row],[Risque]])*Base[[#This Row],[Présentéisme]]*Base[[#This Row],['[Prod']Jours_ouvrés]]</f>
        <v>2.2053637547904628</v>
      </c>
      <c r="CC144" s="4">
        <f>Base[[#This Row],['[Prod']'[Présentéisme']Jours_avant]]-Base[[#This Row],['[Prod']'[Présentéisme']Jours_après]]</f>
        <v>0.63852184520953736</v>
      </c>
      <c r="CD144" s="4">
        <f>Base[[#This Row],['[Prod']'[Présentéisme']Jours_gagnés]]/Base[[#This Row],['[Prod']Jours_ouvrés]]</f>
        <v>2.5138655323210133E-3</v>
      </c>
      <c r="CE144">
        <v>5.8333039429220801E-2</v>
      </c>
      <c r="CF144">
        <v>1.4658164114728258E-2</v>
      </c>
      <c r="CG144" s="4">
        <v>11</v>
      </c>
      <c r="CH144" s="4">
        <v>0.68054183762612652</v>
      </c>
      <c r="CI144" s="4">
        <v>1.2135452577082654E-2</v>
      </c>
      <c r="CJ144" s="4">
        <f>IF(Base[[#This Row],[Secteur]]&lt;&gt;"Moyenne",Base[[#This Row],['[Prod']'[Turnover']DMC_initiale]]*(1+Base[[#This Row],['[Prod']'[Turnover']Ecart_accidents]]*Base[[#This Row],['[Prod']Impact_motifs_turnover]]),CJ127*CI127+CJ128*CI128+CJ129*CI129+CJ130*CI130+CJ131*CI131+CJ132*CI132+CJ133*CI133+CJ134*CI134+CJ135*CI135+CJ136*CI136+CJ137*CI137+CJ138*CI138+CJ139*CI139+CJ140*CI140+CJ141*CI141+CJ142*CI142+CJ143*CI143)</f>
        <v>11.109730433371487</v>
      </c>
      <c r="CK144" s="4">
        <f>1/Base[[#This Row],['[Prod']'[Turnover']DMC_initiale]]</f>
        <v>9.0909090909090912E-2</v>
      </c>
      <c r="CL144" s="4">
        <f>1/Base[[#This Row],['[Prod']'[Turnover']DMC_finale]]</f>
        <v>9.001118487953523E-2</v>
      </c>
    </row>
    <row r="145" spans="2:90" x14ac:dyDescent="0.25">
      <c r="B145" s="4" t="s">
        <v>317</v>
      </c>
      <c r="C145">
        <v>7.5</v>
      </c>
      <c r="D145" t="s">
        <v>84</v>
      </c>
      <c r="E145" t="s">
        <v>7</v>
      </c>
      <c r="F145" s="3">
        <v>0.22452444824416889</v>
      </c>
      <c r="G145" s="3">
        <v>0.1217</v>
      </c>
      <c r="H145" s="3">
        <v>0.1217</v>
      </c>
      <c r="I145" s="3">
        <v>9.1999999999999998E-2</v>
      </c>
      <c r="J145" s="3">
        <v>7.27956</v>
      </c>
      <c r="K145" s="3">
        <v>7.0000000000000007E-2</v>
      </c>
      <c r="L145" s="2">
        <f>Base[[#This Row],[Coût]]*Base[[#This Row],[Part_ménages_dépenses_santé]]</f>
        <v>0.50956920000000006</v>
      </c>
      <c r="M145" s="2">
        <v>1</v>
      </c>
      <c r="N145" s="6">
        <v>27700000</v>
      </c>
      <c r="O145" s="7">
        <f>Base[[#This Row],[Coût_salarié]]*10^9*Base[[#This Row],[Risque]]*Base[[#This Row],[Prévalence]]*Base[[#This Row],[Part_coûts_salarié]]/Base[[#This Row],[Population_emploi]]</f>
        <v>0.50266380796279742</v>
      </c>
      <c r="P145">
        <v>50</v>
      </c>
      <c r="Q145">
        <v>50</v>
      </c>
      <c r="R145" s="2">
        <v>9.9999999999999978E-2</v>
      </c>
      <c r="S145" s="2">
        <v>0.33340000000000003</v>
      </c>
      <c r="T145" s="4">
        <v>0.1217</v>
      </c>
      <c r="U145" s="4">
        <f>IF(Bases_annexes!$F$5=0,16.6587111018772,0.77*Bases_annexes!$F$5/(IF(OR(ISBLANK('Données_d''entrée'!$E$44),'Données_d''entrée'!$E$44=0),35,'Données_d''entrée'!$E$44)*52))</f>
        <v>16.658711101877199</v>
      </c>
      <c r="V145" s="4">
        <v>21.5</v>
      </c>
      <c r="W1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5" s="4">
        <v>234.5</v>
      </c>
      <c r="Y145" s="4">
        <f>(Base[[#This Row],['[Maladies']Coûts_évités_par_salarié]]+Base[[#This Row],['[Travail']Coûts_évités_par_salarié]])/Base[[#This Row],[Budget_santé_salarié]]</f>
        <v>6.8044637550508325E-2</v>
      </c>
      <c r="Z145" s="4">
        <v>0.8</v>
      </c>
      <c r="AA145" s="4">
        <f>Base[[#This Row],[Coût]]*Base[[#This Row],[Part_société_dépenses_santé]]</f>
        <v>5.8236480000000004</v>
      </c>
      <c r="AB145" s="4">
        <v>67635124</v>
      </c>
      <c r="AC145" s="4">
        <v>82.297079063317852</v>
      </c>
      <c r="AD145" s="4">
        <v>0.1217</v>
      </c>
      <c r="AE145" s="4">
        <f>Base[[#This Row],['[SC']Prévalence_travail]]*Base[[#This Row],[Population_emploi]]</f>
        <v>3371090</v>
      </c>
      <c r="AF145" s="4">
        <f>Base[[#This Row],[Risque]]*Base[[#This Row],['[SC']Patients_en_emploi]]</f>
        <v>756892.12223143526</v>
      </c>
      <c r="AG145" s="4">
        <v>0</v>
      </c>
      <c r="AH145" s="4">
        <f>IFERROR(Base[[#This Row],['[SC']Prestations]]/Base[[#This Row],['[SC']Patients_en_emploi]],0)</f>
        <v>0</v>
      </c>
      <c r="AI145" s="4">
        <v>51.7</v>
      </c>
      <c r="AJ1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5" s="4">
        <f>Base[[#This Row],['[SC']'[Travail']Coûts_évités]]/Base[[#This Row],[Population_emploi]]</f>
        <v>26.134637917265568</v>
      </c>
      <c r="AL145" s="4">
        <f>Base[[#This Row],[Coût_société]]*10^9*Base[[#This Row],[Risque]]*Base[[#This Row],[Prévalence]]*Base[[#This Row],[Part_coûts_salarié]]/Base[[#This Row],[Population_emploi]]</f>
        <v>5.7447292338605402</v>
      </c>
      <c r="AM145" s="4">
        <f>IF(Base[[#This Row],[Pathologie]]&lt;&gt;"Dépendance",0,14909.24243952)</f>
        <v>0</v>
      </c>
      <c r="AN145" s="4">
        <f>IF(Base[[#This Row],[Pathologie]]&lt;&gt;"Dépendance",0,1316000)</f>
        <v>0</v>
      </c>
      <c r="AO145" s="4">
        <f>IF(Base[[#This Row],[Pathologie]]&lt;&gt;"Dépendance",0,Base[[#This Row],['[SC']Coût_personne_dépendante]]*Base[[#This Row],['[SC']Nb_personnes_dépendantes]])</f>
        <v>0</v>
      </c>
      <c r="AP145" s="4">
        <f>IF(Base[[#This Row],[Pathologie]]&lt;&gt;"Dépendance",0,Base[[#This Row],['[SC']Coût_total_dépendance]]/Base[[#This Row],[Population_totale]])</f>
        <v>0</v>
      </c>
      <c r="AQ145" s="4">
        <f>IF(Base[[#This Row],[Pathologie]]&lt;&gt;"Dépendance",0,4.5)</f>
        <v>0</v>
      </c>
      <c r="AR145" s="4">
        <v>0.50393265050357905</v>
      </c>
      <c r="AS145" s="4">
        <f>Base[[#This Row],[Espérance_vie]]+Base[[#This Row],['[SC']Hausse_esp_de_vie]]-Base[[#This Row],['[SC']Durée_moyenne_dépendance_avt]]+Base[[#This Row],[Risque]]</f>
        <v>83.025536162065606</v>
      </c>
      <c r="AT1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5" s="4">
        <v>62.9</v>
      </c>
      <c r="AW145" s="4">
        <f t="shared" si="0"/>
        <v>336905600000</v>
      </c>
      <c r="AX145" s="4">
        <v>15049171</v>
      </c>
      <c r="AY145" s="4">
        <f>Base[[#This Row],['[SC']Budget_total_retraites]]/Base[[#This Row],['[SC']Nombre_de_retraités]]</f>
        <v>22386.987296509556</v>
      </c>
      <c r="AZ145" s="4">
        <f>Base[[#This Row],['[SC']Budget_par_retraité]]*Base[[#This Row],['[SC']Nb_personnes_dépendantes]]</f>
        <v>0</v>
      </c>
      <c r="BA145" s="4">
        <f>Base[[#This Row],['[SC']'[Dépendance']Coût_retraite_personnes_dépendantes]]/Base[[#This Row],[Population_totale]]</f>
        <v>0</v>
      </c>
      <c r="BB1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5" s="4">
        <f>Base[[#This Row],['[SC']'[Dépendance']Gains]]-Base[[#This Row],['[SC']'[Dépendance']Coûts]]</f>
        <v>0</v>
      </c>
      <c r="BD145" s="4">
        <f>IF(Base[[#This Row],[Pathologie]]&lt;&gt;"Mort prématurée",0,Base[[#This Row],[Risque]]*Base[[#This Row],[Prévalence]]*Base[[#This Row],[Population_totale]])</f>
        <v>0</v>
      </c>
      <c r="BE145" s="4">
        <v>52.74</v>
      </c>
      <c r="BF145" s="4">
        <f>Base[[#This Row],['[SC']Âge_moyen_retraite]]-Base[[#This Row],['[SC']'[Mort_prématurée']Âge_moyen_mort précoce]]</f>
        <v>10.159999999999997</v>
      </c>
      <c r="BG145" s="4">
        <f>Base[[#This Row],[Espérance_vie]]+Base[[#This Row],['[SC']Hausse_esp_de_vie]]-Base[[#This Row],['[SC']Âge_moyen_retraite]]</f>
        <v>19.90101171382144</v>
      </c>
      <c r="BH145" s="4">
        <v>106583.42676924677</v>
      </c>
      <c r="BI145" s="4">
        <v>97601.789429271477</v>
      </c>
      <c r="BJ145" s="4">
        <v>302038.31496633729</v>
      </c>
      <c r="BK145" s="4">
        <v>117293.58934859755</v>
      </c>
      <c r="BL145" s="4">
        <v>1523999.9999999995</v>
      </c>
      <c r="BM1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5" s="4">
        <v>294804.96027377353</v>
      </c>
      <c r="BO1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5" s="4">
        <f>(Base[[#This Row],['[SC']'[Mort_prématurée']Gains]]-Base[[#This Row],['[SC']'[Mort_prématurée']Coûts]])/Base[[#This Row],[Population_totale]]</f>
        <v>0</v>
      </c>
      <c r="BQ145" s="4">
        <f>IF(Base[[#This Row],[Pathologie]]&lt;&gt;"Mort prématurée",0,Base[[#This Row],[Risque]])</f>
        <v>0</v>
      </c>
      <c r="BR145" s="4">
        <v>2680</v>
      </c>
      <c r="BS1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5" s="4">
        <f>Base[[#This Row],[Prévalence_prod]]*(1-Base[[#This Row],[Risque]])*Base[[#This Row],[Durée_arrêt]]*Base[[#This Row],[Population_emploi]]</f>
        <v>56205254.372024149</v>
      </c>
      <c r="BV145" s="4">
        <f>Base[[#This Row],['[Prod']'[Absentéisme']Total_jours_absence_avant]]-Base[[#This Row],['[Prod']'[Absentéisme']Total_jours_absence_après]]</f>
        <v>16273180.627975851</v>
      </c>
      <c r="BW145" s="4">
        <f>IF(AND(Base[[#This Row],[Pathologie]]&lt;&gt;"Dépendance",Base[[#This Row],[Pathologie]]&lt;&gt;"Mort prématurée",Base[[#This Row],[Pathologie]]&lt;&gt;"Migraine"),0.0619,0)</f>
        <v>6.1899999999999997E-2</v>
      </c>
      <c r="BX145" s="4">
        <v>254</v>
      </c>
      <c r="BY14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5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5" s="4">
        <f>Base[[#This Row],[Prévalence_prod]]*Base[[#This Row],[Présentéisme]]*Base[[#This Row],['[Prod']Jours_ouvrés]]</f>
        <v>2.8438856000000001</v>
      </c>
      <c r="CB145" s="4">
        <f>Base[[#This Row],[Prévalence_prod]]*(1-Base[[#This Row],[Risque]])*Base[[#This Row],[Présentéisme]]*Base[[#This Row],['[Prod']Jours_ouvrés]]</f>
        <v>2.2053637547904628</v>
      </c>
      <c r="CC145" s="4">
        <f>Base[[#This Row],['[Prod']'[Présentéisme']Jours_avant]]-Base[[#This Row],['[Prod']'[Présentéisme']Jours_après]]</f>
        <v>0.63852184520953736</v>
      </c>
      <c r="CD145" s="4">
        <f>Base[[#This Row],['[Prod']'[Présentéisme']Jours_gagnés]]/Base[[#This Row],['[Prod']Jours_ouvrés]]</f>
        <v>2.5138655323210133E-3</v>
      </c>
      <c r="CE145">
        <v>5.8333039429220801E-2</v>
      </c>
      <c r="CF145">
        <v>1.4658164114728258E-2</v>
      </c>
      <c r="CG145" s="4">
        <v>11</v>
      </c>
      <c r="CH145" s="4">
        <v>0.31563677172153043</v>
      </c>
      <c r="CI145" s="4">
        <v>1.3003350630813707E-4</v>
      </c>
      <c r="CJ145" s="4">
        <f>IF(Base[[#This Row],[Secteur]]&lt;&gt;"Moyenne",Base[[#This Row],['[Prod']'[Turnover']DMC_initiale]]*(1+Base[[#This Row],['[Prod']'[Turnover']Ecart_accidents]]*Base[[#This Row],['[Prod']Impact_motifs_turnover]]),CJ128*CI128+CJ129*CI129+CJ130*CI130+CJ131*CI131+CJ132*CI132+CJ133*CI133+CJ134*CI134+CJ135*CI135+CJ136*CI136+CJ137*CI137+CJ138*CI138+CJ139*CI139+CJ140*CI140+CJ141*CI141+CJ142*CI142+CJ143*CI143+CJ144*CI144)</f>
        <v>11.05089321160591</v>
      </c>
      <c r="CK145" s="4">
        <f>1/Base[[#This Row],['[Prod']'[Turnover']DMC_initiale]]</f>
        <v>9.0909090909090912E-2</v>
      </c>
      <c r="CL145" s="4">
        <f>1/Base[[#This Row],['[Prod']'[Turnover']DMC_finale]]</f>
        <v>9.0490422887244654E-2</v>
      </c>
    </row>
    <row r="146" spans="2:90" x14ac:dyDescent="0.25">
      <c r="B146" s="4" t="s">
        <v>318</v>
      </c>
      <c r="C146">
        <v>7.5</v>
      </c>
      <c r="D146" t="s">
        <v>84</v>
      </c>
      <c r="E146" t="s">
        <v>7</v>
      </c>
      <c r="F146" s="3">
        <v>0.22452444824416889</v>
      </c>
      <c r="G146" s="3">
        <v>0.1217</v>
      </c>
      <c r="H146" s="3">
        <v>0.1217</v>
      </c>
      <c r="I146" s="3">
        <v>9.1999999999999998E-2</v>
      </c>
      <c r="J146" s="3">
        <v>7.27956</v>
      </c>
      <c r="K146" s="3">
        <v>7.0000000000000007E-2</v>
      </c>
      <c r="L146" s="2">
        <f>Base[[#This Row],[Coût]]*Base[[#This Row],[Part_ménages_dépenses_santé]]</f>
        <v>0.50956920000000006</v>
      </c>
      <c r="M146" s="2">
        <v>1</v>
      </c>
      <c r="N146" s="6">
        <v>27700000</v>
      </c>
      <c r="O146" s="7">
        <f>Base[[#This Row],[Coût_salarié]]*10^9*Base[[#This Row],[Risque]]*Base[[#This Row],[Prévalence]]*Base[[#This Row],[Part_coûts_salarié]]/Base[[#This Row],[Population_emploi]]</f>
        <v>0.50266380796279742</v>
      </c>
      <c r="P146">
        <v>50</v>
      </c>
      <c r="Q146">
        <v>50</v>
      </c>
      <c r="R146" s="2">
        <v>9.9999999999999978E-2</v>
      </c>
      <c r="S146" s="2">
        <v>0.33340000000000003</v>
      </c>
      <c r="T146" s="4">
        <v>0.1217</v>
      </c>
      <c r="U146" s="4">
        <f>IF(Bases_annexes!$F$5=0,16.6587111018772,0.77*Bases_annexes!$F$5/(IF(OR(ISBLANK('Données_d''entrée'!$E$44),'Données_d''entrée'!$E$44=0),35,'Données_d''entrée'!$E$44)*52))</f>
        <v>16.658711101877199</v>
      </c>
      <c r="V146" s="4">
        <v>21.5</v>
      </c>
      <c r="W1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6" s="4">
        <v>234.5</v>
      </c>
      <c r="Y146" s="4">
        <f>(Base[[#This Row],['[Maladies']Coûts_évités_par_salarié]]+Base[[#This Row],['[Travail']Coûts_évités_par_salarié]])/Base[[#This Row],[Budget_santé_salarié]]</f>
        <v>6.8044637550508325E-2</v>
      </c>
      <c r="Z146" s="4">
        <v>0.8</v>
      </c>
      <c r="AA146" s="4">
        <f>Base[[#This Row],[Coût]]*Base[[#This Row],[Part_société_dépenses_santé]]</f>
        <v>5.8236480000000004</v>
      </c>
      <c r="AB146" s="4">
        <v>67635124</v>
      </c>
      <c r="AC146" s="4">
        <v>82.297079063317852</v>
      </c>
      <c r="AD146" s="4">
        <v>0.1217</v>
      </c>
      <c r="AE146" s="4">
        <f>Base[[#This Row],['[SC']Prévalence_travail]]*Base[[#This Row],[Population_emploi]]</f>
        <v>3371090</v>
      </c>
      <c r="AF146" s="4">
        <f>Base[[#This Row],[Risque]]*Base[[#This Row],['[SC']Patients_en_emploi]]</f>
        <v>756892.12223143526</v>
      </c>
      <c r="AG146" s="4">
        <v>0</v>
      </c>
      <c r="AH146" s="4">
        <f>IFERROR(Base[[#This Row],['[SC']Prestations]]/Base[[#This Row],['[SC']Patients_en_emploi]],0)</f>
        <v>0</v>
      </c>
      <c r="AI146" s="4">
        <v>51.7</v>
      </c>
      <c r="AJ1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6" s="4">
        <f>Base[[#This Row],['[SC']'[Travail']Coûts_évités]]/Base[[#This Row],[Population_emploi]]</f>
        <v>26.134637917265568</v>
      </c>
      <c r="AL146" s="4">
        <f>Base[[#This Row],[Coût_société]]*10^9*Base[[#This Row],[Risque]]*Base[[#This Row],[Prévalence]]*Base[[#This Row],[Part_coûts_salarié]]/Base[[#This Row],[Population_emploi]]</f>
        <v>5.7447292338605402</v>
      </c>
      <c r="AM146" s="4">
        <f>IF(Base[[#This Row],[Pathologie]]&lt;&gt;"Dépendance",0,14909.24243952)</f>
        <v>0</v>
      </c>
      <c r="AN146" s="4">
        <f>IF(Base[[#This Row],[Pathologie]]&lt;&gt;"Dépendance",0,1316000)</f>
        <v>0</v>
      </c>
      <c r="AO146" s="4">
        <f>IF(Base[[#This Row],[Pathologie]]&lt;&gt;"Dépendance",0,Base[[#This Row],['[SC']Coût_personne_dépendante]]*Base[[#This Row],['[SC']Nb_personnes_dépendantes]])</f>
        <v>0</v>
      </c>
      <c r="AP146" s="4">
        <f>IF(Base[[#This Row],[Pathologie]]&lt;&gt;"Dépendance",0,Base[[#This Row],['[SC']Coût_total_dépendance]]/Base[[#This Row],[Population_totale]])</f>
        <v>0</v>
      </c>
      <c r="AQ146" s="4">
        <f>IF(Base[[#This Row],[Pathologie]]&lt;&gt;"Dépendance",0,4.5)</f>
        <v>0</v>
      </c>
      <c r="AR146" s="4">
        <v>0.50393265050357905</v>
      </c>
      <c r="AS146" s="4">
        <f>Base[[#This Row],[Espérance_vie]]+Base[[#This Row],['[SC']Hausse_esp_de_vie]]-Base[[#This Row],['[SC']Durée_moyenne_dépendance_avt]]+Base[[#This Row],[Risque]]</f>
        <v>83.025536162065606</v>
      </c>
      <c r="AT1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6" s="4">
        <v>62.9</v>
      </c>
      <c r="AW146" s="4">
        <f t="shared" si="0"/>
        <v>336905600000</v>
      </c>
      <c r="AX146" s="4">
        <v>15049171</v>
      </c>
      <c r="AY146" s="4">
        <f>Base[[#This Row],['[SC']Budget_total_retraites]]/Base[[#This Row],['[SC']Nombre_de_retraités]]</f>
        <v>22386.987296509556</v>
      </c>
      <c r="AZ146" s="4">
        <f>Base[[#This Row],['[SC']Budget_par_retraité]]*Base[[#This Row],['[SC']Nb_personnes_dépendantes]]</f>
        <v>0</v>
      </c>
      <c r="BA146" s="4">
        <f>Base[[#This Row],['[SC']'[Dépendance']Coût_retraite_personnes_dépendantes]]/Base[[#This Row],[Population_totale]]</f>
        <v>0</v>
      </c>
      <c r="BB1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6" s="4">
        <f>Base[[#This Row],['[SC']'[Dépendance']Gains]]-Base[[#This Row],['[SC']'[Dépendance']Coûts]]</f>
        <v>0</v>
      </c>
      <c r="BD146" s="4">
        <f>IF(Base[[#This Row],[Pathologie]]&lt;&gt;"Mort prématurée",0,Base[[#This Row],[Risque]]*Base[[#This Row],[Prévalence]]*Base[[#This Row],[Population_totale]])</f>
        <v>0</v>
      </c>
      <c r="BE146" s="4">
        <v>52.74</v>
      </c>
      <c r="BF146" s="4">
        <f>Base[[#This Row],['[SC']Âge_moyen_retraite]]-Base[[#This Row],['[SC']'[Mort_prématurée']Âge_moyen_mort précoce]]</f>
        <v>10.159999999999997</v>
      </c>
      <c r="BG146" s="4">
        <f>Base[[#This Row],[Espérance_vie]]+Base[[#This Row],['[SC']Hausse_esp_de_vie]]-Base[[#This Row],['[SC']Âge_moyen_retraite]]</f>
        <v>19.90101171382144</v>
      </c>
      <c r="BH146" s="4">
        <v>106583.42676924677</v>
      </c>
      <c r="BI146" s="4">
        <v>97601.789429271477</v>
      </c>
      <c r="BJ146" s="4">
        <v>302038.31496633729</v>
      </c>
      <c r="BK146" s="4">
        <v>117293.58934859755</v>
      </c>
      <c r="BL146" s="4">
        <v>1523999.9999999995</v>
      </c>
      <c r="BM1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6" s="4">
        <v>294804.96027377353</v>
      </c>
      <c r="BO1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6" s="4">
        <f>(Base[[#This Row],['[SC']'[Mort_prématurée']Gains]]-Base[[#This Row],['[SC']'[Mort_prématurée']Coûts]])/Base[[#This Row],[Population_totale]]</f>
        <v>0</v>
      </c>
      <c r="BQ146" s="4">
        <f>IF(Base[[#This Row],[Pathologie]]&lt;&gt;"Mort prématurée",0,Base[[#This Row],[Risque]])</f>
        <v>0</v>
      </c>
      <c r="BR146" s="4">
        <v>2680</v>
      </c>
      <c r="BS1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6" s="4">
        <f>Base[[#This Row],[Prévalence_prod]]*(1-Base[[#This Row],[Risque]])*Base[[#This Row],[Durée_arrêt]]*Base[[#This Row],[Population_emploi]]</f>
        <v>56205254.372024149</v>
      </c>
      <c r="BV146" s="4">
        <f>Base[[#This Row],['[Prod']'[Absentéisme']Total_jours_absence_avant]]-Base[[#This Row],['[Prod']'[Absentéisme']Total_jours_absence_après]]</f>
        <v>16273180.627975851</v>
      </c>
      <c r="BW146" s="4">
        <f>IF(AND(Base[[#This Row],[Pathologie]]&lt;&gt;"Dépendance",Base[[#This Row],[Pathologie]]&lt;&gt;"Mort prématurée",Base[[#This Row],[Pathologie]]&lt;&gt;"Migraine"),0.0619,0)</f>
        <v>6.1899999999999997E-2</v>
      </c>
      <c r="BX146" s="4">
        <v>254</v>
      </c>
      <c r="BY14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6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6" s="4">
        <f>Base[[#This Row],[Prévalence_prod]]*Base[[#This Row],[Présentéisme]]*Base[[#This Row],['[Prod']Jours_ouvrés]]</f>
        <v>2.8438856000000001</v>
      </c>
      <c r="CB146" s="4">
        <f>Base[[#This Row],[Prévalence_prod]]*(1-Base[[#This Row],[Risque]])*Base[[#This Row],[Présentéisme]]*Base[[#This Row],['[Prod']Jours_ouvrés]]</f>
        <v>2.2053637547904628</v>
      </c>
      <c r="CC146" s="4">
        <f>Base[[#This Row],['[Prod']'[Présentéisme']Jours_avant]]-Base[[#This Row],['[Prod']'[Présentéisme']Jours_après]]</f>
        <v>0.63852184520953736</v>
      </c>
      <c r="CD146" s="4">
        <f>Base[[#This Row],['[Prod']'[Présentéisme']Jours_gagnés]]/Base[[#This Row],['[Prod']Jours_ouvrés]]</f>
        <v>2.5138655323210133E-3</v>
      </c>
      <c r="CE146">
        <v>5.8333039429220801E-2</v>
      </c>
      <c r="CF146">
        <v>1.4658164114728258E-2</v>
      </c>
      <c r="CG146" s="4">
        <v>11</v>
      </c>
      <c r="CH146" s="4">
        <v>1.1688035738877327</v>
      </c>
      <c r="CI146" s="4">
        <v>9.6557438521367826E-3</v>
      </c>
      <c r="CJ146" s="4">
        <f>IF(Base[[#This Row],[Secteur]]&lt;&gt;"Moyenne",Base[[#This Row],['[Prod']'[Turnover']DMC_initiale]]*(1+Base[[#This Row],['[Prod']'[Turnover']Ecart_accidents]]*Base[[#This Row],['[Prod']Impact_motifs_turnover]]),CJ129*CI129+CJ130*CI130+CJ131*CI131+CJ132*CI132+CJ133*CI133+CJ134*CI134+CJ135*CI135+CJ136*CI136+CJ137*CI137+CJ138*CI138+CJ139*CI139+CJ140*CI140+CJ141*CI141+CJ142*CI142+CJ143*CI143+CJ144*CI144+CJ145*CI145)</f>
        <v>11.188457660643202</v>
      </c>
      <c r="CK146" s="4">
        <f>1/Base[[#This Row],['[Prod']'[Turnover']DMC_initiale]]</f>
        <v>9.0909090909090912E-2</v>
      </c>
      <c r="CL146" s="4">
        <f>1/Base[[#This Row],['[Prod']'[Turnover']DMC_finale]]</f>
        <v>8.9377824033568531E-2</v>
      </c>
    </row>
    <row r="147" spans="2:90" x14ac:dyDescent="0.25">
      <c r="B147" s="4" t="s">
        <v>319</v>
      </c>
      <c r="C147">
        <v>7.5</v>
      </c>
      <c r="D147" t="s">
        <v>84</v>
      </c>
      <c r="E147" t="s">
        <v>7</v>
      </c>
      <c r="F147" s="3">
        <v>0.22452444824416889</v>
      </c>
      <c r="G147" s="3">
        <v>0.1217</v>
      </c>
      <c r="H147" s="3">
        <v>0.1217</v>
      </c>
      <c r="I147" s="3">
        <v>9.1999999999999998E-2</v>
      </c>
      <c r="J147" s="3">
        <v>7.27956</v>
      </c>
      <c r="K147" s="3">
        <v>7.0000000000000007E-2</v>
      </c>
      <c r="L147" s="2">
        <f>Base[[#This Row],[Coût]]*Base[[#This Row],[Part_ménages_dépenses_santé]]</f>
        <v>0.50956920000000006</v>
      </c>
      <c r="M147" s="2">
        <v>1</v>
      </c>
      <c r="N147" s="6">
        <v>27700000</v>
      </c>
      <c r="O147" s="7">
        <f>Base[[#This Row],[Coût_salarié]]*10^9*Base[[#This Row],[Risque]]*Base[[#This Row],[Prévalence]]*Base[[#This Row],[Part_coûts_salarié]]/Base[[#This Row],[Population_emploi]]</f>
        <v>0.50266380796279742</v>
      </c>
      <c r="P147">
        <v>50</v>
      </c>
      <c r="Q147">
        <v>50</v>
      </c>
      <c r="R147" s="2">
        <v>9.9999999999999978E-2</v>
      </c>
      <c r="S147" s="2">
        <v>0.33340000000000003</v>
      </c>
      <c r="T147" s="4">
        <v>0.1217</v>
      </c>
      <c r="U147" s="4">
        <f>IF(Bases_annexes!$F$5=0,16.6587111018772,0.77*Bases_annexes!$F$5/(IF(OR(ISBLANK('Données_d''entrée'!$E$44),'Données_d''entrée'!$E$44=0),35,'Données_d''entrée'!$E$44)*52))</f>
        <v>16.658711101877199</v>
      </c>
      <c r="V147" s="4">
        <v>21.5</v>
      </c>
      <c r="W1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7" s="4">
        <v>234.5</v>
      </c>
      <c r="Y147" s="4">
        <f>(Base[[#This Row],['[Maladies']Coûts_évités_par_salarié]]+Base[[#This Row],['[Travail']Coûts_évités_par_salarié]])/Base[[#This Row],[Budget_santé_salarié]]</f>
        <v>6.8044637550508325E-2</v>
      </c>
      <c r="Z147" s="4">
        <v>0.8</v>
      </c>
      <c r="AA147" s="4">
        <f>Base[[#This Row],[Coût]]*Base[[#This Row],[Part_société_dépenses_santé]]</f>
        <v>5.8236480000000004</v>
      </c>
      <c r="AB147" s="4">
        <v>67635124</v>
      </c>
      <c r="AC147" s="4">
        <v>82.297079063317852</v>
      </c>
      <c r="AD147" s="4">
        <v>0.1217</v>
      </c>
      <c r="AE147" s="4">
        <f>Base[[#This Row],['[SC']Prévalence_travail]]*Base[[#This Row],[Population_emploi]]</f>
        <v>3371090</v>
      </c>
      <c r="AF147" s="4">
        <f>Base[[#This Row],[Risque]]*Base[[#This Row],['[SC']Patients_en_emploi]]</f>
        <v>756892.12223143526</v>
      </c>
      <c r="AG147" s="4">
        <v>0</v>
      </c>
      <c r="AH147" s="4">
        <f>IFERROR(Base[[#This Row],['[SC']Prestations]]/Base[[#This Row],['[SC']Patients_en_emploi]],0)</f>
        <v>0</v>
      </c>
      <c r="AI147" s="4">
        <v>51.7</v>
      </c>
      <c r="AJ1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7" s="4">
        <f>Base[[#This Row],['[SC']'[Travail']Coûts_évités]]/Base[[#This Row],[Population_emploi]]</f>
        <v>26.134637917265568</v>
      </c>
      <c r="AL147" s="4">
        <f>Base[[#This Row],[Coût_société]]*10^9*Base[[#This Row],[Risque]]*Base[[#This Row],[Prévalence]]*Base[[#This Row],[Part_coûts_salarié]]/Base[[#This Row],[Population_emploi]]</f>
        <v>5.7447292338605402</v>
      </c>
      <c r="AM147" s="4">
        <f>IF(Base[[#This Row],[Pathologie]]&lt;&gt;"Dépendance",0,14909.24243952)</f>
        <v>0</v>
      </c>
      <c r="AN147" s="4">
        <f>IF(Base[[#This Row],[Pathologie]]&lt;&gt;"Dépendance",0,1316000)</f>
        <v>0</v>
      </c>
      <c r="AO147" s="4">
        <f>IF(Base[[#This Row],[Pathologie]]&lt;&gt;"Dépendance",0,Base[[#This Row],['[SC']Coût_personne_dépendante]]*Base[[#This Row],['[SC']Nb_personnes_dépendantes]])</f>
        <v>0</v>
      </c>
      <c r="AP147" s="4">
        <f>IF(Base[[#This Row],[Pathologie]]&lt;&gt;"Dépendance",0,Base[[#This Row],['[SC']Coût_total_dépendance]]/Base[[#This Row],[Population_totale]])</f>
        <v>0</v>
      </c>
      <c r="AQ147" s="4">
        <f>IF(Base[[#This Row],[Pathologie]]&lt;&gt;"Dépendance",0,4.5)</f>
        <v>0</v>
      </c>
      <c r="AR147" s="4">
        <v>0.50393265050357905</v>
      </c>
      <c r="AS147" s="4">
        <f>Base[[#This Row],[Espérance_vie]]+Base[[#This Row],['[SC']Hausse_esp_de_vie]]-Base[[#This Row],['[SC']Durée_moyenne_dépendance_avt]]+Base[[#This Row],[Risque]]</f>
        <v>83.025536162065606</v>
      </c>
      <c r="AT1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7" s="4">
        <v>62.9</v>
      </c>
      <c r="AW147" s="4">
        <f t="shared" si="0"/>
        <v>336905600000</v>
      </c>
      <c r="AX147" s="4">
        <v>15049171</v>
      </c>
      <c r="AY147" s="4">
        <f>Base[[#This Row],['[SC']Budget_total_retraites]]/Base[[#This Row],['[SC']Nombre_de_retraités]]</f>
        <v>22386.987296509556</v>
      </c>
      <c r="AZ147" s="4">
        <f>Base[[#This Row],['[SC']Budget_par_retraité]]*Base[[#This Row],['[SC']Nb_personnes_dépendantes]]</f>
        <v>0</v>
      </c>
      <c r="BA147" s="4">
        <f>Base[[#This Row],['[SC']'[Dépendance']Coût_retraite_personnes_dépendantes]]/Base[[#This Row],[Population_totale]]</f>
        <v>0</v>
      </c>
      <c r="BB1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7" s="4">
        <f>Base[[#This Row],['[SC']'[Dépendance']Gains]]-Base[[#This Row],['[SC']'[Dépendance']Coûts]]</f>
        <v>0</v>
      </c>
      <c r="BD147" s="4">
        <f>IF(Base[[#This Row],[Pathologie]]&lt;&gt;"Mort prématurée",0,Base[[#This Row],[Risque]]*Base[[#This Row],[Prévalence]]*Base[[#This Row],[Population_totale]])</f>
        <v>0</v>
      </c>
      <c r="BE147" s="4">
        <v>52.74</v>
      </c>
      <c r="BF147" s="4">
        <f>Base[[#This Row],['[SC']Âge_moyen_retraite]]-Base[[#This Row],['[SC']'[Mort_prématurée']Âge_moyen_mort précoce]]</f>
        <v>10.159999999999997</v>
      </c>
      <c r="BG147" s="4">
        <f>Base[[#This Row],[Espérance_vie]]+Base[[#This Row],['[SC']Hausse_esp_de_vie]]-Base[[#This Row],['[SC']Âge_moyen_retraite]]</f>
        <v>19.90101171382144</v>
      </c>
      <c r="BH147" s="4">
        <v>106583.42676924677</v>
      </c>
      <c r="BI147" s="4">
        <v>97601.789429271477</v>
      </c>
      <c r="BJ147" s="4">
        <v>302038.31496633729</v>
      </c>
      <c r="BK147" s="4">
        <v>117293.58934859755</v>
      </c>
      <c r="BL147" s="4">
        <v>1523999.9999999995</v>
      </c>
      <c r="BM1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7" s="4">
        <v>294804.96027377353</v>
      </c>
      <c r="BO1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7" s="4">
        <f>(Base[[#This Row],['[SC']'[Mort_prématurée']Gains]]-Base[[#This Row],['[SC']'[Mort_prématurée']Coûts]])/Base[[#This Row],[Population_totale]]</f>
        <v>0</v>
      </c>
      <c r="BQ147" s="4">
        <f>IF(Base[[#This Row],[Pathologie]]&lt;&gt;"Mort prématurée",0,Base[[#This Row],[Risque]])</f>
        <v>0</v>
      </c>
      <c r="BR147" s="4">
        <v>2680</v>
      </c>
      <c r="BS1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7" s="4">
        <f>Base[[#This Row],[Prévalence_prod]]*(1-Base[[#This Row],[Risque]])*Base[[#This Row],[Durée_arrêt]]*Base[[#This Row],[Population_emploi]]</f>
        <v>56205254.372024149</v>
      </c>
      <c r="BV147" s="4">
        <f>Base[[#This Row],['[Prod']'[Absentéisme']Total_jours_absence_avant]]-Base[[#This Row],['[Prod']'[Absentéisme']Total_jours_absence_après]]</f>
        <v>16273180.627975851</v>
      </c>
      <c r="BW147" s="4">
        <f>IF(AND(Base[[#This Row],[Pathologie]]&lt;&gt;"Dépendance",Base[[#This Row],[Pathologie]]&lt;&gt;"Mort prématurée",Base[[#This Row],[Pathologie]]&lt;&gt;"Migraine"),0.0619,0)</f>
        <v>6.1899999999999997E-2</v>
      </c>
      <c r="BX147" s="4">
        <v>254</v>
      </c>
      <c r="BY147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7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7" s="4">
        <f>Base[[#This Row],[Prévalence_prod]]*Base[[#This Row],[Présentéisme]]*Base[[#This Row],['[Prod']Jours_ouvrés]]</f>
        <v>2.8438856000000001</v>
      </c>
      <c r="CB147" s="4">
        <f>Base[[#This Row],[Prévalence_prod]]*(1-Base[[#This Row],[Risque]])*Base[[#This Row],[Présentéisme]]*Base[[#This Row],['[Prod']Jours_ouvrés]]</f>
        <v>2.2053637547904628</v>
      </c>
      <c r="CC147" s="4">
        <f>Base[[#This Row],['[Prod']'[Présentéisme']Jours_avant]]-Base[[#This Row],['[Prod']'[Présentéisme']Jours_après]]</f>
        <v>0.63852184520953736</v>
      </c>
      <c r="CD147" s="4">
        <f>Base[[#This Row],['[Prod']'[Présentéisme']Jours_gagnés]]/Base[[#This Row],['[Prod']Jours_ouvrés]]</f>
        <v>2.5138655323210133E-3</v>
      </c>
      <c r="CE147">
        <v>5.8333039429220801E-2</v>
      </c>
      <c r="CF147">
        <v>1.4658164114728258E-2</v>
      </c>
      <c r="CG147" s="4">
        <v>11</v>
      </c>
      <c r="CH147" s="4">
        <v>0.52204401140486179</v>
      </c>
      <c r="CI147" s="4">
        <v>1.2443904150185675E-2</v>
      </c>
      <c r="CJ147" s="4">
        <f>IF(Base[[#This Row],[Secteur]]&lt;&gt;"Moyenne",Base[[#This Row],['[Prod']'[Turnover']DMC_initiale]]*(1+Base[[#This Row],['[Prod']'[Turnover']Ecart_accidents]]*Base[[#This Row],['[Prod']Impact_motifs_turnover]]),CJ130*CI130+CJ131*CI131+CJ132*CI132+CJ133*CI133+CJ134*CI134+CJ135*CI135+CJ136*CI136+CJ137*CI137+CJ138*CI138+CJ139*CI139+CJ140*CI140+CJ141*CI141+CJ142*CI142+CJ143*CI143+CJ144*CI144+CJ145*CI145+CJ146*CI146)</f>
        <v>11.084174274737117</v>
      </c>
      <c r="CK147" s="4">
        <f>1/Base[[#This Row],['[Prod']'[Turnover']DMC_initiale]]</f>
        <v>9.0909090909090912E-2</v>
      </c>
      <c r="CL147" s="4">
        <f>1/Base[[#This Row],['[Prod']'[Turnover']DMC_finale]]</f>
        <v>9.0218718617514418E-2</v>
      </c>
    </row>
    <row r="148" spans="2:90" x14ac:dyDescent="0.25">
      <c r="B148" s="4" t="s">
        <v>320</v>
      </c>
      <c r="C148">
        <v>7.5</v>
      </c>
      <c r="D148" t="s">
        <v>84</v>
      </c>
      <c r="E148" t="s">
        <v>7</v>
      </c>
      <c r="F148" s="3">
        <v>0.22452444824416889</v>
      </c>
      <c r="G148" s="3">
        <v>0.1217</v>
      </c>
      <c r="H148" s="3">
        <v>0.1217</v>
      </c>
      <c r="I148" s="3">
        <v>9.1999999999999998E-2</v>
      </c>
      <c r="J148" s="3">
        <v>7.27956</v>
      </c>
      <c r="K148" s="3">
        <v>7.0000000000000007E-2</v>
      </c>
      <c r="L148" s="2">
        <f>Base[[#This Row],[Coût]]*Base[[#This Row],[Part_ménages_dépenses_santé]]</f>
        <v>0.50956920000000006</v>
      </c>
      <c r="M148" s="2">
        <v>1</v>
      </c>
      <c r="N148" s="6">
        <v>27700000</v>
      </c>
      <c r="O148" s="7">
        <f>Base[[#This Row],[Coût_salarié]]*10^9*Base[[#This Row],[Risque]]*Base[[#This Row],[Prévalence]]*Base[[#This Row],[Part_coûts_salarié]]/Base[[#This Row],[Population_emploi]]</f>
        <v>0.50266380796279742</v>
      </c>
      <c r="P148">
        <v>50</v>
      </c>
      <c r="Q148">
        <v>50</v>
      </c>
      <c r="R148" s="2">
        <v>9.9999999999999978E-2</v>
      </c>
      <c r="S148" s="2">
        <v>0.33340000000000003</v>
      </c>
      <c r="T148" s="4">
        <v>0.1217</v>
      </c>
      <c r="U148" s="4">
        <f>IF(Bases_annexes!$F$5=0,16.6587111018772,0.77*Bases_annexes!$F$5/(IF(OR(ISBLANK('Données_d''entrée'!$E$44),'Données_d''entrée'!$E$44=0),35,'Données_d''entrée'!$E$44)*52))</f>
        <v>16.658711101877199</v>
      </c>
      <c r="V148" s="4">
        <v>21.5</v>
      </c>
      <c r="W1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8" s="4">
        <v>234.5</v>
      </c>
      <c r="Y148" s="4">
        <f>(Base[[#This Row],['[Maladies']Coûts_évités_par_salarié]]+Base[[#This Row],['[Travail']Coûts_évités_par_salarié]])/Base[[#This Row],[Budget_santé_salarié]]</f>
        <v>6.8044637550508325E-2</v>
      </c>
      <c r="Z148" s="4">
        <v>0.8</v>
      </c>
      <c r="AA148" s="4">
        <f>Base[[#This Row],[Coût]]*Base[[#This Row],[Part_société_dépenses_santé]]</f>
        <v>5.8236480000000004</v>
      </c>
      <c r="AB148" s="4">
        <v>67635124</v>
      </c>
      <c r="AC148" s="4">
        <v>82.297079063317852</v>
      </c>
      <c r="AD148" s="4">
        <v>0.1217</v>
      </c>
      <c r="AE148" s="4">
        <f>Base[[#This Row],['[SC']Prévalence_travail]]*Base[[#This Row],[Population_emploi]]</f>
        <v>3371090</v>
      </c>
      <c r="AF148" s="4">
        <f>Base[[#This Row],[Risque]]*Base[[#This Row],['[SC']Patients_en_emploi]]</f>
        <v>756892.12223143526</v>
      </c>
      <c r="AG148" s="4">
        <v>0</v>
      </c>
      <c r="AH148" s="4">
        <f>IFERROR(Base[[#This Row],['[SC']Prestations]]/Base[[#This Row],['[SC']Patients_en_emploi]],0)</f>
        <v>0</v>
      </c>
      <c r="AI148" s="4">
        <v>51.7</v>
      </c>
      <c r="AJ1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8" s="4">
        <f>Base[[#This Row],['[SC']'[Travail']Coûts_évités]]/Base[[#This Row],[Population_emploi]]</f>
        <v>26.134637917265568</v>
      </c>
      <c r="AL148" s="4">
        <f>Base[[#This Row],[Coût_société]]*10^9*Base[[#This Row],[Risque]]*Base[[#This Row],[Prévalence]]*Base[[#This Row],[Part_coûts_salarié]]/Base[[#This Row],[Population_emploi]]</f>
        <v>5.7447292338605402</v>
      </c>
      <c r="AM148" s="4">
        <f>IF(Base[[#This Row],[Pathologie]]&lt;&gt;"Dépendance",0,14909.24243952)</f>
        <v>0</v>
      </c>
      <c r="AN148" s="4">
        <f>IF(Base[[#This Row],[Pathologie]]&lt;&gt;"Dépendance",0,1316000)</f>
        <v>0</v>
      </c>
      <c r="AO148" s="4">
        <f>IF(Base[[#This Row],[Pathologie]]&lt;&gt;"Dépendance",0,Base[[#This Row],['[SC']Coût_personne_dépendante]]*Base[[#This Row],['[SC']Nb_personnes_dépendantes]])</f>
        <v>0</v>
      </c>
      <c r="AP148" s="4">
        <f>IF(Base[[#This Row],[Pathologie]]&lt;&gt;"Dépendance",0,Base[[#This Row],['[SC']Coût_total_dépendance]]/Base[[#This Row],[Population_totale]])</f>
        <v>0</v>
      </c>
      <c r="AQ148" s="4">
        <f>IF(Base[[#This Row],[Pathologie]]&lt;&gt;"Dépendance",0,4.5)</f>
        <v>0</v>
      </c>
      <c r="AR148" s="4">
        <v>0.50393265050357905</v>
      </c>
      <c r="AS148" s="4">
        <f>Base[[#This Row],[Espérance_vie]]+Base[[#This Row],['[SC']Hausse_esp_de_vie]]-Base[[#This Row],['[SC']Durée_moyenne_dépendance_avt]]+Base[[#This Row],[Risque]]</f>
        <v>83.025536162065606</v>
      </c>
      <c r="AT1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8" s="4">
        <v>62.9</v>
      </c>
      <c r="AW148" s="4">
        <f t="shared" si="0"/>
        <v>336905600000</v>
      </c>
      <c r="AX148" s="4">
        <v>15049171</v>
      </c>
      <c r="AY148" s="4">
        <f>Base[[#This Row],['[SC']Budget_total_retraites]]/Base[[#This Row],['[SC']Nombre_de_retraités]]</f>
        <v>22386.987296509556</v>
      </c>
      <c r="AZ148" s="4">
        <f>Base[[#This Row],['[SC']Budget_par_retraité]]*Base[[#This Row],['[SC']Nb_personnes_dépendantes]]</f>
        <v>0</v>
      </c>
      <c r="BA148" s="4">
        <f>Base[[#This Row],['[SC']'[Dépendance']Coût_retraite_personnes_dépendantes]]/Base[[#This Row],[Population_totale]]</f>
        <v>0</v>
      </c>
      <c r="BB1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8" s="4">
        <f>Base[[#This Row],['[SC']'[Dépendance']Gains]]-Base[[#This Row],['[SC']'[Dépendance']Coûts]]</f>
        <v>0</v>
      </c>
      <c r="BD148" s="4">
        <f>IF(Base[[#This Row],[Pathologie]]&lt;&gt;"Mort prématurée",0,Base[[#This Row],[Risque]]*Base[[#This Row],[Prévalence]]*Base[[#This Row],[Population_totale]])</f>
        <v>0</v>
      </c>
      <c r="BE148" s="4">
        <v>52.74</v>
      </c>
      <c r="BF148" s="4">
        <f>Base[[#This Row],['[SC']Âge_moyen_retraite]]-Base[[#This Row],['[SC']'[Mort_prématurée']Âge_moyen_mort précoce]]</f>
        <v>10.159999999999997</v>
      </c>
      <c r="BG148" s="4">
        <f>Base[[#This Row],[Espérance_vie]]+Base[[#This Row],['[SC']Hausse_esp_de_vie]]-Base[[#This Row],['[SC']Âge_moyen_retraite]]</f>
        <v>19.90101171382144</v>
      </c>
      <c r="BH148" s="4">
        <v>106583.42676924677</v>
      </c>
      <c r="BI148" s="4">
        <v>97601.789429271477</v>
      </c>
      <c r="BJ148" s="4">
        <v>302038.31496633729</v>
      </c>
      <c r="BK148" s="4">
        <v>117293.58934859755</v>
      </c>
      <c r="BL148" s="4">
        <v>1523999.9999999995</v>
      </c>
      <c r="BM1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8" s="4">
        <v>294804.96027377353</v>
      </c>
      <c r="BO1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8" s="4">
        <f>(Base[[#This Row],['[SC']'[Mort_prématurée']Gains]]-Base[[#This Row],['[SC']'[Mort_prématurée']Coûts]])/Base[[#This Row],[Population_totale]]</f>
        <v>0</v>
      </c>
      <c r="BQ148" s="4">
        <f>IF(Base[[#This Row],[Pathologie]]&lt;&gt;"Mort prématurée",0,Base[[#This Row],[Risque]])</f>
        <v>0</v>
      </c>
      <c r="BR148" s="4">
        <v>2680</v>
      </c>
      <c r="BS1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8" s="4">
        <f>Base[[#This Row],[Prévalence_prod]]*(1-Base[[#This Row],[Risque]])*Base[[#This Row],[Durée_arrêt]]*Base[[#This Row],[Population_emploi]]</f>
        <v>56205254.372024149</v>
      </c>
      <c r="BV148" s="4">
        <f>Base[[#This Row],['[Prod']'[Absentéisme']Total_jours_absence_avant]]-Base[[#This Row],['[Prod']'[Absentéisme']Total_jours_absence_après]]</f>
        <v>16273180.627975851</v>
      </c>
      <c r="BW148" s="4">
        <f>IF(AND(Base[[#This Row],[Pathologie]]&lt;&gt;"Dépendance",Base[[#This Row],[Pathologie]]&lt;&gt;"Mort prématurée",Base[[#This Row],[Pathologie]]&lt;&gt;"Migraine"),0.0619,0)</f>
        <v>6.1899999999999997E-2</v>
      </c>
      <c r="BX148" s="4">
        <v>254</v>
      </c>
      <c r="BY148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8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8" s="4">
        <f>Base[[#This Row],[Prévalence_prod]]*Base[[#This Row],[Présentéisme]]*Base[[#This Row],['[Prod']Jours_ouvrés]]</f>
        <v>2.8438856000000001</v>
      </c>
      <c r="CB148" s="4">
        <f>Base[[#This Row],[Prévalence_prod]]*(1-Base[[#This Row],[Risque]])*Base[[#This Row],[Présentéisme]]*Base[[#This Row],['[Prod']Jours_ouvrés]]</f>
        <v>2.2053637547904628</v>
      </c>
      <c r="CC148" s="4">
        <f>Base[[#This Row],['[Prod']'[Présentéisme']Jours_avant]]-Base[[#This Row],['[Prod']'[Présentéisme']Jours_après]]</f>
        <v>0.63852184520953736</v>
      </c>
      <c r="CD148" s="4">
        <f>Base[[#This Row],['[Prod']'[Présentéisme']Jours_gagnés]]/Base[[#This Row],['[Prod']Jours_ouvrés]]</f>
        <v>2.5138655323210133E-3</v>
      </c>
      <c r="CE148">
        <v>5.8333039429220801E-2</v>
      </c>
      <c r="CF148">
        <v>1.4658164114728258E-2</v>
      </c>
      <c r="CG148" s="4">
        <v>11</v>
      </c>
      <c r="CH148" s="4">
        <v>0.49446424657188709</v>
      </c>
      <c r="CI148" s="4">
        <v>1.0795805058605798E-2</v>
      </c>
      <c r="CJ148" s="4">
        <f>IF(Base[[#This Row],[Secteur]]&lt;&gt;"Moyenne",Base[[#This Row],['[Prod']'[Turnover']DMC_initiale]]*(1+Base[[#This Row],['[Prod']'[Turnover']Ecart_accidents]]*Base[[#This Row],['[Prod']Impact_motifs_turnover]]),CJ131*CI131+CJ132*CI132+CJ133*CI133+CJ134*CI134+CJ135*CI135+CJ136*CI136+CJ137*CI137+CJ138*CI138+CJ139*CI139+CJ140*CI140+CJ141*CI141+CJ142*CI142+CJ143*CI143+CJ144*CI144+CJ145*CI145+CJ146*CI146+CJ147*CI147)</f>
        <v>11.079727318826279</v>
      </c>
      <c r="CK148" s="4">
        <f>1/Base[[#This Row],['[Prod']'[Turnover']DMC_initiale]]</f>
        <v>9.0909090909090912E-2</v>
      </c>
      <c r="CL148" s="4">
        <f>1/Base[[#This Row],['[Prod']'[Turnover']DMC_finale]]</f>
        <v>9.025492877436031E-2</v>
      </c>
    </row>
    <row r="149" spans="2:90" x14ac:dyDescent="0.25">
      <c r="B149" s="4" t="s">
        <v>321</v>
      </c>
      <c r="C149">
        <v>7.5</v>
      </c>
      <c r="D149" t="s">
        <v>84</v>
      </c>
      <c r="E149" t="s">
        <v>7</v>
      </c>
      <c r="F149" s="3">
        <v>0.22452444824416889</v>
      </c>
      <c r="G149" s="3">
        <v>0.1217</v>
      </c>
      <c r="H149" s="3">
        <v>0.1217</v>
      </c>
      <c r="I149" s="3">
        <v>9.1999999999999998E-2</v>
      </c>
      <c r="J149" s="3">
        <v>7.27956</v>
      </c>
      <c r="K149" s="3">
        <v>7.0000000000000007E-2</v>
      </c>
      <c r="L149" s="2">
        <f>Base[[#This Row],[Coût]]*Base[[#This Row],[Part_ménages_dépenses_santé]]</f>
        <v>0.50956920000000006</v>
      </c>
      <c r="M149" s="2">
        <v>1</v>
      </c>
      <c r="N149" s="6">
        <v>27700000</v>
      </c>
      <c r="O149" s="7">
        <f>Base[[#This Row],[Coût_salarié]]*10^9*Base[[#This Row],[Risque]]*Base[[#This Row],[Prévalence]]*Base[[#This Row],[Part_coûts_salarié]]/Base[[#This Row],[Population_emploi]]</f>
        <v>0.50266380796279742</v>
      </c>
      <c r="P149">
        <v>50</v>
      </c>
      <c r="Q149">
        <v>50</v>
      </c>
      <c r="R149" s="2">
        <v>9.9999999999999978E-2</v>
      </c>
      <c r="S149" s="2">
        <v>0.33340000000000003</v>
      </c>
      <c r="T149" s="4">
        <v>0.1217</v>
      </c>
      <c r="U149" s="4">
        <f>IF(Bases_annexes!$F$5=0,16.6587111018772,0.77*Bases_annexes!$F$5/(IF(OR(ISBLANK('Données_d''entrée'!$E$44),'Données_d''entrée'!$E$44=0),35,'Données_d''entrée'!$E$44)*52))</f>
        <v>16.658711101877199</v>
      </c>
      <c r="V149" s="4">
        <v>21.5</v>
      </c>
      <c r="W1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49" s="4">
        <v>234.5</v>
      </c>
      <c r="Y149" s="4">
        <f>(Base[[#This Row],['[Maladies']Coûts_évités_par_salarié]]+Base[[#This Row],['[Travail']Coûts_évités_par_salarié]])/Base[[#This Row],[Budget_santé_salarié]]</f>
        <v>6.8044637550508325E-2</v>
      </c>
      <c r="Z149" s="4">
        <v>0.8</v>
      </c>
      <c r="AA149" s="4">
        <f>Base[[#This Row],[Coût]]*Base[[#This Row],[Part_société_dépenses_santé]]</f>
        <v>5.8236480000000004</v>
      </c>
      <c r="AB149" s="4">
        <v>67635124</v>
      </c>
      <c r="AC149" s="4">
        <v>82.297079063317852</v>
      </c>
      <c r="AD149" s="4">
        <v>0.1217</v>
      </c>
      <c r="AE149" s="4">
        <f>Base[[#This Row],['[SC']Prévalence_travail]]*Base[[#This Row],[Population_emploi]]</f>
        <v>3371090</v>
      </c>
      <c r="AF149" s="4">
        <f>Base[[#This Row],[Risque]]*Base[[#This Row],['[SC']Patients_en_emploi]]</f>
        <v>756892.12223143526</v>
      </c>
      <c r="AG149" s="4">
        <v>0</v>
      </c>
      <c r="AH149" s="4">
        <f>IFERROR(Base[[#This Row],['[SC']Prestations]]/Base[[#This Row],['[SC']Patients_en_emploi]],0)</f>
        <v>0</v>
      </c>
      <c r="AI149" s="4">
        <v>51.7</v>
      </c>
      <c r="AJ1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49" s="4">
        <f>Base[[#This Row],['[SC']'[Travail']Coûts_évités]]/Base[[#This Row],[Population_emploi]]</f>
        <v>26.134637917265568</v>
      </c>
      <c r="AL149" s="4">
        <f>Base[[#This Row],[Coût_société]]*10^9*Base[[#This Row],[Risque]]*Base[[#This Row],[Prévalence]]*Base[[#This Row],[Part_coûts_salarié]]/Base[[#This Row],[Population_emploi]]</f>
        <v>5.7447292338605402</v>
      </c>
      <c r="AM149" s="4">
        <f>IF(Base[[#This Row],[Pathologie]]&lt;&gt;"Dépendance",0,14909.24243952)</f>
        <v>0</v>
      </c>
      <c r="AN149" s="4">
        <f>IF(Base[[#This Row],[Pathologie]]&lt;&gt;"Dépendance",0,1316000)</f>
        <v>0</v>
      </c>
      <c r="AO149" s="4">
        <f>IF(Base[[#This Row],[Pathologie]]&lt;&gt;"Dépendance",0,Base[[#This Row],['[SC']Coût_personne_dépendante]]*Base[[#This Row],['[SC']Nb_personnes_dépendantes]])</f>
        <v>0</v>
      </c>
      <c r="AP149" s="4">
        <f>IF(Base[[#This Row],[Pathologie]]&lt;&gt;"Dépendance",0,Base[[#This Row],['[SC']Coût_total_dépendance]]/Base[[#This Row],[Population_totale]])</f>
        <v>0</v>
      </c>
      <c r="AQ149" s="4">
        <f>IF(Base[[#This Row],[Pathologie]]&lt;&gt;"Dépendance",0,4.5)</f>
        <v>0</v>
      </c>
      <c r="AR149" s="4">
        <v>0.50393265050357905</v>
      </c>
      <c r="AS149" s="4">
        <f>Base[[#This Row],[Espérance_vie]]+Base[[#This Row],['[SC']Hausse_esp_de_vie]]-Base[[#This Row],['[SC']Durée_moyenne_dépendance_avt]]+Base[[#This Row],[Risque]]</f>
        <v>83.025536162065606</v>
      </c>
      <c r="AT1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49" s="4">
        <v>62.9</v>
      </c>
      <c r="AW149" s="4">
        <f t="shared" si="0"/>
        <v>336905600000</v>
      </c>
      <c r="AX149" s="4">
        <v>15049171</v>
      </c>
      <c r="AY149" s="4">
        <f>Base[[#This Row],['[SC']Budget_total_retraites]]/Base[[#This Row],['[SC']Nombre_de_retraités]]</f>
        <v>22386.987296509556</v>
      </c>
      <c r="AZ149" s="4">
        <f>Base[[#This Row],['[SC']Budget_par_retraité]]*Base[[#This Row],['[SC']Nb_personnes_dépendantes]]</f>
        <v>0</v>
      </c>
      <c r="BA149" s="4">
        <f>Base[[#This Row],['[SC']'[Dépendance']Coût_retraite_personnes_dépendantes]]/Base[[#This Row],[Population_totale]]</f>
        <v>0</v>
      </c>
      <c r="BB1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49" s="4">
        <f>Base[[#This Row],['[SC']'[Dépendance']Gains]]-Base[[#This Row],['[SC']'[Dépendance']Coûts]]</f>
        <v>0</v>
      </c>
      <c r="BD149" s="4">
        <f>IF(Base[[#This Row],[Pathologie]]&lt;&gt;"Mort prématurée",0,Base[[#This Row],[Risque]]*Base[[#This Row],[Prévalence]]*Base[[#This Row],[Population_totale]])</f>
        <v>0</v>
      </c>
      <c r="BE149" s="4">
        <v>52.74</v>
      </c>
      <c r="BF149" s="4">
        <f>Base[[#This Row],['[SC']Âge_moyen_retraite]]-Base[[#This Row],['[SC']'[Mort_prématurée']Âge_moyen_mort précoce]]</f>
        <v>10.159999999999997</v>
      </c>
      <c r="BG149" s="4">
        <f>Base[[#This Row],[Espérance_vie]]+Base[[#This Row],['[SC']Hausse_esp_de_vie]]-Base[[#This Row],['[SC']Âge_moyen_retraite]]</f>
        <v>19.90101171382144</v>
      </c>
      <c r="BH149" s="4">
        <v>106583.42676924677</v>
      </c>
      <c r="BI149" s="4">
        <v>97601.789429271477</v>
      </c>
      <c r="BJ149" s="4">
        <v>302038.31496633729</v>
      </c>
      <c r="BK149" s="4">
        <v>117293.58934859755</v>
      </c>
      <c r="BL149" s="4">
        <v>1523999.9999999995</v>
      </c>
      <c r="BM1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49" s="4">
        <v>294804.96027377353</v>
      </c>
      <c r="BO1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49" s="4">
        <f>(Base[[#This Row],['[SC']'[Mort_prématurée']Gains]]-Base[[#This Row],['[SC']'[Mort_prématurée']Coûts]])/Base[[#This Row],[Population_totale]]</f>
        <v>0</v>
      </c>
      <c r="BQ149" s="4">
        <f>IF(Base[[#This Row],[Pathologie]]&lt;&gt;"Mort prématurée",0,Base[[#This Row],[Risque]])</f>
        <v>0</v>
      </c>
      <c r="BR149" s="4">
        <v>2680</v>
      </c>
      <c r="BS1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49" s="4">
        <f>Base[[#This Row],[Prévalence_prod]]*(1-Base[[#This Row],[Risque]])*Base[[#This Row],[Durée_arrêt]]*Base[[#This Row],[Population_emploi]]</f>
        <v>56205254.372024149</v>
      </c>
      <c r="BV149" s="4">
        <f>Base[[#This Row],['[Prod']'[Absentéisme']Total_jours_absence_avant]]-Base[[#This Row],['[Prod']'[Absentéisme']Total_jours_absence_après]]</f>
        <v>16273180.627975851</v>
      </c>
      <c r="BW149" s="4">
        <f>IF(AND(Base[[#This Row],[Pathologie]]&lt;&gt;"Dépendance",Base[[#This Row],[Pathologie]]&lt;&gt;"Mort prématurée",Base[[#This Row],[Pathologie]]&lt;&gt;"Migraine"),0.0619,0)</f>
        <v>6.1899999999999997E-2</v>
      </c>
      <c r="BX149" s="4">
        <v>254</v>
      </c>
      <c r="BY14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49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49" s="4">
        <f>Base[[#This Row],[Prévalence_prod]]*Base[[#This Row],[Présentéisme]]*Base[[#This Row],['[Prod']Jours_ouvrés]]</f>
        <v>2.8438856000000001</v>
      </c>
      <c r="CB149" s="4">
        <f>Base[[#This Row],[Prévalence_prod]]*(1-Base[[#This Row],[Risque]])*Base[[#This Row],[Présentéisme]]*Base[[#This Row],['[Prod']Jours_ouvrés]]</f>
        <v>2.2053637547904628</v>
      </c>
      <c r="CC149" s="4">
        <f>Base[[#This Row],['[Prod']'[Présentéisme']Jours_avant]]-Base[[#This Row],['[Prod']'[Présentéisme']Jours_après]]</f>
        <v>0.63852184520953736</v>
      </c>
      <c r="CD149" s="4">
        <f>Base[[#This Row],['[Prod']'[Présentéisme']Jours_gagnés]]/Base[[#This Row],['[Prod']Jours_ouvrés]]</f>
        <v>2.5138655323210133E-3</v>
      </c>
      <c r="CE149">
        <v>5.8333039429220801E-2</v>
      </c>
      <c r="CF149">
        <v>1.4658164114728258E-2</v>
      </c>
      <c r="CG149" s="4">
        <v>11</v>
      </c>
      <c r="CH149" s="4">
        <v>0.85274500894619554</v>
      </c>
      <c r="CI149" s="4">
        <v>4.2903496994109176E-2</v>
      </c>
      <c r="CJ149" s="4">
        <f>IF(Base[[#This Row],[Secteur]]&lt;&gt;"Moyenne",Base[[#This Row],['[Prod']'[Turnover']DMC_initiale]]*(1+Base[[#This Row],['[Prod']'[Turnover']Ecart_accidents]]*Base[[#This Row],['[Prod']Impact_motifs_turnover]]),CJ132*CI132+CJ133*CI133+CJ134*CI134+CJ135*CI135+CJ136*CI136+CJ137*CI137+CJ138*CI138+CJ139*CI139+CJ140*CI140+CJ141*CI141+CJ142*CI142+CJ143*CI143+CJ144*CI144+CJ145*CI145+CJ146*CI146+CJ147*CI147+CJ148*CI148)</f>
        <v>11.137496439180635</v>
      </c>
      <c r="CK149" s="4">
        <f>1/Base[[#This Row],['[Prod']'[Turnover']DMC_initiale]]</f>
        <v>9.0909090909090912E-2</v>
      </c>
      <c r="CL149" s="4">
        <f>1/Base[[#This Row],['[Prod']'[Turnover']DMC_finale]]</f>
        <v>8.9786785159553156E-2</v>
      </c>
    </row>
    <row r="150" spans="2:90" x14ac:dyDescent="0.25">
      <c r="B150" s="4" t="s">
        <v>322</v>
      </c>
      <c r="C150">
        <v>7.5</v>
      </c>
      <c r="D150" t="s">
        <v>84</v>
      </c>
      <c r="E150" t="s">
        <v>7</v>
      </c>
      <c r="F150" s="3">
        <v>0.22452444824416889</v>
      </c>
      <c r="G150" s="3">
        <v>0.1217</v>
      </c>
      <c r="H150" s="3">
        <v>0.1217</v>
      </c>
      <c r="I150" s="3">
        <v>9.1999999999999998E-2</v>
      </c>
      <c r="J150" s="3">
        <v>7.27956</v>
      </c>
      <c r="K150" s="3">
        <v>7.0000000000000007E-2</v>
      </c>
      <c r="L150" s="2">
        <f>Base[[#This Row],[Coût]]*Base[[#This Row],[Part_ménages_dépenses_santé]]</f>
        <v>0.50956920000000006</v>
      </c>
      <c r="M150" s="2">
        <v>1</v>
      </c>
      <c r="N150" s="6">
        <v>27700000</v>
      </c>
      <c r="O150" s="7">
        <f>Base[[#This Row],[Coût_salarié]]*10^9*Base[[#This Row],[Risque]]*Base[[#This Row],[Prévalence]]*Base[[#This Row],[Part_coûts_salarié]]/Base[[#This Row],[Population_emploi]]</f>
        <v>0.50266380796279742</v>
      </c>
      <c r="P150">
        <v>50</v>
      </c>
      <c r="Q150">
        <v>50</v>
      </c>
      <c r="R150" s="2">
        <v>9.9999999999999978E-2</v>
      </c>
      <c r="S150" s="2">
        <v>0.33340000000000003</v>
      </c>
      <c r="T150" s="4">
        <v>0.1217</v>
      </c>
      <c r="U150" s="4">
        <f>IF(Bases_annexes!$F$5=0,16.6587111018772,0.77*Bases_annexes!$F$5/(IF(OR(ISBLANK('Données_d''entrée'!$E$44),'Données_d''entrée'!$E$44=0),35,'Données_d''entrée'!$E$44)*52))</f>
        <v>16.658711101877199</v>
      </c>
      <c r="V150" s="4">
        <v>21.5</v>
      </c>
      <c r="W1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0" s="4">
        <v>234.5</v>
      </c>
      <c r="Y150" s="4">
        <f>(Base[[#This Row],['[Maladies']Coûts_évités_par_salarié]]+Base[[#This Row],['[Travail']Coûts_évités_par_salarié]])/Base[[#This Row],[Budget_santé_salarié]]</f>
        <v>6.8044637550508325E-2</v>
      </c>
      <c r="Z150" s="4">
        <v>0.8</v>
      </c>
      <c r="AA150" s="4">
        <f>Base[[#This Row],[Coût]]*Base[[#This Row],[Part_société_dépenses_santé]]</f>
        <v>5.8236480000000004</v>
      </c>
      <c r="AB150" s="4">
        <v>67635124</v>
      </c>
      <c r="AC150" s="4">
        <v>82.297079063317852</v>
      </c>
      <c r="AD150" s="4">
        <v>0.1217</v>
      </c>
      <c r="AE150" s="4">
        <f>Base[[#This Row],['[SC']Prévalence_travail]]*Base[[#This Row],[Population_emploi]]</f>
        <v>3371090</v>
      </c>
      <c r="AF150" s="4">
        <f>Base[[#This Row],[Risque]]*Base[[#This Row],['[SC']Patients_en_emploi]]</f>
        <v>756892.12223143526</v>
      </c>
      <c r="AG150" s="4">
        <v>0</v>
      </c>
      <c r="AH150" s="4">
        <f>IFERROR(Base[[#This Row],['[SC']Prestations]]/Base[[#This Row],['[SC']Patients_en_emploi]],0)</f>
        <v>0</v>
      </c>
      <c r="AI150" s="4">
        <v>51.7</v>
      </c>
      <c r="AJ1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0" s="4">
        <f>Base[[#This Row],['[SC']'[Travail']Coûts_évités]]/Base[[#This Row],[Population_emploi]]</f>
        <v>26.134637917265568</v>
      </c>
      <c r="AL150" s="4">
        <f>Base[[#This Row],[Coût_société]]*10^9*Base[[#This Row],[Risque]]*Base[[#This Row],[Prévalence]]*Base[[#This Row],[Part_coûts_salarié]]/Base[[#This Row],[Population_emploi]]</f>
        <v>5.7447292338605402</v>
      </c>
      <c r="AM150" s="4">
        <f>IF(Base[[#This Row],[Pathologie]]&lt;&gt;"Dépendance",0,14909.24243952)</f>
        <v>0</v>
      </c>
      <c r="AN150" s="4">
        <f>IF(Base[[#This Row],[Pathologie]]&lt;&gt;"Dépendance",0,1316000)</f>
        <v>0</v>
      </c>
      <c r="AO150" s="4">
        <f>IF(Base[[#This Row],[Pathologie]]&lt;&gt;"Dépendance",0,Base[[#This Row],['[SC']Coût_personne_dépendante]]*Base[[#This Row],['[SC']Nb_personnes_dépendantes]])</f>
        <v>0</v>
      </c>
      <c r="AP150" s="4">
        <f>IF(Base[[#This Row],[Pathologie]]&lt;&gt;"Dépendance",0,Base[[#This Row],['[SC']Coût_total_dépendance]]/Base[[#This Row],[Population_totale]])</f>
        <v>0</v>
      </c>
      <c r="AQ150" s="4">
        <f>IF(Base[[#This Row],[Pathologie]]&lt;&gt;"Dépendance",0,4.5)</f>
        <v>0</v>
      </c>
      <c r="AR150" s="4">
        <v>0.50393265050357905</v>
      </c>
      <c r="AS150" s="4">
        <f>Base[[#This Row],[Espérance_vie]]+Base[[#This Row],['[SC']Hausse_esp_de_vie]]-Base[[#This Row],['[SC']Durée_moyenne_dépendance_avt]]+Base[[#This Row],[Risque]]</f>
        <v>83.025536162065606</v>
      </c>
      <c r="AT1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0" s="4">
        <v>62.9</v>
      </c>
      <c r="AW150" s="4">
        <f t="shared" si="0"/>
        <v>336905600000</v>
      </c>
      <c r="AX150" s="4">
        <v>15049171</v>
      </c>
      <c r="AY150" s="4">
        <f>Base[[#This Row],['[SC']Budget_total_retraites]]/Base[[#This Row],['[SC']Nombre_de_retraités]]</f>
        <v>22386.987296509556</v>
      </c>
      <c r="AZ150" s="4">
        <f>Base[[#This Row],['[SC']Budget_par_retraité]]*Base[[#This Row],['[SC']Nb_personnes_dépendantes]]</f>
        <v>0</v>
      </c>
      <c r="BA150" s="4">
        <f>Base[[#This Row],['[SC']'[Dépendance']Coût_retraite_personnes_dépendantes]]/Base[[#This Row],[Population_totale]]</f>
        <v>0</v>
      </c>
      <c r="BB1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0" s="4">
        <f>Base[[#This Row],['[SC']'[Dépendance']Gains]]-Base[[#This Row],['[SC']'[Dépendance']Coûts]]</f>
        <v>0</v>
      </c>
      <c r="BD150" s="4">
        <f>IF(Base[[#This Row],[Pathologie]]&lt;&gt;"Mort prématurée",0,Base[[#This Row],[Risque]]*Base[[#This Row],[Prévalence]]*Base[[#This Row],[Population_totale]])</f>
        <v>0</v>
      </c>
      <c r="BE150" s="4">
        <v>52.74</v>
      </c>
      <c r="BF150" s="4">
        <f>Base[[#This Row],['[SC']Âge_moyen_retraite]]-Base[[#This Row],['[SC']'[Mort_prématurée']Âge_moyen_mort précoce]]</f>
        <v>10.159999999999997</v>
      </c>
      <c r="BG150" s="4">
        <f>Base[[#This Row],[Espérance_vie]]+Base[[#This Row],['[SC']Hausse_esp_de_vie]]-Base[[#This Row],['[SC']Âge_moyen_retraite]]</f>
        <v>19.90101171382144</v>
      </c>
      <c r="BH150" s="4">
        <v>106583.42676924677</v>
      </c>
      <c r="BI150" s="4">
        <v>97601.789429271477</v>
      </c>
      <c r="BJ150" s="4">
        <v>302038.31496633729</v>
      </c>
      <c r="BK150" s="4">
        <v>117293.58934859755</v>
      </c>
      <c r="BL150" s="4">
        <v>1523999.9999999995</v>
      </c>
      <c r="BM1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0" s="4">
        <v>294804.96027377353</v>
      </c>
      <c r="BO1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0" s="4">
        <f>(Base[[#This Row],['[SC']'[Mort_prématurée']Gains]]-Base[[#This Row],['[SC']'[Mort_prématurée']Coûts]])/Base[[#This Row],[Population_totale]]</f>
        <v>0</v>
      </c>
      <c r="BQ150" s="4">
        <f>IF(Base[[#This Row],[Pathologie]]&lt;&gt;"Mort prématurée",0,Base[[#This Row],[Risque]])</f>
        <v>0</v>
      </c>
      <c r="BR150" s="4">
        <v>2680</v>
      </c>
      <c r="BS1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0" s="4">
        <f>Base[[#This Row],[Prévalence_prod]]*(1-Base[[#This Row],[Risque]])*Base[[#This Row],[Durée_arrêt]]*Base[[#This Row],[Population_emploi]]</f>
        <v>56205254.372024149</v>
      </c>
      <c r="BV150" s="4">
        <f>Base[[#This Row],['[Prod']'[Absentéisme']Total_jours_absence_avant]]-Base[[#This Row],['[Prod']'[Absentéisme']Total_jours_absence_après]]</f>
        <v>16273180.627975851</v>
      </c>
      <c r="BW150" s="4">
        <f>IF(AND(Base[[#This Row],[Pathologie]]&lt;&gt;"Dépendance",Base[[#This Row],[Pathologie]]&lt;&gt;"Mort prématurée",Base[[#This Row],[Pathologie]]&lt;&gt;"Migraine"),0.0619,0)</f>
        <v>6.1899999999999997E-2</v>
      </c>
      <c r="BX150" s="4">
        <v>254</v>
      </c>
      <c r="BY15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0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0" s="4">
        <f>Base[[#This Row],[Prévalence_prod]]*Base[[#This Row],[Présentéisme]]*Base[[#This Row],['[Prod']Jours_ouvrés]]</f>
        <v>2.8438856000000001</v>
      </c>
      <c r="CB150" s="4">
        <f>Base[[#This Row],[Prévalence_prod]]*(1-Base[[#This Row],[Risque]])*Base[[#This Row],[Présentéisme]]*Base[[#This Row],['[Prod']Jours_ouvrés]]</f>
        <v>2.2053637547904628</v>
      </c>
      <c r="CC150" s="4">
        <f>Base[[#This Row],['[Prod']'[Présentéisme']Jours_avant]]-Base[[#This Row],['[Prod']'[Présentéisme']Jours_après]]</f>
        <v>0.63852184520953736</v>
      </c>
      <c r="CD150" s="4">
        <f>Base[[#This Row],['[Prod']'[Présentéisme']Jours_gagnés]]/Base[[#This Row],['[Prod']Jours_ouvrés]]</f>
        <v>2.5138655323210133E-3</v>
      </c>
      <c r="CE150">
        <v>5.8333039429220801E-2</v>
      </c>
      <c r="CF150">
        <v>1.4658164114728258E-2</v>
      </c>
      <c r="CG150" s="4">
        <v>11</v>
      </c>
      <c r="CH150" s="4">
        <v>1.6219398392978641</v>
      </c>
      <c r="CI150" s="4">
        <v>9.628527536862988E-2</v>
      </c>
      <c r="CJ150" s="4">
        <f>IF(Base[[#This Row],[Secteur]]&lt;&gt;"Moyenne",Base[[#This Row],['[Prod']'[Turnover']DMC_initiale]]*(1+Base[[#This Row],['[Prod']'[Turnover']Ecart_accidents]]*Base[[#This Row],['[Prod']Impact_motifs_turnover]]),CJ133*CI133+CJ134*CI134+CJ135*CI135+CJ136*CI136+CJ137*CI137+CJ138*CI138+CJ139*CI139+CJ140*CI140+CJ141*CI141+CJ142*CI142+CJ143*CI143+CJ144*CI144+CJ145*CI145+CJ146*CI146+CJ147*CI147+CJ148*CI148+CJ149*CI149)</f>
        <v>11.261521263835085</v>
      </c>
      <c r="CK150" s="4">
        <f>1/Base[[#This Row],['[Prod']'[Turnover']DMC_initiale]]</f>
        <v>9.0909090909090912E-2</v>
      </c>
      <c r="CL150" s="4">
        <f>1/Base[[#This Row],['[Prod']'[Turnover']DMC_finale]]</f>
        <v>8.8797949812639457E-2</v>
      </c>
    </row>
    <row r="151" spans="2:90" x14ac:dyDescent="0.25">
      <c r="B151" s="4" t="s">
        <v>323</v>
      </c>
      <c r="C151">
        <v>7.5</v>
      </c>
      <c r="D151" t="s">
        <v>84</v>
      </c>
      <c r="E151" t="s">
        <v>7</v>
      </c>
      <c r="F151" s="3">
        <v>0.22452444824416889</v>
      </c>
      <c r="G151" s="3">
        <v>0.1217</v>
      </c>
      <c r="H151" s="3">
        <v>0.1217</v>
      </c>
      <c r="I151" s="3">
        <v>9.1999999999999998E-2</v>
      </c>
      <c r="J151" s="3">
        <v>7.27956</v>
      </c>
      <c r="K151" s="3">
        <v>7.0000000000000007E-2</v>
      </c>
      <c r="L151" s="2">
        <f>Base[[#This Row],[Coût]]*Base[[#This Row],[Part_ménages_dépenses_santé]]</f>
        <v>0.50956920000000006</v>
      </c>
      <c r="M151" s="2">
        <v>1</v>
      </c>
      <c r="N151" s="6">
        <v>27700000</v>
      </c>
      <c r="O151" s="7">
        <f>Base[[#This Row],[Coût_salarié]]*10^9*Base[[#This Row],[Risque]]*Base[[#This Row],[Prévalence]]*Base[[#This Row],[Part_coûts_salarié]]/Base[[#This Row],[Population_emploi]]</f>
        <v>0.50266380796279742</v>
      </c>
      <c r="P151">
        <v>50</v>
      </c>
      <c r="Q151">
        <v>50</v>
      </c>
      <c r="R151" s="2">
        <v>9.9999999999999978E-2</v>
      </c>
      <c r="S151" s="2">
        <v>0.33340000000000003</v>
      </c>
      <c r="T151" s="4">
        <v>0.1217</v>
      </c>
      <c r="U151" s="4">
        <f>IF(Bases_annexes!$F$5=0,16.6587111018772,0.77*Bases_annexes!$F$5/(IF(OR(ISBLANK('Données_d''entrée'!$E$44),'Données_d''entrée'!$E$44=0),35,'Données_d''entrée'!$E$44)*52))</f>
        <v>16.658711101877199</v>
      </c>
      <c r="V151" s="4">
        <v>21.5</v>
      </c>
      <c r="W1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1" s="4">
        <v>234.5</v>
      </c>
      <c r="Y151" s="4">
        <f>(Base[[#This Row],['[Maladies']Coûts_évités_par_salarié]]+Base[[#This Row],['[Travail']Coûts_évités_par_salarié]])/Base[[#This Row],[Budget_santé_salarié]]</f>
        <v>6.8044637550508325E-2</v>
      </c>
      <c r="Z151" s="4">
        <v>0.8</v>
      </c>
      <c r="AA151" s="4">
        <f>Base[[#This Row],[Coût]]*Base[[#This Row],[Part_société_dépenses_santé]]</f>
        <v>5.8236480000000004</v>
      </c>
      <c r="AB151" s="4">
        <v>67635124</v>
      </c>
      <c r="AC151" s="4">
        <v>82.297079063317852</v>
      </c>
      <c r="AD151" s="4">
        <v>0.1217</v>
      </c>
      <c r="AE151" s="4">
        <f>Base[[#This Row],['[SC']Prévalence_travail]]*Base[[#This Row],[Population_emploi]]</f>
        <v>3371090</v>
      </c>
      <c r="AF151" s="4">
        <f>Base[[#This Row],[Risque]]*Base[[#This Row],['[SC']Patients_en_emploi]]</f>
        <v>756892.12223143526</v>
      </c>
      <c r="AG151" s="4">
        <v>0</v>
      </c>
      <c r="AH151" s="4">
        <f>IFERROR(Base[[#This Row],['[SC']Prestations]]/Base[[#This Row],['[SC']Patients_en_emploi]],0)</f>
        <v>0</v>
      </c>
      <c r="AI151" s="4">
        <v>51.7</v>
      </c>
      <c r="AJ1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1" s="4">
        <f>Base[[#This Row],['[SC']'[Travail']Coûts_évités]]/Base[[#This Row],[Population_emploi]]</f>
        <v>26.134637917265568</v>
      </c>
      <c r="AL151" s="4">
        <f>Base[[#This Row],[Coût_société]]*10^9*Base[[#This Row],[Risque]]*Base[[#This Row],[Prévalence]]*Base[[#This Row],[Part_coûts_salarié]]/Base[[#This Row],[Population_emploi]]</f>
        <v>5.7447292338605402</v>
      </c>
      <c r="AM151" s="4">
        <f>IF(Base[[#This Row],[Pathologie]]&lt;&gt;"Dépendance",0,14909.24243952)</f>
        <v>0</v>
      </c>
      <c r="AN151" s="4">
        <f>IF(Base[[#This Row],[Pathologie]]&lt;&gt;"Dépendance",0,1316000)</f>
        <v>0</v>
      </c>
      <c r="AO151" s="4">
        <f>IF(Base[[#This Row],[Pathologie]]&lt;&gt;"Dépendance",0,Base[[#This Row],['[SC']Coût_personne_dépendante]]*Base[[#This Row],['[SC']Nb_personnes_dépendantes]])</f>
        <v>0</v>
      </c>
      <c r="AP151" s="4">
        <f>IF(Base[[#This Row],[Pathologie]]&lt;&gt;"Dépendance",0,Base[[#This Row],['[SC']Coût_total_dépendance]]/Base[[#This Row],[Population_totale]])</f>
        <v>0</v>
      </c>
      <c r="AQ151" s="4">
        <f>IF(Base[[#This Row],[Pathologie]]&lt;&gt;"Dépendance",0,4.5)</f>
        <v>0</v>
      </c>
      <c r="AR151" s="4">
        <v>0.50393265050357905</v>
      </c>
      <c r="AS151" s="4">
        <f>Base[[#This Row],[Espérance_vie]]+Base[[#This Row],['[SC']Hausse_esp_de_vie]]-Base[[#This Row],['[SC']Durée_moyenne_dépendance_avt]]+Base[[#This Row],[Risque]]</f>
        <v>83.025536162065606</v>
      </c>
      <c r="AT1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1" s="4">
        <v>62.9</v>
      </c>
      <c r="AW151" s="4">
        <f t="shared" si="0"/>
        <v>336905600000</v>
      </c>
      <c r="AX151" s="4">
        <v>15049171</v>
      </c>
      <c r="AY151" s="4">
        <f>Base[[#This Row],['[SC']Budget_total_retraites]]/Base[[#This Row],['[SC']Nombre_de_retraités]]</f>
        <v>22386.987296509556</v>
      </c>
      <c r="AZ151" s="4">
        <f>Base[[#This Row],['[SC']Budget_par_retraité]]*Base[[#This Row],['[SC']Nb_personnes_dépendantes]]</f>
        <v>0</v>
      </c>
      <c r="BA151" s="4">
        <f>Base[[#This Row],['[SC']'[Dépendance']Coût_retraite_personnes_dépendantes]]/Base[[#This Row],[Population_totale]]</f>
        <v>0</v>
      </c>
      <c r="BB1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1" s="4">
        <f>Base[[#This Row],['[SC']'[Dépendance']Gains]]-Base[[#This Row],['[SC']'[Dépendance']Coûts]]</f>
        <v>0</v>
      </c>
      <c r="BD151" s="4">
        <f>IF(Base[[#This Row],[Pathologie]]&lt;&gt;"Mort prématurée",0,Base[[#This Row],[Risque]]*Base[[#This Row],[Prévalence]]*Base[[#This Row],[Population_totale]])</f>
        <v>0</v>
      </c>
      <c r="BE151" s="4">
        <v>52.74</v>
      </c>
      <c r="BF151" s="4">
        <f>Base[[#This Row],['[SC']Âge_moyen_retraite]]-Base[[#This Row],['[SC']'[Mort_prématurée']Âge_moyen_mort précoce]]</f>
        <v>10.159999999999997</v>
      </c>
      <c r="BG151" s="4">
        <f>Base[[#This Row],[Espérance_vie]]+Base[[#This Row],['[SC']Hausse_esp_de_vie]]-Base[[#This Row],['[SC']Âge_moyen_retraite]]</f>
        <v>19.90101171382144</v>
      </c>
      <c r="BH151" s="4">
        <v>106583.42676924677</v>
      </c>
      <c r="BI151" s="4">
        <v>97601.789429271477</v>
      </c>
      <c r="BJ151" s="4">
        <v>302038.31496633729</v>
      </c>
      <c r="BK151" s="4">
        <v>117293.58934859755</v>
      </c>
      <c r="BL151" s="4">
        <v>1523999.9999999995</v>
      </c>
      <c r="BM1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1" s="4">
        <v>294804.96027377353</v>
      </c>
      <c r="BO1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1" s="4">
        <f>(Base[[#This Row],['[SC']'[Mort_prématurée']Gains]]-Base[[#This Row],['[SC']'[Mort_prématurée']Coûts]])/Base[[#This Row],[Population_totale]]</f>
        <v>0</v>
      </c>
      <c r="BQ151" s="4">
        <f>IF(Base[[#This Row],[Pathologie]]&lt;&gt;"Mort prématurée",0,Base[[#This Row],[Risque]])</f>
        <v>0</v>
      </c>
      <c r="BR151" s="4">
        <v>2680</v>
      </c>
      <c r="BS1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1" s="4">
        <f>Base[[#This Row],[Prévalence_prod]]*(1-Base[[#This Row],[Risque]])*Base[[#This Row],[Durée_arrêt]]*Base[[#This Row],[Population_emploi]]</f>
        <v>56205254.372024149</v>
      </c>
      <c r="BV151" s="4">
        <f>Base[[#This Row],['[Prod']'[Absentéisme']Total_jours_absence_avant]]-Base[[#This Row],['[Prod']'[Absentéisme']Total_jours_absence_après]]</f>
        <v>16273180.627975851</v>
      </c>
      <c r="BW151" s="4">
        <f>IF(AND(Base[[#This Row],[Pathologie]]&lt;&gt;"Dépendance",Base[[#This Row],[Pathologie]]&lt;&gt;"Mort prématurée",Base[[#This Row],[Pathologie]]&lt;&gt;"Migraine"),0.0619,0)</f>
        <v>6.1899999999999997E-2</v>
      </c>
      <c r="BX151" s="4">
        <v>254</v>
      </c>
      <c r="BY151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1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1" s="4">
        <f>Base[[#This Row],[Prévalence_prod]]*Base[[#This Row],[Présentéisme]]*Base[[#This Row],['[Prod']Jours_ouvrés]]</f>
        <v>2.8438856000000001</v>
      </c>
      <c r="CB151" s="4">
        <f>Base[[#This Row],[Prévalence_prod]]*(1-Base[[#This Row],[Risque]])*Base[[#This Row],[Présentéisme]]*Base[[#This Row],['[Prod']Jours_ouvrés]]</f>
        <v>2.2053637547904628</v>
      </c>
      <c r="CC151" s="4">
        <f>Base[[#This Row],['[Prod']'[Présentéisme']Jours_avant]]-Base[[#This Row],['[Prod']'[Présentéisme']Jours_après]]</f>
        <v>0.63852184520953736</v>
      </c>
      <c r="CD151" s="4">
        <f>Base[[#This Row],['[Prod']'[Présentéisme']Jours_gagnés]]/Base[[#This Row],['[Prod']Jours_ouvrés]]</f>
        <v>2.5138655323210133E-3</v>
      </c>
      <c r="CE151">
        <v>5.8333039429220801E-2</v>
      </c>
      <c r="CF151">
        <v>1.4658164114728258E-2</v>
      </c>
      <c r="CG151" s="4">
        <v>11</v>
      </c>
      <c r="CH151" s="4">
        <v>0.96913802401210614</v>
      </c>
      <c r="CI151" s="4">
        <v>0.10293966445307301</v>
      </c>
      <c r="CJ151" s="4">
        <f>IF(Base[[#This Row],[Secteur]]&lt;&gt;"Moyenne",Base[[#This Row],['[Prod']'[Turnover']DMC_initiale]]*(1+Base[[#This Row],['[Prod']'[Turnover']Ecart_accidents]]*Base[[#This Row],['[Prod']Impact_motifs_turnover]]),CJ134*CI134+CJ135*CI135+CJ136*CI136+CJ137*CI137+CJ138*CI138+CJ139*CI139+CJ140*CI140+CJ141*CI141+CJ142*CI142+CJ143*CI143+CJ144*CI144+CJ145*CI145+CJ146*CI146+CJ147*CI147+CJ148*CI148+CJ149*CI149+CJ150*CI150)</f>
        <v>11.156263626263723</v>
      </c>
      <c r="CK151" s="4">
        <f>1/Base[[#This Row],['[Prod']'[Turnover']DMC_initiale]]</f>
        <v>9.0909090909090912E-2</v>
      </c>
      <c r="CL151" s="4">
        <f>1/Base[[#This Row],['[Prod']'[Turnover']DMC_finale]]</f>
        <v>8.9635744860477456E-2</v>
      </c>
    </row>
    <row r="152" spans="2:90" x14ac:dyDescent="0.25">
      <c r="B152" s="4" t="s">
        <v>324</v>
      </c>
      <c r="C152">
        <v>7.5</v>
      </c>
      <c r="D152" t="s">
        <v>84</v>
      </c>
      <c r="E152" t="s">
        <v>7</v>
      </c>
      <c r="F152" s="3">
        <v>0.22452444824416889</v>
      </c>
      <c r="G152" s="3">
        <v>0.1217</v>
      </c>
      <c r="H152" s="3">
        <v>0.1217</v>
      </c>
      <c r="I152" s="3">
        <v>9.1999999999999998E-2</v>
      </c>
      <c r="J152" s="3">
        <v>7.27956</v>
      </c>
      <c r="K152" s="3">
        <v>7.0000000000000007E-2</v>
      </c>
      <c r="L152" s="2">
        <f>Base[[#This Row],[Coût]]*Base[[#This Row],[Part_ménages_dépenses_santé]]</f>
        <v>0.50956920000000006</v>
      </c>
      <c r="M152" s="2">
        <v>1</v>
      </c>
      <c r="N152" s="6">
        <v>27700000</v>
      </c>
      <c r="O152" s="7">
        <f>Base[[#This Row],[Coût_salarié]]*10^9*Base[[#This Row],[Risque]]*Base[[#This Row],[Prévalence]]*Base[[#This Row],[Part_coûts_salarié]]/Base[[#This Row],[Population_emploi]]</f>
        <v>0.50266380796279742</v>
      </c>
      <c r="P152">
        <v>50</v>
      </c>
      <c r="Q152">
        <v>50</v>
      </c>
      <c r="R152" s="2">
        <v>9.9999999999999978E-2</v>
      </c>
      <c r="S152" s="2">
        <v>0.33340000000000003</v>
      </c>
      <c r="T152" s="4">
        <v>0.1217</v>
      </c>
      <c r="U152" s="4">
        <f>IF(Bases_annexes!$F$5=0,16.6587111018772,0.77*Bases_annexes!$F$5/(IF(OR(ISBLANK('Données_d''entrée'!$E$44),'Données_d''entrée'!$E$44=0),35,'Données_d''entrée'!$E$44)*52))</f>
        <v>16.658711101877199</v>
      </c>
      <c r="V152" s="4">
        <v>21.5</v>
      </c>
      <c r="W1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2" s="4">
        <v>234.5</v>
      </c>
      <c r="Y152" s="4">
        <f>(Base[[#This Row],['[Maladies']Coûts_évités_par_salarié]]+Base[[#This Row],['[Travail']Coûts_évités_par_salarié]])/Base[[#This Row],[Budget_santé_salarié]]</f>
        <v>6.8044637550508325E-2</v>
      </c>
      <c r="Z152" s="4">
        <v>0.8</v>
      </c>
      <c r="AA152" s="4">
        <f>Base[[#This Row],[Coût]]*Base[[#This Row],[Part_société_dépenses_santé]]</f>
        <v>5.8236480000000004</v>
      </c>
      <c r="AB152" s="4">
        <v>67635124</v>
      </c>
      <c r="AC152" s="4">
        <v>82.297079063317852</v>
      </c>
      <c r="AD152" s="4">
        <v>0.1217</v>
      </c>
      <c r="AE152" s="4">
        <f>Base[[#This Row],['[SC']Prévalence_travail]]*Base[[#This Row],[Population_emploi]]</f>
        <v>3371090</v>
      </c>
      <c r="AF152" s="4">
        <f>Base[[#This Row],[Risque]]*Base[[#This Row],['[SC']Patients_en_emploi]]</f>
        <v>756892.12223143526</v>
      </c>
      <c r="AG152" s="4">
        <v>0</v>
      </c>
      <c r="AH152" s="4">
        <f>IFERROR(Base[[#This Row],['[SC']Prestations]]/Base[[#This Row],['[SC']Patients_en_emploi]],0)</f>
        <v>0</v>
      </c>
      <c r="AI152" s="4">
        <v>51.7</v>
      </c>
      <c r="AJ1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2" s="4">
        <f>Base[[#This Row],['[SC']'[Travail']Coûts_évités]]/Base[[#This Row],[Population_emploi]]</f>
        <v>26.134637917265568</v>
      </c>
      <c r="AL152" s="4">
        <f>Base[[#This Row],[Coût_société]]*10^9*Base[[#This Row],[Risque]]*Base[[#This Row],[Prévalence]]*Base[[#This Row],[Part_coûts_salarié]]/Base[[#This Row],[Population_emploi]]</f>
        <v>5.7447292338605402</v>
      </c>
      <c r="AM152" s="4">
        <f>IF(Base[[#This Row],[Pathologie]]&lt;&gt;"Dépendance",0,14909.24243952)</f>
        <v>0</v>
      </c>
      <c r="AN152" s="4">
        <f>IF(Base[[#This Row],[Pathologie]]&lt;&gt;"Dépendance",0,1316000)</f>
        <v>0</v>
      </c>
      <c r="AO152" s="4">
        <f>IF(Base[[#This Row],[Pathologie]]&lt;&gt;"Dépendance",0,Base[[#This Row],['[SC']Coût_personne_dépendante]]*Base[[#This Row],['[SC']Nb_personnes_dépendantes]])</f>
        <v>0</v>
      </c>
      <c r="AP152" s="4">
        <f>IF(Base[[#This Row],[Pathologie]]&lt;&gt;"Dépendance",0,Base[[#This Row],['[SC']Coût_total_dépendance]]/Base[[#This Row],[Population_totale]])</f>
        <v>0</v>
      </c>
      <c r="AQ152" s="4">
        <f>IF(Base[[#This Row],[Pathologie]]&lt;&gt;"Dépendance",0,4.5)</f>
        <v>0</v>
      </c>
      <c r="AR152" s="4">
        <v>0.50393265050357905</v>
      </c>
      <c r="AS152" s="4">
        <f>Base[[#This Row],[Espérance_vie]]+Base[[#This Row],['[SC']Hausse_esp_de_vie]]-Base[[#This Row],['[SC']Durée_moyenne_dépendance_avt]]+Base[[#This Row],[Risque]]</f>
        <v>83.025536162065606</v>
      </c>
      <c r="AT1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2" s="4">
        <v>62.9</v>
      </c>
      <c r="AW152" s="4">
        <f t="shared" si="0"/>
        <v>336905600000</v>
      </c>
      <c r="AX152" s="4">
        <v>15049171</v>
      </c>
      <c r="AY152" s="4">
        <f>Base[[#This Row],['[SC']Budget_total_retraites]]/Base[[#This Row],['[SC']Nombre_de_retraités]]</f>
        <v>22386.987296509556</v>
      </c>
      <c r="AZ152" s="4">
        <f>Base[[#This Row],['[SC']Budget_par_retraité]]*Base[[#This Row],['[SC']Nb_personnes_dépendantes]]</f>
        <v>0</v>
      </c>
      <c r="BA152" s="4">
        <f>Base[[#This Row],['[SC']'[Dépendance']Coût_retraite_personnes_dépendantes]]/Base[[#This Row],[Population_totale]]</f>
        <v>0</v>
      </c>
      <c r="BB1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2" s="4">
        <f>Base[[#This Row],['[SC']'[Dépendance']Gains]]-Base[[#This Row],['[SC']'[Dépendance']Coûts]]</f>
        <v>0</v>
      </c>
      <c r="BD152" s="4">
        <f>IF(Base[[#This Row],[Pathologie]]&lt;&gt;"Mort prématurée",0,Base[[#This Row],[Risque]]*Base[[#This Row],[Prévalence]]*Base[[#This Row],[Population_totale]])</f>
        <v>0</v>
      </c>
      <c r="BE152" s="4">
        <v>52.74</v>
      </c>
      <c r="BF152" s="4">
        <f>Base[[#This Row],['[SC']Âge_moyen_retraite]]-Base[[#This Row],['[SC']'[Mort_prématurée']Âge_moyen_mort précoce]]</f>
        <v>10.159999999999997</v>
      </c>
      <c r="BG152" s="4">
        <f>Base[[#This Row],[Espérance_vie]]+Base[[#This Row],['[SC']Hausse_esp_de_vie]]-Base[[#This Row],['[SC']Âge_moyen_retraite]]</f>
        <v>19.90101171382144</v>
      </c>
      <c r="BH152" s="4">
        <v>106583.42676924677</v>
      </c>
      <c r="BI152" s="4">
        <v>97601.789429271477</v>
      </c>
      <c r="BJ152" s="4">
        <v>302038.31496633729</v>
      </c>
      <c r="BK152" s="4">
        <v>117293.58934859755</v>
      </c>
      <c r="BL152" s="4">
        <v>1523999.9999999995</v>
      </c>
      <c r="BM1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2" s="4">
        <v>294804.96027377353</v>
      </c>
      <c r="BO1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2" s="4">
        <f>(Base[[#This Row],['[SC']'[Mort_prématurée']Gains]]-Base[[#This Row],['[SC']'[Mort_prématurée']Coûts]])/Base[[#This Row],[Population_totale]]</f>
        <v>0</v>
      </c>
      <c r="BQ152" s="4">
        <f>IF(Base[[#This Row],[Pathologie]]&lt;&gt;"Mort prématurée",0,Base[[#This Row],[Risque]])</f>
        <v>0</v>
      </c>
      <c r="BR152" s="4">
        <v>2680</v>
      </c>
      <c r="BS1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2" s="4">
        <f>Base[[#This Row],[Prévalence_prod]]*(1-Base[[#This Row],[Risque]])*Base[[#This Row],[Durée_arrêt]]*Base[[#This Row],[Population_emploi]]</f>
        <v>56205254.372024149</v>
      </c>
      <c r="BV152" s="4">
        <f>Base[[#This Row],['[Prod']'[Absentéisme']Total_jours_absence_avant]]-Base[[#This Row],['[Prod']'[Absentéisme']Total_jours_absence_après]]</f>
        <v>16273180.627975851</v>
      </c>
      <c r="BW152" s="4">
        <f>IF(AND(Base[[#This Row],[Pathologie]]&lt;&gt;"Dépendance",Base[[#This Row],[Pathologie]]&lt;&gt;"Mort prématurée",Base[[#This Row],[Pathologie]]&lt;&gt;"Migraine"),0.0619,0)</f>
        <v>6.1899999999999997E-2</v>
      </c>
      <c r="BX152" s="4">
        <v>254</v>
      </c>
      <c r="BY152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2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2" s="4">
        <f>Base[[#This Row],[Prévalence_prod]]*Base[[#This Row],[Présentéisme]]*Base[[#This Row],['[Prod']Jours_ouvrés]]</f>
        <v>2.8438856000000001</v>
      </c>
      <c r="CB152" s="4">
        <f>Base[[#This Row],[Prévalence_prod]]*(1-Base[[#This Row],[Risque]])*Base[[#This Row],[Présentéisme]]*Base[[#This Row],['[Prod']Jours_ouvrés]]</f>
        <v>2.2053637547904628</v>
      </c>
      <c r="CC152" s="4">
        <f>Base[[#This Row],['[Prod']'[Présentéisme']Jours_avant]]-Base[[#This Row],['[Prod']'[Présentéisme']Jours_après]]</f>
        <v>0.63852184520953736</v>
      </c>
      <c r="CD152" s="4">
        <f>Base[[#This Row],['[Prod']'[Présentéisme']Jours_gagnés]]/Base[[#This Row],['[Prod']Jours_ouvrés]]</f>
        <v>2.5138655323210133E-3</v>
      </c>
      <c r="CE152">
        <v>5.8333039429220801E-2</v>
      </c>
      <c r="CF152">
        <v>1.4658164114728258E-2</v>
      </c>
      <c r="CG152" s="4">
        <v>11</v>
      </c>
      <c r="CH152" s="4">
        <v>1.3987208237662601</v>
      </c>
      <c r="CI152" s="4">
        <v>2.1768516166491274E-2</v>
      </c>
      <c r="CJ152" s="4">
        <f>IF(Base[[#This Row],[Secteur]]&lt;&gt;"Moyenne",Base[[#This Row],['[Prod']'[Turnover']DMC_initiale]]*(1+Base[[#This Row],['[Prod']'[Turnover']Ecart_accidents]]*Base[[#This Row],['[Prod']Impact_motifs_turnover]]),CJ135*CI135+CJ136*CI136+CJ137*CI137+CJ138*CI138+CJ139*CI139+CJ140*CI140+CJ141*CI141+CJ142*CI142+CJ143*CI143+CJ144*CI144+CJ145*CI145+CJ146*CI146+CJ147*CI147+CJ148*CI148+CJ149*CI149+CJ150*CI150+CJ151*CI151)</f>
        <v>11.225529473239991</v>
      </c>
      <c r="CK152" s="4">
        <f>1/Base[[#This Row],['[Prod']'[Turnover']DMC_initiale]]</f>
        <v>9.0909090909090912E-2</v>
      </c>
      <c r="CL152" s="4">
        <f>1/Base[[#This Row],['[Prod']'[Turnover']DMC_finale]]</f>
        <v>8.9082657738670828E-2</v>
      </c>
    </row>
    <row r="153" spans="2:90" x14ac:dyDescent="0.25">
      <c r="B153" s="4" t="s">
        <v>325</v>
      </c>
      <c r="C153">
        <v>7.5</v>
      </c>
      <c r="D153" t="s">
        <v>84</v>
      </c>
      <c r="E153" t="s">
        <v>7</v>
      </c>
      <c r="F153" s="3">
        <v>0.22452444824416889</v>
      </c>
      <c r="G153" s="3">
        <v>0.1217</v>
      </c>
      <c r="H153" s="3">
        <v>0.1217</v>
      </c>
      <c r="I153" s="3">
        <v>9.1999999999999998E-2</v>
      </c>
      <c r="J153" s="3">
        <v>7.27956</v>
      </c>
      <c r="K153" s="3">
        <v>7.0000000000000007E-2</v>
      </c>
      <c r="L153" s="2">
        <f>Base[[#This Row],[Coût]]*Base[[#This Row],[Part_ménages_dépenses_santé]]</f>
        <v>0.50956920000000006</v>
      </c>
      <c r="M153" s="2">
        <v>1</v>
      </c>
      <c r="N153" s="6">
        <v>27700000</v>
      </c>
      <c r="O153" s="7">
        <f>Base[[#This Row],[Coût_salarié]]*10^9*Base[[#This Row],[Risque]]*Base[[#This Row],[Prévalence]]*Base[[#This Row],[Part_coûts_salarié]]/Base[[#This Row],[Population_emploi]]</f>
        <v>0.50266380796279742</v>
      </c>
      <c r="P153">
        <v>50</v>
      </c>
      <c r="Q153">
        <v>50</v>
      </c>
      <c r="R153" s="2">
        <v>9.9999999999999978E-2</v>
      </c>
      <c r="S153" s="2">
        <v>0.33340000000000003</v>
      </c>
      <c r="T153" s="4">
        <v>0.1217</v>
      </c>
      <c r="U153" s="4">
        <f>IF(Bases_annexes!$F$5=0,16.6587111018772,0.77*Bases_annexes!$F$5/(IF(OR(ISBLANK('Données_d''entrée'!$E$44),'Données_d''entrée'!$E$44=0),35,'Données_d''entrée'!$E$44)*52))</f>
        <v>16.658711101877199</v>
      </c>
      <c r="V153" s="4">
        <v>21.5</v>
      </c>
      <c r="W1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3" s="4">
        <v>234.5</v>
      </c>
      <c r="Y153" s="4">
        <f>(Base[[#This Row],['[Maladies']Coûts_évités_par_salarié]]+Base[[#This Row],['[Travail']Coûts_évités_par_salarié]])/Base[[#This Row],[Budget_santé_salarié]]</f>
        <v>6.8044637550508325E-2</v>
      </c>
      <c r="Z153" s="4">
        <v>0.8</v>
      </c>
      <c r="AA153" s="4">
        <f>Base[[#This Row],[Coût]]*Base[[#This Row],[Part_société_dépenses_santé]]</f>
        <v>5.8236480000000004</v>
      </c>
      <c r="AB153" s="4">
        <v>67635124</v>
      </c>
      <c r="AC153" s="4">
        <v>82.297079063317852</v>
      </c>
      <c r="AD153" s="4">
        <v>0.1217</v>
      </c>
      <c r="AE153" s="4">
        <f>Base[[#This Row],['[SC']Prévalence_travail]]*Base[[#This Row],[Population_emploi]]</f>
        <v>3371090</v>
      </c>
      <c r="AF153" s="4">
        <f>Base[[#This Row],[Risque]]*Base[[#This Row],['[SC']Patients_en_emploi]]</f>
        <v>756892.12223143526</v>
      </c>
      <c r="AG153" s="4">
        <v>0</v>
      </c>
      <c r="AH153" s="4">
        <f>IFERROR(Base[[#This Row],['[SC']Prestations]]/Base[[#This Row],['[SC']Patients_en_emploi]],0)</f>
        <v>0</v>
      </c>
      <c r="AI153" s="4">
        <v>51.7</v>
      </c>
      <c r="AJ1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3" s="4">
        <f>Base[[#This Row],['[SC']'[Travail']Coûts_évités]]/Base[[#This Row],[Population_emploi]]</f>
        <v>26.134637917265568</v>
      </c>
      <c r="AL153" s="4">
        <f>Base[[#This Row],[Coût_société]]*10^9*Base[[#This Row],[Risque]]*Base[[#This Row],[Prévalence]]*Base[[#This Row],[Part_coûts_salarié]]/Base[[#This Row],[Population_emploi]]</f>
        <v>5.7447292338605402</v>
      </c>
      <c r="AM153" s="4">
        <f>IF(Base[[#This Row],[Pathologie]]&lt;&gt;"Dépendance",0,14909.24243952)</f>
        <v>0</v>
      </c>
      <c r="AN153" s="4">
        <f>IF(Base[[#This Row],[Pathologie]]&lt;&gt;"Dépendance",0,1316000)</f>
        <v>0</v>
      </c>
      <c r="AO153" s="4">
        <f>IF(Base[[#This Row],[Pathologie]]&lt;&gt;"Dépendance",0,Base[[#This Row],['[SC']Coût_personne_dépendante]]*Base[[#This Row],['[SC']Nb_personnes_dépendantes]])</f>
        <v>0</v>
      </c>
      <c r="AP153" s="4">
        <f>IF(Base[[#This Row],[Pathologie]]&lt;&gt;"Dépendance",0,Base[[#This Row],['[SC']Coût_total_dépendance]]/Base[[#This Row],[Population_totale]])</f>
        <v>0</v>
      </c>
      <c r="AQ153" s="4">
        <f>IF(Base[[#This Row],[Pathologie]]&lt;&gt;"Dépendance",0,4.5)</f>
        <v>0</v>
      </c>
      <c r="AR153" s="4">
        <v>0.50393265050357905</v>
      </c>
      <c r="AS153" s="4">
        <f>Base[[#This Row],[Espérance_vie]]+Base[[#This Row],['[SC']Hausse_esp_de_vie]]-Base[[#This Row],['[SC']Durée_moyenne_dépendance_avt]]+Base[[#This Row],[Risque]]</f>
        <v>83.025536162065606</v>
      </c>
      <c r="AT1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3" s="4">
        <v>62.9</v>
      </c>
      <c r="AW153" s="4">
        <f t="shared" si="0"/>
        <v>336905600000</v>
      </c>
      <c r="AX153" s="4">
        <v>15049171</v>
      </c>
      <c r="AY153" s="4">
        <f>Base[[#This Row],['[SC']Budget_total_retraites]]/Base[[#This Row],['[SC']Nombre_de_retraités]]</f>
        <v>22386.987296509556</v>
      </c>
      <c r="AZ153" s="4">
        <f>Base[[#This Row],['[SC']Budget_par_retraité]]*Base[[#This Row],['[SC']Nb_personnes_dépendantes]]</f>
        <v>0</v>
      </c>
      <c r="BA153" s="4">
        <f>Base[[#This Row],['[SC']'[Dépendance']Coût_retraite_personnes_dépendantes]]/Base[[#This Row],[Population_totale]]</f>
        <v>0</v>
      </c>
      <c r="BB1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3" s="4">
        <f>Base[[#This Row],['[SC']'[Dépendance']Gains]]-Base[[#This Row],['[SC']'[Dépendance']Coûts]]</f>
        <v>0</v>
      </c>
      <c r="BD153" s="4">
        <f>IF(Base[[#This Row],[Pathologie]]&lt;&gt;"Mort prématurée",0,Base[[#This Row],[Risque]]*Base[[#This Row],[Prévalence]]*Base[[#This Row],[Population_totale]])</f>
        <v>0</v>
      </c>
      <c r="BE153" s="4">
        <v>52.74</v>
      </c>
      <c r="BF153" s="4">
        <f>Base[[#This Row],['[SC']Âge_moyen_retraite]]-Base[[#This Row],['[SC']'[Mort_prématurée']Âge_moyen_mort précoce]]</f>
        <v>10.159999999999997</v>
      </c>
      <c r="BG153" s="4">
        <f>Base[[#This Row],[Espérance_vie]]+Base[[#This Row],['[SC']Hausse_esp_de_vie]]-Base[[#This Row],['[SC']Âge_moyen_retraite]]</f>
        <v>19.90101171382144</v>
      </c>
      <c r="BH153" s="4">
        <v>106583.42676924677</v>
      </c>
      <c r="BI153" s="4">
        <v>97601.789429271477</v>
      </c>
      <c r="BJ153" s="4">
        <v>302038.31496633729</v>
      </c>
      <c r="BK153" s="4">
        <v>117293.58934859755</v>
      </c>
      <c r="BL153" s="4">
        <v>1523999.9999999995</v>
      </c>
      <c r="BM1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3" s="4">
        <v>294804.96027377353</v>
      </c>
      <c r="BO1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3" s="4">
        <f>(Base[[#This Row],['[SC']'[Mort_prématurée']Gains]]-Base[[#This Row],['[SC']'[Mort_prématurée']Coûts]])/Base[[#This Row],[Population_totale]]</f>
        <v>0</v>
      </c>
      <c r="BQ153" s="4">
        <f>IF(Base[[#This Row],[Pathologie]]&lt;&gt;"Mort prématurée",0,Base[[#This Row],[Risque]])</f>
        <v>0</v>
      </c>
      <c r="BR153" s="4">
        <v>2680</v>
      </c>
      <c r="BS1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3" s="4">
        <f>Base[[#This Row],[Prévalence_prod]]*(1-Base[[#This Row],[Risque]])*Base[[#This Row],[Durée_arrêt]]*Base[[#This Row],[Population_emploi]]</f>
        <v>56205254.372024149</v>
      </c>
      <c r="BV153" s="4">
        <f>Base[[#This Row],['[Prod']'[Absentéisme']Total_jours_absence_avant]]-Base[[#This Row],['[Prod']'[Absentéisme']Total_jours_absence_après]]</f>
        <v>16273180.627975851</v>
      </c>
      <c r="BW153" s="4">
        <f>IF(AND(Base[[#This Row],[Pathologie]]&lt;&gt;"Dépendance",Base[[#This Row],[Pathologie]]&lt;&gt;"Mort prématurée",Base[[#This Row],[Pathologie]]&lt;&gt;"Migraine"),0.0619,0)</f>
        <v>6.1899999999999997E-2</v>
      </c>
      <c r="BX153" s="4">
        <v>254</v>
      </c>
      <c r="BY153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3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3" s="4">
        <f>Base[[#This Row],[Prévalence_prod]]*Base[[#This Row],[Présentéisme]]*Base[[#This Row],['[Prod']Jours_ouvrés]]</f>
        <v>2.8438856000000001</v>
      </c>
      <c r="CB153" s="4">
        <f>Base[[#This Row],[Prévalence_prod]]*(1-Base[[#This Row],[Risque]])*Base[[#This Row],[Présentéisme]]*Base[[#This Row],['[Prod']Jours_ouvrés]]</f>
        <v>2.2053637547904628</v>
      </c>
      <c r="CC153" s="4">
        <f>Base[[#This Row],['[Prod']'[Présentéisme']Jours_avant]]-Base[[#This Row],['[Prod']'[Présentéisme']Jours_après]]</f>
        <v>0.63852184520953736</v>
      </c>
      <c r="CD153" s="4">
        <f>Base[[#This Row],['[Prod']'[Présentéisme']Jours_gagnés]]/Base[[#This Row],['[Prod']Jours_ouvrés]]</f>
        <v>2.5138655323210133E-3</v>
      </c>
      <c r="CE153">
        <v>5.8333039429220801E-2</v>
      </c>
      <c r="CF153">
        <v>1.4658164114728258E-2</v>
      </c>
      <c r="CG153" s="4">
        <v>11</v>
      </c>
      <c r="CH153" s="4">
        <v>1.1624525375985588</v>
      </c>
      <c r="CI153" s="4">
        <v>3.7953151649308701E-2</v>
      </c>
      <c r="CJ153" s="4">
        <f>IF(Base[[#This Row],[Secteur]]&lt;&gt;"Moyenne",Base[[#This Row],['[Prod']'[Turnover']DMC_initiale]]*(1+Base[[#This Row],['[Prod']'[Turnover']Ecart_accidents]]*Base[[#This Row],['[Prod']Impact_motifs_turnover]]),CJ136*CI136+CJ137*CI137+CJ138*CI138+CJ139*CI139+CJ140*CI140+CJ141*CI141+CJ142*CI142+CJ143*CI143+CJ144*CI144+CJ145*CI145+CJ146*CI146+CJ147*CI147+CJ148*CI148+CJ149*CI149+CJ150*CI150+CJ151*CI151+CJ152*CI152)</f>
        <v>11.18743362078872</v>
      </c>
      <c r="CK153" s="4">
        <f>1/Base[[#This Row],['[Prod']'[Turnover']DMC_initiale]]</f>
        <v>9.0909090909090912E-2</v>
      </c>
      <c r="CL153" s="4">
        <f>1/Base[[#This Row],['[Prod']'[Turnover']DMC_finale]]</f>
        <v>8.9386005217655939E-2</v>
      </c>
    </row>
    <row r="154" spans="2:90" x14ac:dyDescent="0.25">
      <c r="B154" s="4" t="s">
        <v>326</v>
      </c>
      <c r="C154">
        <v>7.5</v>
      </c>
      <c r="D154" t="s">
        <v>84</v>
      </c>
      <c r="E154" t="s">
        <v>7</v>
      </c>
      <c r="F154" s="3">
        <v>0.22452444824416889</v>
      </c>
      <c r="G154" s="3">
        <v>0.1217</v>
      </c>
      <c r="H154" s="3">
        <v>0.1217</v>
      </c>
      <c r="I154" s="3">
        <v>9.1999999999999998E-2</v>
      </c>
      <c r="J154" s="3">
        <v>7.27956</v>
      </c>
      <c r="K154" s="3">
        <v>7.0000000000000007E-2</v>
      </c>
      <c r="L154" s="2">
        <f>Base[[#This Row],[Coût]]*Base[[#This Row],[Part_ménages_dépenses_santé]]</f>
        <v>0.50956920000000006</v>
      </c>
      <c r="M154" s="2">
        <v>1</v>
      </c>
      <c r="N154" s="6">
        <v>27700000</v>
      </c>
      <c r="O154" s="7">
        <f>Base[[#This Row],[Coût_salarié]]*10^9*Base[[#This Row],[Risque]]*Base[[#This Row],[Prévalence]]*Base[[#This Row],[Part_coûts_salarié]]/Base[[#This Row],[Population_emploi]]</f>
        <v>0.50266380796279742</v>
      </c>
      <c r="P154">
        <v>50</v>
      </c>
      <c r="Q154">
        <v>50</v>
      </c>
      <c r="R154" s="2">
        <v>9.9999999999999978E-2</v>
      </c>
      <c r="S154" s="2">
        <v>0.33340000000000003</v>
      </c>
      <c r="T154" s="4">
        <v>0.1217</v>
      </c>
      <c r="U154" s="4">
        <f>IF(Bases_annexes!$F$5=0,16.6587111018772,0.77*Bases_annexes!$F$5/(IF(OR(ISBLANK('Données_d''entrée'!$E$44),'Données_d''entrée'!$E$44=0),35,'Données_d''entrée'!$E$44)*52))</f>
        <v>16.658711101877199</v>
      </c>
      <c r="V154" s="4">
        <v>21.5</v>
      </c>
      <c r="W1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4" s="4">
        <v>234.5</v>
      </c>
      <c r="Y154" s="4">
        <f>(Base[[#This Row],['[Maladies']Coûts_évités_par_salarié]]+Base[[#This Row],['[Travail']Coûts_évités_par_salarié]])/Base[[#This Row],[Budget_santé_salarié]]</f>
        <v>6.8044637550508325E-2</v>
      </c>
      <c r="Z154" s="4">
        <v>0.8</v>
      </c>
      <c r="AA154" s="4">
        <f>Base[[#This Row],[Coût]]*Base[[#This Row],[Part_société_dépenses_santé]]</f>
        <v>5.8236480000000004</v>
      </c>
      <c r="AB154" s="4">
        <v>67635124</v>
      </c>
      <c r="AC154" s="4">
        <v>82.297079063317852</v>
      </c>
      <c r="AD154" s="4">
        <v>0.1217</v>
      </c>
      <c r="AE154" s="4">
        <f>Base[[#This Row],['[SC']Prévalence_travail]]*Base[[#This Row],[Population_emploi]]</f>
        <v>3371090</v>
      </c>
      <c r="AF154" s="4">
        <f>Base[[#This Row],[Risque]]*Base[[#This Row],['[SC']Patients_en_emploi]]</f>
        <v>756892.12223143526</v>
      </c>
      <c r="AG154" s="4">
        <v>0</v>
      </c>
      <c r="AH154" s="4">
        <f>IFERROR(Base[[#This Row],['[SC']Prestations]]/Base[[#This Row],['[SC']Patients_en_emploi]],0)</f>
        <v>0</v>
      </c>
      <c r="AI154" s="4">
        <v>51.7</v>
      </c>
      <c r="AJ1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4" s="4">
        <f>Base[[#This Row],['[SC']'[Travail']Coûts_évités]]/Base[[#This Row],[Population_emploi]]</f>
        <v>26.134637917265568</v>
      </c>
      <c r="AL154" s="4">
        <f>Base[[#This Row],[Coût_société]]*10^9*Base[[#This Row],[Risque]]*Base[[#This Row],[Prévalence]]*Base[[#This Row],[Part_coûts_salarié]]/Base[[#This Row],[Population_emploi]]</f>
        <v>5.7447292338605402</v>
      </c>
      <c r="AM154" s="4">
        <f>IF(Base[[#This Row],[Pathologie]]&lt;&gt;"Dépendance",0,14909.24243952)</f>
        <v>0</v>
      </c>
      <c r="AN154" s="4">
        <f>IF(Base[[#This Row],[Pathologie]]&lt;&gt;"Dépendance",0,1316000)</f>
        <v>0</v>
      </c>
      <c r="AO154" s="4">
        <f>IF(Base[[#This Row],[Pathologie]]&lt;&gt;"Dépendance",0,Base[[#This Row],['[SC']Coût_personne_dépendante]]*Base[[#This Row],['[SC']Nb_personnes_dépendantes]])</f>
        <v>0</v>
      </c>
      <c r="AP154" s="4">
        <f>IF(Base[[#This Row],[Pathologie]]&lt;&gt;"Dépendance",0,Base[[#This Row],['[SC']Coût_total_dépendance]]/Base[[#This Row],[Population_totale]])</f>
        <v>0</v>
      </c>
      <c r="AQ154" s="4">
        <f>IF(Base[[#This Row],[Pathologie]]&lt;&gt;"Dépendance",0,4.5)</f>
        <v>0</v>
      </c>
      <c r="AR154" s="4">
        <v>0.50393265050357905</v>
      </c>
      <c r="AS154" s="4">
        <f>Base[[#This Row],[Espérance_vie]]+Base[[#This Row],['[SC']Hausse_esp_de_vie]]-Base[[#This Row],['[SC']Durée_moyenne_dépendance_avt]]+Base[[#This Row],[Risque]]</f>
        <v>83.025536162065606</v>
      </c>
      <c r="AT1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4" s="4">
        <v>62.9</v>
      </c>
      <c r="AW154" s="4">
        <f t="shared" si="0"/>
        <v>336905600000</v>
      </c>
      <c r="AX154" s="4">
        <v>15049171</v>
      </c>
      <c r="AY154" s="4">
        <f>Base[[#This Row],['[SC']Budget_total_retraites]]/Base[[#This Row],['[SC']Nombre_de_retraités]]</f>
        <v>22386.987296509556</v>
      </c>
      <c r="AZ154" s="4">
        <f>Base[[#This Row],['[SC']Budget_par_retraité]]*Base[[#This Row],['[SC']Nb_personnes_dépendantes]]</f>
        <v>0</v>
      </c>
      <c r="BA154" s="4">
        <f>Base[[#This Row],['[SC']'[Dépendance']Coût_retraite_personnes_dépendantes]]/Base[[#This Row],[Population_totale]]</f>
        <v>0</v>
      </c>
      <c r="BB1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4" s="4">
        <f>Base[[#This Row],['[SC']'[Dépendance']Gains]]-Base[[#This Row],['[SC']'[Dépendance']Coûts]]</f>
        <v>0</v>
      </c>
      <c r="BD154" s="4">
        <f>IF(Base[[#This Row],[Pathologie]]&lt;&gt;"Mort prématurée",0,Base[[#This Row],[Risque]]*Base[[#This Row],[Prévalence]]*Base[[#This Row],[Population_totale]])</f>
        <v>0</v>
      </c>
      <c r="BE154" s="4">
        <v>52.74</v>
      </c>
      <c r="BF154" s="4">
        <f>Base[[#This Row],['[SC']Âge_moyen_retraite]]-Base[[#This Row],['[SC']'[Mort_prématurée']Âge_moyen_mort précoce]]</f>
        <v>10.159999999999997</v>
      </c>
      <c r="BG154" s="4">
        <f>Base[[#This Row],[Espérance_vie]]+Base[[#This Row],['[SC']Hausse_esp_de_vie]]-Base[[#This Row],['[SC']Âge_moyen_retraite]]</f>
        <v>19.90101171382144</v>
      </c>
      <c r="BH154" s="4">
        <v>106583.42676924677</v>
      </c>
      <c r="BI154" s="4">
        <v>97601.789429271477</v>
      </c>
      <c r="BJ154" s="4">
        <v>302038.31496633729</v>
      </c>
      <c r="BK154" s="4">
        <v>117293.58934859755</v>
      </c>
      <c r="BL154" s="4">
        <v>1523999.9999999995</v>
      </c>
      <c r="BM1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4" s="4">
        <v>294804.96027377353</v>
      </c>
      <c r="BO1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4" s="4">
        <f>(Base[[#This Row],['[SC']'[Mort_prématurée']Gains]]-Base[[#This Row],['[SC']'[Mort_prématurée']Coûts]])/Base[[#This Row],[Population_totale]]</f>
        <v>0</v>
      </c>
      <c r="BQ154" s="4">
        <f>IF(Base[[#This Row],[Pathologie]]&lt;&gt;"Mort prématurée",0,Base[[#This Row],[Risque]])</f>
        <v>0</v>
      </c>
      <c r="BR154" s="4">
        <v>2680</v>
      </c>
      <c r="BS1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4" s="4">
        <f>Base[[#This Row],[Prévalence_prod]]*(1-Base[[#This Row],[Risque]])*Base[[#This Row],[Durée_arrêt]]*Base[[#This Row],[Population_emploi]]</f>
        <v>56205254.372024149</v>
      </c>
      <c r="BV154" s="4">
        <f>Base[[#This Row],['[Prod']'[Absentéisme']Total_jours_absence_avant]]-Base[[#This Row],['[Prod']'[Absentéisme']Total_jours_absence_après]]</f>
        <v>16273180.627975851</v>
      </c>
      <c r="BW154" s="4">
        <f>IF(AND(Base[[#This Row],[Pathologie]]&lt;&gt;"Dépendance",Base[[#This Row],[Pathologie]]&lt;&gt;"Mort prématurée",Base[[#This Row],[Pathologie]]&lt;&gt;"Migraine"),0.0619,0)</f>
        <v>6.1899999999999997E-2</v>
      </c>
      <c r="BX154" s="4">
        <v>254</v>
      </c>
      <c r="BY154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4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4" s="4">
        <f>Base[[#This Row],[Prévalence_prod]]*Base[[#This Row],[Présentéisme]]*Base[[#This Row],['[Prod']Jours_ouvrés]]</f>
        <v>2.8438856000000001</v>
      </c>
      <c r="CB154" s="4">
        <f>Base[[#This Row],[Prévalence_prod]]*(1-Base[[#This Row],[Risque]])*Base[[#This Row],[Présentéisme]]*Base[[#This Row],['[Prod']Jours_ouvrés]]</f>
        <v>2.2053637547904628</v>
      </c>
      <c r="CC154" s="4">
        <f>Base[[#This Row],['[Prod']'[Présentéisme']Jours_avant]]-Base[[#This Row],['[Prod']'[Présentéisme']Jours_après]]</f>
        <v>0.63852184520953736</v>
      </c>
      <c r="CD154" s="4">
        <f>Base[[#This Row],['[Prod']'[Présentéisme']Jours_gagnés]]/Base[[#This Row],['[Prod']Jours_ouvrés]]</f>
        <v>2.5138655323210133E-3</v>
      </c>
      <c r="CE154">
        <v>5.8333039429220801E-2</v>
      </c>
      <c r="CF154">
        <v>1.4658164114728258E-2</v>
      </c>
      <c r="CG154" s="4">
        <v>11</v>
      </c>
      <c r="CH154" s="4">
        <v>0.19346787829229528</v>
      </c>
      <c r="CI154" s="4">
        <v>2.8126549817953091E-2</v>
      </c>
      <c r="CJ154" s="4">
        <f>IF(Base[[#This Row],[Secteur]]&lt;&gt;"Moyenne",Base[[#This Row],['[Prod']'[Turnover']DMC_initiale]]*(1+Base[[#This Row],['[Prod']'[Turnover']Ecart_accidents]]*Base[[#This Row],['[Prod']Impact_motifs_turnover]]),CJ137*CI137+CJ138*CI138+CJ139*CI139+CJ140*CI140+CJ141*CI141+CJ142*CI142+CJ143*CI143+CJ144*CI144+CJ145*CI145+CJ146*CI146+CJ147*CI147+CJ148*CI148+CJ149*CI149+CJ150*CI150+CJ151*CI151+CJ152*CI152+CJ153*CI153)</f>
        <v>11.031194723020304</v>
      </c>
      <c r="CK154" s="4">
        <f>1/Base[[#This Row],['[Prod']'[Turnover']DMC_initiale]]</f>
        <v>9.0909090909090912E-2</v>
      </c>
      <c r="CL154" s="4">
        <f>1/Base[[#This Row],['[Prod']'[Turnover']DMC_finale]]</f>
        <v>9.065201232584201E-2</v>
      </c>
    </row>
    <row r="155" spans="2:90" x14ac:dyDescent="0.25">
      <c r="B155" s="4" t="s">
        <v>327</v>
      </c>
      <c r="C155">
        <v>7.5</v>
      </c>
      <c r="D155" t="s">
        <v>84</v>
      </c>
      <c r="E155" t="s">
        <v>7</v>
      </c>
      <c r="F155" s="3">
        <v>0.22452444824416889</v>
      </c>
      <c r="G155" s="3">
        <v>0.1217</v>
      </c>
      <c r="H155" s="3">
        <v>0.1217</v>
      </c>
      <c r="I155" s="3">
        <v>9.1999999999999998E-2</v>
      </c>
      <c r="J155" s="3">
        <v>7.27956</v>
      </c>
      <c r="K155" s="3">
        <v>7.0000000000000007E-2</v>
      </c>
      <c r="L155" s="2">
        <f>Base[[#This Row],[Coût]]*Base[[#This Row],[Part_ménages_dépenses_santé]]</f>
        <v>0.50956920000000006</v>
      </c>
      <c r="M155" s="2">
        <v>1</v>
      </c>
      <c r="N155" s="6">
        <v>27700000</v>
      </c>
      <c r="O155" s="7">
        <f>Base[[#This Row],[Coût_salarié]]*10^9*Base[[#This Row],[Risque]]*Base[[#This Row],[Prévalence]]*Base[[#This Row],[Part_coûts_salarié]]/Base[[#This Row],[Population_emploi]]</f>
        <v>0.50266380796279742</v>
      </c>
      <c r="P155">
        <v>50</v>
      </c>
      <c r="Q155">
        <v>50</v>
      </c>
      <c r="R155" s="2">
        <v>9.9999999999999978E-2</v>
      </c>
      <c r="S155" s="2">
        <v>0.33340000000000003</v>
      </c>
      <c r="T155" s="4">
        <v>0.1217</v>
      </c>
      <c r="U155" s="4">
        <f>IF(Bases_annexes!$F$5=0,16.6587111018772,0.77*Bases_annexes!$F$5/(IF(OR(ISBLANK('Données_d''entrée'!$E$44),'Données_d''entrée'!$E$44=0),35,'Données_d''entrée'!$E$44)*52))</f>
        <v>16.658711101877199</v>
      </c>
      <c r="V155" s="4">
        <v>21.5</v>
      </c>
      <c r="W1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5" s="4">
        <v>234.5</v>
      </c>
      <c r="Y155" s="4">
        <f>(Base[[#This Row],['[Maladies']Coûts_évités_par_salarié]]+Base[[#This Row],['[Travail']Coûts_évités_par_salarié]])/Base[[#This Row],[Budget_santé_salarié]]</f>
        <v>6.8044637550508325E-2</v>
      </c>
      <c r="Z155" s="4">
        <v>0.8</v>
      </c>
      <c r="AA155" s="4">
        <f>Base[[#This Row],[Coût]]*Base[[#This Row],[Part_société_dépenses_santé]]</f>
        <v>5.8236480000000004</v>
      </c>
      <c r="AB155" s="4">
        <v>67635124</v>
      </c>
      <c r="AC155" s="4">
        <v>82.297079063317852</v>
      </c>
      <c r="AD155" s="4">
        <v>0.1217</v>
      </c>
      <c r="AE155" s="4">
        <f>Base[[#This Row],['[SC']Prévalence_travail]]*Base[[#This Row],[Population_emploi]]</f>
        <v>3371090</v>
      </c>
      <c r="AF155" s="4">
        <f>Base[[#This Row],[Risque]]*Base[[#This Row],['[SC']Patients_en_emploi]]</f>
        <v>756892.12223143526</v>
      </c>
      <c r="AG155" s="4">
        <v>0</v>
      </c>
      <c r="AH155" s="4">
        <f>IFERROR(Base[[#This Row],['[SC']Prestations]]/Base[[#This Row],['[SC']Patients_en_emploi]],0)</f>
        <v>0</v>
      </c>
      <c r="AI155" s="4">
        <v>51.7</v>
      </c>
      <c r="AJ1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5" s="4">
        <f>Base[[#This Row],['[SC']'[Travail']Coûts_évités]]/Base[[#This Row],[Population_emploi]]</f>
        <v>26.134637917265568</v>
      </c>
      <c r="AL155" s="4">
        <f>Base[[#This Row],[Coût_société]]*10^9*Base[[#This Row],[Risque]]*Base[[#This Row],[Prévalence]]*Base[[#This Row],[Part_coûts_salarié]]/Base[[#This Row],[Population_emploi]]</f>
        <v>5.7447292338605402</v>
      </c>
      <c r="AM155" s="4">
        <f>IF(Base[[#This Row],[Pathologie]]&lt;&gt;"Dépendance",0,14909.24243952)</f>
        <v>0</v>
      </c>
      <c r="AN155" s="4">
        <f>IF(Base[[#This Row],[Pathologie]]&lt;&gt;"Dépendance",0,1316000)</f>
        <v>0</v>
      </c>
      <c r="AO155" s="4">
        <f>IF(Base[[#This Row],[Pathologie]]&lt;&gt;"Dépendance",0,Base[[#This Row],['[SC']Coût_personne_dépendante]]*Base[[#This Row],['[SC']Nb_personnes_dépendantes]])</f>
        <v>0</v>
      </c>
      <c r="AP155" s="4">
        <f>IF(Base[[#This Row],[Pathologie]]&lt;&gt;"Dépendance",0,Base[[#This Row],['[SC']Coût_total_dépendance]]/Base[[#This Row],[Population_totale]])</f>
        <v>0</v>
      </c>
      <c r="AQ155" s="4">
        <f>IF(Base[[#This Row],[Pathologie]]&lt;&gt;"Dépendance",0,4.5)</f>
        <v>0</v>
      </c>
      <c r="AR155" s="4">
        <v>0.50393265050357905</v>
      </c>
      <c r="AS155" s="4">
        <f>Base[[#This Row],[Espérance_vie]]+Base[[#This Row],['[SC']Hausse_esp_de_vie]]-Base[[#This Row],['[SC']Durée_moyenne_dépendance_avt]]+Base[[#This Row],[Risque]]</f>
        <v>83.025536162065606</v>
      </c>
      <c r="AT1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5" s="4">
        <v>62.9</v>
      </c>
      <c r="AW155" s="4">
        <f t="shared" si="0"/>
        <v>336905600000</v>
      </c>
      <c r="AX155" s="4">
        <v>15049171</v>
      </c>
      <c r="AY155" s="4">
        <f>Base[[#This Row],['[SC']Budget_total_retraites]]/Base[[#This Row],['[SC']Nombre_de_retraités]]</f>
        <v>22386.987296509556</v>
      </c>
      <c r="AZ155" s="4">
        <f>Base[[#This Row],['[SC']Budget_par_retraité]]*Base[[#This Row],['[SC']Nb_personnes_dépendantes]]</f>
        <v>0</v>
      </c>
      <c r="BA155" s="4">
        <f>Base[[#This Row],['[SC']'[Dépendance']Coût_retraite_personnes_dépendantes]]/Base[[#This Row],[Population_totale]]</f>
        <v>0</v>
      </c>
      <c r="BB1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5" s="4">
        <f>Base[[#This Row],['[SC']'[Dépendance']Gains]]-Base[[#This Row],['[SC']'[Dépendance']Coûts]]</f>
        <v>0</v>
      </c>
      <c r="BD155" s="4">
        <f>IF(Base[[#This Row],[Pathologie]]&lt;&gt;"Mort prématurée",0,Base[[#This Row],[Risque]]*Base[[#This Row],[Prévalence]]*Base[[#This Row],[Population_totale]])</f>
        <v>0</v>
      </c>
      <c r="BE155" s="4">
        <v>52.74</v>
      </c>
      <c r="BF155" s="4">
        <f>Base[[#This Row],['[SC']Âge_moyen_retraite]]-Base[[#This Row],['[SC']'[Mort_prématurée']Âge_moyen_mort précoce]]</f>
        <v>10.159999999999997</v>
      </c>
      <c r="BG155" s="4">
        <f>Base[[#This Row],[Espérance_vie]]+Base[[#This Row],['[SC']Hausse_esp_de_vie]]-Base[[#This Row],['[SC']Âge_moyen_retraite]]</f>
        <v>19.90101171382144</v>
      </c>
      <c r="BH155" s="4">
        <v>106583.42676924677</v>
      </c>
      <c r="BI155" s="4">
        <v>97601.789429271477</v>
      </c>
      <c r="BJ155" s="4">
        <v>302038.31496633729</v>
      </c>
      <c r="BK155" s="4">
        <v>117293.58934859755</v>
      </c>
      <c r="BL155" s="4">
        <v>1523999.9999999995</v>
      </c>
      <c r="BM1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5" s="4">
        <v>294804.96027377353</v>
      </c>
      <c r="BO1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5" s="4">
        <f>(Base[[#This Row],['[SC']'[Mort_prématurée']Gains]]-Base[[#This Row],['[SC']'[Mort_prématurée']Coûts]])/Base[[#This Row],[Population_totale]]</f>
        <v>0</v>
      </c>
      <c r="BQ155" s="4">
        <f>IF(Base[[#This Row],[Pathologie]]&lt;&gt;"Mort prématurée",0,Base[[#This Row],[Risque]])</f>
        <v>0</v>
      </c>
      <c r="BR155" s="4">
        <v>2680</v>
      </c>
      <c r="BS1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5" s="4">
        <f>Base[[#This Row],[Prévalence_prod]]*(1-Base[[#This Row],[Risque]])*Base[[#This Row],[Durée_arrêt]]*Base[[#This Row],[Population_emploi]]</f>
        <v>56205254.372024149</v>
      </c>
      <c r="BV155" s="4">
        <f>Base[[#This Row],['[Prod']'[Absentéisme']Total_jours_absence_avant]]-Base[[#This Row],['[Prod']'[Absentéisme']Total_jours_absence_après]]</f>
        <v>16273180.627975851</v>
      </c>
      <c r="BW155" s="4">
        <f>IF(AND(Base[[#This Row],[Pathologie]]&lt;&gt;"Dépendance",Base[[#This Row],[Pathologie]]&lt;&gt;"Mort prématurée",Base[[#This Row],[Pathologie]]&lt;&gt;"Migraine"),0.0619,0)</f>
        <v>6.1899999999999997E-2</v>
      </c>
      <c r="BX155" s="4">
        <v>254</v>
      </c>
      <c r="BY15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5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5" s="4">
        <f>Base[[#This Row],[Prévalence_prod]]*Base[[#This Row],[Présentéisme]]*Base[[#This Row],['[Prod']Jours_ouvrés]]</f>
        <v>2.8438856000000001</v>
      </c>
      <c r="CB155" s="4">
        <f>Base[[#This Row],[Prévalence_prod]]*(1-Base[[#This Row],[Risque]])*Base[[#This Row],[Présentéisme]]*Base[[#This Row],['[Prod']Jours_ouvrés]]</f>
        <v>2.2053637547904628</v>
      </c>
      <c r="CC155" s="4">
        <f>Base[[#This Row],['[Prod']'[Présentéisme']Jours_avant]]-Base[[#This Row],['[Prod']'[Présentéisme']Jours_après]]</f>
        <v>0.63852184520953736</v>
      </c>
      <c r="CD155" s="4">
        <f>Base[[#This Row],['[Prod']'[Présentéisme']Jours_gagnés]]/Base[[#This Row],['[Prod']Jours_ouvrés]]</f>
        <v>2.5138655323210133E-3</v>
      </c>
      <c r="CE155">
        <v>5.8333039429220801E-2</v>
      </c>
      <c r="CF155">
        <v>1.4658164114728258E-2</v>
      </c>
      <c r="CG155" s="4">
        <v>11</v>
      </c>
      <c r="CH155" s="4">
        <v>0.13729577077682142</v>
      </c>
      <c r="CI155" s="4">
        <v>1.373516710817578E-2</v>
      </c>
      <c r="CJ155" s="4">
        <f>IF(Base[[#This Row],[Secteur]]&lt;&gt;"Moyenne",Base[[#This Row],['[Prod']'[Turnover']DMC_initiale]]*(1+Base[[#This Row],['[Prod']'[Turnover']Ecart_accidents]]*Base[[#This Row],['[Prod']Impact_motifs_turnover]]),CJ138*CI138+CJ139*CI139+CJ140*CI140+CJ141*CI141+CJ142*CI142+CJ143*CI143+CJ144*CI144+CJ145*CI145+CJ146*CI146+CJ147*CI147+CJ148*CI148+CJ149*CI149+CJ150*CI150+CJ151*CI151+CJ152*CI152+CJ153*CI153+CJ154*CI154)</f>
        <v>11.022137543343351</v>
      </c>
      <c r="CK155" s="4">
        <f>1/Base[[#This Row],['[Prod']'[Turnover']DMC_initiale]]</f>
        <v>9.0909090909090912E-2</v>
      </c>
      <c r="CL155" s="4">
        <f>1/Base[[#This Row],['[Prod']'[Turnover']DMC_finale]]</f>
        <v>9.0726503463380792E-2</v>
      </c>
    </row>
    <row r="156" spans="2:90" x14ac:dyDescent="0.25">
      <c r="B156" s="4" t="s">
        <v>328</v>
      </c>
      <c r="C156">
        <v>7.5</v>
      </c>
      <c r="D156" t="s">
        <v>84</v>
      </c>
      <c r="E156" t="s">
        <v>7</v>
      </c>
      <c r="F156" s="3">
        <v>0.22452444824416889</v>
      </c>
      <c r="G156" s="3">
        <v>0.1217</v>
      </c>
      <c r="H156" s="3">
        <v>0.1217</v>
      </c>
      <c r="I156" s="3">
        <v>9.1999999999999998E-2</v>
      </c>
      <c r="J156" s="3">
        <v>7.27956</v>
      </c>
      <c r="K156" s="3">
        <v>7.0000000000000007E-2</v>
      </c>
      <c r="L156" s="2">
        <f>Base[[#This Row],[Coût]]*Base[[#This Row],[Part_ménages_dépenses_santé]]</f>
        <v>0.50956920000000006</v>
      </c>
      <c r="M156" s="2">
        <v>1</v>
      </c>
      <c r="N156" s="6">
        <v>27700000</v>
      </c>
      <c r="O156" s="7">
        <f>Base[[#This Row],[Coût_salarié]]*10^9*Base[[#This Row],[Risque]]*Base[[#This Row],[Prévalence]]*Base[[#This Row],[Part_coûts_salarié]]/Base[[#This Row],[Population_emploi]]</f>
        <v>0.50266380796279742</v>
      </c>
      <c r="P156">
        <v>50</v>
      </c>
      <c r="Q156">
        <v>50</v>
      </c>
      <c r="R156" s="2">
        <v>9.9999999999999978E-2</v>
      </c>
      <c r="S156" s="2">
        <v>0.33340000000000003</v>
      </c>
      <c r="T156" s="4">
        <v>0.1217</v>
      </c>
      <c r="U156" s="4">
        <f>IF(Bases_annexes!$F$5=0,16.6587111018772,0.77*Bases_annexes!$F$5/(IF(OR(ISBLANK('Données_d''entrée'!$E$44),'Données_d''entrée'!$E$44=0),35,'Données_d''entrée'!$E$44)*52))</f>
        <v>16.658711101877199</v>
      </c>
      <c r="V156" s="4">
        <v>21.5</v>
      </c>
      <c r="W1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6" s="4">
        <v>234.5</v>
      </c>
      <c r="Y156" s="4">
        <f>(Base[[#This Row],['[Maladies']Coûts_évités_par_salarié]]+Base[[#This Row],['[Travail']Coûts_évités_par_salarié]])/Base[[#This Row],[Budget_santé_salarié]]</f>
        <v>6.8044637550508325E-2</v>
      </c>
      <c r="Z156" s="4">
        <v>0.8</v>
      </c>
      <c r="AA156" s="4">
        <f>Base[[#This Row],[Coût]]*Base[[#This Row],[Part_société_dépenses_santé]]</f>
        <v>5.8236480000000004</v>
      </c>
      <c r="AB156" s="4">
        <v>67635124</v>
      </c>
      <c r="AC156" s="4">
        <v>82.297079063317852</v>
      </c>
      <c r="AD156" s="4">
        <v>0.1217</v>
      </c>
      <c r="AE156" s="4">
        <f>Base[[#This Row],['[SC']Prévalence_travail]]*Base[[#This Row],[Population_emploi]]</f>
        <v>3371090</v>
      </c>
      <c r="AF156" s="4">
        <f>Base[[#This Row],[Risque]]*Base[[#This Row],['[SC']Patients_en_emploi]]</f>
        <v>756892.12223143526</v>
      </c>
      <c r="AG156" s="4">
        <v>0</v>
      </c>
      <c r="AH156" s="4">
        <f>IFERROR(Base[[#This Row],['[SC']Prestations]]/Base[[#This Row],['[SC']Patients_en_emploi]],0)</f>
        <v>0</v>
      </c>
      <c r="AI156" s="4">
        <v>51.7</v>
      </c>
      <c r="AJ1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6" s="4">
        <f>Base[[#This Row],['[SC']'[Travail']Coûts_évités]]/Base[[#This Row],[Population_emploi]]</f>
        <v>26.134637917265568</v>
      </c>
      <c r="AL156" s="4">
        <f>Base[[#This Row],[Coût_société]]*10^9*Base[[#This Row],[Risque]]*Base[[#This Row],[Prévalence]]*Base[[#This Row],[Part_coûts_salarié]]/Base[[#This Row],[Population_emploi]]</f>
        <v>5.7447292338605402</v>
      </c>
      <c r="AM156" s="4">
        <f>IF(Base[[#This Row],[Pathologie]]&lt;&gt;"Dépendance",0,14909.24243952)</f>
        <v>0</v>
      </c>
      <c r="AN156" s="4">
        <f>IF(Base[[#This Row],[Pathologie]]&lt;&gt;"Dépendance",0,1316000)</f>
        <v>0</v>
      </c>
      <c r="AO156" s="4">
        <f>IF(Base[[#This Row],[Pathologie]]&lt;&gt;"Dépendance",0,Base[[#This Row],['[SC']Coût_personne_dépendante]]*Base[[#This Row],['[SC']Nb_personnes_dépendantes]])</f>
        <v>0</v>
      </c>
      <c r="AP156" s="4">
        <f>IF(Base[[#This Row],[Pathologie]]&lt;&gt;"Dépendance",0,Base[[#This Row],['[SC']Coût_total_dépendance]]/Base[[#This Row],[Population_totale]])</f>
        <v>0</v>
      </c>
      <c r="AQ156" s="4">
        <f>IF(Base[[#This Row],[Pathologie]]&lt;&gt;"Dépendance",0,4.5)</f>
        <v>0</v>
      </c>
      <c r="AR156" s="4">
        <v>0.50393265050357905</v>
      </c>
      <c r="AS156" s="4">
        <f>Base[[#This Row],[Espérance_vie]]+Base[[#This Row],['[SC']Hausse_esp_de_vie]]-Base[[#This Row],['[SC']Durée_moyenne_dépendance_avt]]+Base[[#This Row],[Risque]]</f>
        <v>83.025536162065606</v>
      </c>
      <c r="AT1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6" s="4">
        <v>62.9</v>
      </c>
      <c r="AW156" s="4">
        <f t="shared" si="0"/>
        <v>336905600000</v>
      </c>
      <c r="AX156" s="4">
        <v>15049171</v>
      </c>
      <c r="AY156" s="4">
        <f>Base[[#This Row],['[SC']Budget_total_retraites]]/Base[[#This Row],['[SC']Nombre_de_retraités]]</f>
        <v>22386.987296509556</v>
      </c>
      <c r="AZ156" s="4">
        <f>Base[[#This Row],['[SC']Budget_par_retraité]]*Base[[#This Row],['[SC']Nb_personnes_dépendantes]]</f>
        <v>0</v>
      </c>
      <c r="BA156" s="4">
        <f>Base[[#This Row],['[SC']'[Dépendance']Coût_retraite_personnes_dépendantes]]/Base[[#This Row],[Population_totale]]</f>
        <v>0</v>
      </c>
      <c r="BB1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6" s="4">
        <f>Base[[#This Row],['[SC']'[Dépendance']Gains]]-Base[[#This Row],['[SC']'[Dépendance']Coûts]]</f>
        <v>0</v>
      </c>
      <c r="BD156" s="4">
        <f>IF(Base[[#This Row],[Pathologie]]&lt;&gt;"Mort prématurée",0,Base[[#This Row],[Risque]]*Base[[#This Row],[Prévalence]]*Base[[#This Row],[Population_totale]])</f>
        <v>0</v>
      </c>
      <c r="BE156" s="4">
        <v>52.74</v>
      </c>
      <c r="BF156" s="4">
        <f>Base[[#This Row],['[SC']Âge_moyen_retraite]]-Base[[#This Row],['[SC']'[Mort_prématurée']Âge_moyen_mort précoce]]</f>
        <v>10.159999999999997</v>
      </c>
      <c r="BG156" s="4">
        <f>Base[[#This Row],[Espérance_vie]]+Base[[#This Row],['[SC']Hausse_esp_de_vie]]-Base[[#This Row],['[SC']Âge_moyen_retraite]]</f>
        <v>19.90101171382144</v>
      </c>
      <c r="BH156" s="4">
        <v>106583.42676924677</v>
      </c>
      <c r="BI156" s="4">
        <v>97601.789429271477</v>
      </c>
      <c r="BJ156" s="4">
        <v>302038.31496633729</v>
      </c>
      <c r="BK156" s="4">
        <v>117293.58934859755</v>
      </c>
      <c r="BL156" s="4">
        <v>1523999.9999999995</v>
      </c>
      <c r="BM1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6" s="4">
        <v>294804.96027377353</v>
      </c>
      <c r="BO1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6" s="4">
        <f>(Base[[#This Row],['[SC']'[Mort_prématurée']Gains]]-Base[[#This Row],['[SC']'[Mort_prématurée']Coûts]])/Base[[#This Row],[Population_totale]]</f>
        <v>0</v>
      </c>
      <c r="BQ156" s="4">
        <f>IF(Base[[#This Row],[Pathologie]]&lt;&gt;"Mort prématurée",0,Base[[#This Row],[Risque]])</f>
        <v>0</v>
      </c>
      <c r="BR156" s="4">
        <v>2680</v>
      </c>
      <c r="BS1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6" s="4">
        <f>Base[[#This Row],[Prévalence_prod]]*(1-Base[[#This Row],[Risque]])*Base[[#This Row],[Durée_arrêt]]*Base[[#This Row],[Population_emploi]]</f>
        <v>56205254.372024149</v>
      </c>
      <c r="BV156" s="4">
        <f>Base[[#This Row],['[Prod']'[Absentéisme']Total_jours_absence_avant]]-Base[[#This Row],['[Prod']'[Absentéisme']Total_jours_absence_après]]</f>
        <v>16273180.627975851</v>
      </c>
      <c r="BW156" s="4">
        <f>IF(AND(Base[[#This Row],[Pathologie]]&lt;&gt;"Dépendance",Base[[#This Row],[Pathologie]]&lt;&gt;"Mort prématurée",Base[[#This Row],[Pathologie]]&lt;&gt;"Migraine"),0.0619,0)</f>
        <v>6.1899999999999997E-2</v>
      </c>
      <c r="BX156" s="4">
        <v>254</v>
      </c>
      <c r="BY15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6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6" s="4">
        <f>Base[[#This Row],[Prévalence_prod]]*Base[[#This Row],[Présentéisme]]*Base[[#This Row],['[Prod']Jours_ouvrés]]</f>
        <v>2.8438856000000001</v>
      </c>
      <c r="CB156" s="4">
        <f>Base[[#This Row],[Prévalence_prod]]*(1-Base[[#This Row],[Risque]])*Base[[#This Row],[Présentéisme]]*Base[[#This Row],['[Prod']Jours_ouvrés]]</f>
        <v>2.2053637547904628</v>
      </c>
      <c r="CC156" s="4">
        <f>Base[[#This Row],['[Prod']'[Présentéisme']Jours_avant]]-Base[[#This Row],['[Prod']'[Présentéisme']Jours_après]]</f>
        <v>0.63852184520953736</v>
      </c>
      <c r="CD156" s="4">
        <f>Base[[#This Row],['[Prod']'[Présentéisme']Jours_gagnés]]/Base[[#This Row],['[Prod']Jours_ouvrés]]</f>
        <v>2.5138655323210133E-3</v>
      </c>
      <c r="CE156">
        <v>5.8333039429220801E-2</v>
      </c>
      <c r="CF156">
        <v>1.4658164114728258E-2</v>
      </c>
      <c r="CG156" s="4">
        <v>11</v>
      </c>
      <c r="CH156" s="4">
        <v>0.60922528771817497</v>
      </c>
      <c r="CI156" s="4">
        <v>3.8601807163334179E-3</v>
      </c>
      <c r="CJ156" s="4">
        <f>IF(Base[[#This Row],[Secteur]]&lt;&gt;"Moyenne",Base[[#This Row],['[Prod']'[Turnover']DMC_initiale]]*(1+Base[[#This Row],['[Prod']'[Turnover']Ecart_accidents]]*Base[[#This Row],['[Prod']Impact_motifs_turnover]]),CJ139*CI139+CJ140*CI140+CJ141*CI141+CJ142*CI142+CJ143*CI143+CJ144*CI144+CJ145*CI145+CJ146*CI146+CJ147*CI147+CJ148*CI148+CJ149*CI149+CJ150*CI150+CJ151*CI151+CJ152*CI152+CJ153*CI153+CJ154*CI154+CJ155*CI155)</f>
        <v>11.098231366752371</v>
      </c>
      <c r="CK156" s="4">
        <f>1/Base[[#This Row],['[Prod']'[Turnover']DMC_initiale]]</f>
        <v>9.0909090909090912E-2</v>
      </c>
      <c r="CL156" s="4">
        <f>1/Base[[#This Row],['[Prod']'[Turnover']DMC_finale]]</f>
        <v>9.0104447001867274E-2</v>
      </c>
    </row>
    <row r="157" spans="2:90" x14ac:dyDescent="0.25">
      <c r="B157" s="4" t="s">
        <v>329</v>
      </c>
      <c r="C157">
        <v>7.5</v>
      </c>
      <c r="D157" t="s">
        <v>84</v>
      </c>
      <c r="E157" t="s">
        <v>7</v>
      </c>
      <c r="F157" s="3">
        <v>0.22452444824416889</v>
      </c>
      <c r="G157" s="3">
        <v>0.1217</v>
      </c>
      <c r="H157" s="3">
        <v>0.1217</v>
      </c>
      <c r="I157" s="3">
        <v>9.1999999999999998E-2</v>
      </c>
      <c r="J157" s="3">
        <v>7.27956</v>
      </c>
      <c r="K157" s="3">
        <v>7.0000000000000007E-2</v>
      </c>
      <c r="L157" s="2">
        <f>Base[[#This Row],[Coût]]*Base[[#This Row],[Part_ménages_dépenses_santé]]</f>
        <v>0.50956920000000006</v>
      </c>
      <c r="M157" s="2">
        <v>1</v>
      </c>
      <c r="N157" s="6">
        <v>27700000</v>
      </c>
      <c r="O157" s="7">
        <f>Base[[#This Row],[Coût_salarié]]*10^9*Base[[#This Row],[Risque]]*Base[[#This Row],[Prévalence]]*Base[[#This Row],[Part_coûts_salarié]]/Base[[#This Row],[Population_emploi]]</f>
        <v>0.50266380796279742</v>
      </c>
      <c r="P157">
        <v>50</v>
      </c>
      <c r="Q157">
        <v>50</v>
      </c>
      <c r="R157" s="2">
        <v>9.9999999999999978E-2</v>
      </c>
      <c r="S157" s="2">
        <v>0.33340000000000003</v>
      </c>
      <c r="T157" s="4">
        <v>0.1217</v>
      </c>
      <c r="U157" s="4">
        <f>IF(Bases_annexes!$F$5=0,16.6587111018772,0.77*Bases_annexes!$F$5/(IF(OR(ISBLANK('Données_d''entrée'!$E$44),'Données_d''entrée'!$E$44=0),35,'Données_d''entrée'!$E$44)*52))</f>
        <v>16.658711101877199</v>
      </c>
      <c r="V157" s="4">
        <v>21.5</v>
      </c>
      <c r="W1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7" s="4">
        <v>234.5</v>
      </c>
      <c r="Y157" s="4">
        <f>(Base[[#This Row],['[Maladies']Coûts_évités_par_salarié]]+Base[[#This Row],['[Travail']Coûts_évités_par_salarié]])/Base[[#This Row],[Budget_santé_salarié]]</f>
        <v>6.8044637550508325E-2</v>
      </c>
      <c r="Z157" s="4">
        <v>0.8</v>
      </c>
      <c r="AA157" s="4">
        <f>Base[[#This Row],[Coût]]*Base[[#This Row],[Part_société_dépenses_santé]]</f>
        <v>5.8236480000000004</v>
      </c>
      <c r="AB157" s="4">
        <v>67635124</v>
      </c>
      <c r="AC157" s="4">
        <v>82.297079063317852</v>
      </c>
      <c r="AD157" s="4">
        <v>0.1217</v>
      </c>
      <c r="AE157" s="4">
        <f>Base[[#This Row],['[SC']Prévalence_travail]]*Base[[#This Row],[Population_emploi]]</f>
        <v>3371090</v>
      </c>
      <c r="AF157" s="4">
        <f>Base[[#This Row],[Risque]]*Base[[#This Row],['[SC']Patients_en_emploi]]</f>
        <v>756892.12223143526</v>
      </c>
      <c r="AG157" s="4">
        <v>0</v>
      </c>
      <c r="AH157" s="4">
        <f>IFERROR(Base[[#This Row],['[SC']Prestations]]/Base[[#This Row],['[SC']Patients_en_emploi]],0)</f>
        <v>0</v>
      </c>
      <c r="AI157" s="4">
        <v>51.7</v>
      </c>
      <c r="AJ1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7" s="4">
        <f>Base[[#This Row],['[SC']'[Travail']Coûts_évités]]/Base[[#This Row],[Population_emploi]]</f>
        <v>26.134637917265568</v>
      </c>
      <c r="AL157" s="4">
        <f>Base[[#This Row],[Coût_société]]*10^9*Base[[#This Row],[Risque]]*Base[[#This Row],[Prévalence]]*Base[[#This Row],[Part_coûts_salarié]]/Base[[#This Row],[Population_emploi]]</f>
        <v>5.7447292338605402</v>
      </c>
      <c r="AM157" s="4">
        <f>IF(Base[[#This Row],[Pathologie]]&lt;&gt;"Dépendance",0,14909.24243952)</f>
        <v>0</v>
      </c>
      <c r="AN157" s="4">
        <f>IF(Base[[#This Row],[Pathologie]]&lt;&gt;"Dépendance",0,1316000)</f>
        <v>0</v>
      </c>
      <c r="AO157" s="4">
        <f>IF(Base[[#This Row],[Pathologie]]&lt;&gt;"Dépendance",0,Base[[#This Row],['[SC']Coût_personne_dépendante]]*Base[[#This Row],['[SC']Nb_personnes_dépendantes]])</f>
        <v>0</v>
      </c>
      <c r="AP157" s="4">
        <f>IF(Base[[#This Row],[Pathologie]]&lt;&gt;"Dépendance",0,Base[[#This Row],['[SC']Coût_total_dépendance]]/Base[[#This Row],[Population_totale]])</f>
        <v>0</v>
      </c>
      <c r="AQ157" s="4">
        <f>IF(Base[[#This Row],[Pathologie]]&lt;&gt;"Dépendance",0,4.5)</f>
        <v>0</v>
      </c>
      <c r="AR157" s="4">
        <v>0.50393265050357905</v>
      </c>
      <c r="AS157" s="4">
        <f>Base[[#This Row],[Espérance_vie]]+Base[[#This Row],['[SC']Hausse_esp_de_vie]]-Base[[#This Row],['[SC']Durée_moyenne_dépendance_avt]]+Base[[#This Row],[Risque]]</f>
        <v>83.025536162065606</v>
      </c>
      <c r="AT1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7" s="4">
        <v>62.9</v>
      </c>
      <c r="AW157" s="4">
        <f t="shared" si="0"/>
        <v>336905600000</v>
      </c>
      <c r="AX157" s="4">
        <v>15049171</v>
      </c>
      <c r="AY157" s="4">
        <f>Base[[#This Row],['[SC']Budget_total_retraites]]/Base[[#This Row],['[SC']Nombre_de_retraités]]</f>
        <v>22386.987296509556</v>
      </c>
      <c r="AZ157" s="4">
        <f>Base[[#This Row],['[SC']Budget_par_retraité]]*Base[[#This Row],['[SC']Nb_personnes_dépendantes]]</f>
        <v>0</v>
      </c>
      <c r="BA157" s="4">
        <f>Base[[#This Row],['[SC']'[Dépendance']Coût_retraite_personnes_dépendantes]]/Base[[#This Row],[Population_totale]]</f>
        <v>0</v>
      </c>
      <c r="BB1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7" s="4">
        <f>Base[[#This Row],['[SC']'[Dépendance']Gains]]-Base[[#This Row],['[SC']'[Dépendance']Coûts]]</f>
        <v>0</v>
      </c>
      <c r="BD157" s="4">
        <f>IF(Base[[#This Row],[Pathologie]]&lt;&gt;"Mort prématurée",0,Base[[#This Row],[Risque]]*Base[[#This Row],[Prévalence]]*Base[[#This Row],[Population_totale]])</f>
        <v>0</v>
      </c>
      <c r="BE157" s="4">
        <v>52.74</v>
      </c>
      <c r="BF157" s="4">
        <f>Base[[#This Row],['[SC']Âge_moyen_retraite]]-Base[[#This Row],['[SC']'[Mort_prématurée']Âge_moyen_mort précoce]]</f>
        <v>10.159999999999997</v>
      </c>
      <c r="BG157" s="4">
        <f>Base[[#This Row],[Espérance_vie]]+Base[[#This Row],['[SC']Hausse_esp_de_vie]]-Base[[#This Row],['[SC']Âge_moyen_retraite]]</f>
        <v>19.90101171382144</v>
      </c>
      <c r="BH157" s="4">
        <v>106583.42676924677</v>
      </c>
      <c r="BI157" s="4">
        <v>97601.789429271477</v>
      </c>
      <c r="BJ157" s="4">
        <v>302038.31496633729</v>
      </c>
      <c r="BK157" s="4">
        <v>117293.58934859755</v>
      </c>
      <c r="BL157" s="4">
        <v>1523999.9999999995</v>
      </c>
      <c r="BM1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7" s="4">
        <v>294804.96027377353</v>
      </c>
      <c r="BO1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7" s="4">
        <f>(Base[[#This Row],['[SC']'[Mort_prématurée']Gains]]-Base[[#This Row],['[SC']'[Mort_prématurée']Coûts]])/Base[[#This Row],[Population_totale]]</f>
        <v>0</v>
      </c>
      <c r="BQ157" s="4">
        <f>IF(Base[[#This Row],[Pathologie]]&lt;&gt;"Mort prématurée",0,Base[[#This Row],[Risque]])</f>
        <v>0</v>
      </c>
      <c r="BR157" s="4">
        <v>2680</v>
      </c>
      <c r="BS1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7" s="4">
        <f>Base[[#This Row],[Prévalence_prod]]*(1-Base[[#This Row],[Risque]])*Base[[#This Row],[Durée_arrêt]]*Base[[#This Row],[Population_emploi]]</f>
        <v>56205254.372024149</v>
      </c>
      <c r="BV157" s="4">
        <f>Base[[#This Row],['[Prod']'[Absentéisme']Total_jours_absence_avant]]-Base[[#This Row],['[Prod']'[Absentéisme']Total_jours_absence_après]]</f>
        <v>16273180.627975851</v>
      </c>
      <c r="BW157" s="4">
        <f>IF(AND(Base[[#This Row],[Pathologie]]&lt;&gt;"Dépendance",Base[[#This Row],[Pathologie]]&lt;&gt;"Mort prématurée",Base[[#This Row],[Pathologie]]&lt;&gt;"Migraine"),0.0619,0)</f>
        <v>6.1899999999999997E-2</v>
      </c>
      <c r="BX157" s="4">
        <v>254</v>
      </c>
      <c r="BY157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7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7" s="4">
        <f>Base[[#This Row],[Prévalence_prod]]*Base[[#This Row],[Présentéisme]]*Base[[#This Row],['[Prod']Jours_ouvrés]]</f>
        <v>2.8438856000000001</v>
      </c>
      <c r="CB157" s="4">
        <f>Base[[#This Row],[Prévalence_prod]]*(1-Base[[#This Row],[Risque]])*Base[[#This Row],[Présentéisme]]*Base[[#This Row],['[Prod']Jours_ouvrés]]</f>
        <v>2.2053637547904628</v>
      </c>
      <c r="CC157" s="4">
        <f>Base[[#This Row],['[Prod']'[Présentéisme']Jours_avant]]-Base[[#This Row],['[Prod']'[Présentéisme']Jours_après]]</f>
        <v>0.63852184520953736</v>
      </c>
      <c r="CD157" s="4">
        <f>Base[[#This Row],['[Prod']'[Présentéisme']Jours_gagnés]]/Base[[#This Row],['[Prod']Jours_ouvrés]]</f>
        <v>2.5138655323210133E-3</v>
      </c>
      <c r="CE157">
        <v>5.8333039429220801E-2</v>
      </c>
      <c r="CF157">
        <v>1.4658164114728258E-2</v>
      </c>
      <c r="CG157" s="4">
        <v>11</v>
      </c>
      <c r="CH157" s="4">
        <v>0.78414927716175975</v>
      </c>
      <c r="CI157" s="4">
        <v>0.12835819090128339</v>
      </c>
      <c r="CJ157" s="4">
        <f>IF(Base[[#This Row],[Secteur]]&lt;&gt;"Moyenne",Base[[#This Row],['[Prod']'[Turnover']DMC_initiale]]*(1+Base[[#This Row],['[Prod']'[Turnover']Ecart_accidents]]*Base[[#This Row],['[Prod']Impact_motifs_turnover]]),CJ140*CI140+CJ141*CI141+CJ142*CI142+CJ143*CI143+CJ144*CI144+CJ145*CI145+CJ146*CI146+CJ147*CI147+CJ148*CI148+CJ149*CI149+CJ150*CI150+CJ151*CI151+CJ152*CI152+CJ153*CI153+CJ154*CI154+CJ155*CI155+CJ156*CI156)</f>
        <v>11.126436076745907</v>
      </c>
      <c r="CK157" s="4">
        <f>1/Base[[#This Row],['[Prod']'[Turnover']DMC_initiale]]</f>
        <v>9.0909090909090912E-2</v>
      </c>
      <c r="CL157" s="4">
        <f>1/Base[[#This Row],['[Prod']'[Turnover']DMC_finale]]</f>
        <v>8.9876038751526707E-2</v>
      </c>
    </row>
    <row r="158" spans="2:90" x14ac:dyDescent="0.25">
      <c r="B158" s="4" t="s">
        <v>330</v>
      </c>
      <c r="C158">
        <v>7.5</v>
      </c>
      <c r="D158" t="s">
        <v>84</v>
      </c>
      <c r="E158" t="s">
        <v>7</v>
      </c>
      <c r="F158" s="3">
        <v>0.22452444824416889</v>
      </c>
      <c r="G158" s="3">
        <v>0.1217</v>
      </c>
      <c r="H158" s="3">
        <v>0.1217</v>
      </c>
      <c r="I158" s="3">
        <v>9.1999999999999998E-2</v>
      </c>
      <c r="J158" s="3">
        <v>7.27956</v>
      </c>
      <c r="K158" s="3">
        <v>7.0000000000000007E-2</v>
      </c>
      <c r="L158" s="2">
        <f>Base[[#This Row],[Coût]]*Base[[#This Row],[Part_ménages_dépenses_santé]]</f>
        <v>0.50956920000000006</v>
      </c>
      <c r="M158" s="2">
        <v>1</v>
      </c>
      <c r="N158" s="6">
        <v>27700000</v>
      </c>
      <c r="O158" s="7">
        <f>Base[[#This Row],[Coût_salarié]]*10^9*Base[[#This Row],[Risque]]*Base[[#This Row],[Prévalence]]*Base[[#This Row],[Part_coûts_salarié]]/Base[[#This Row],[Population_emploi]]</f>
        <v>0.50266380796279742</v>
      </c>
      <c r="P158">
        <v>50</v>
      </c>
      <c r="Q158">
        <v>50</v>
      </c>
      <c r="R158" s="2">
        <v>9.9999999999999978E-2</v>
      </c>
      <c r="S158" s="2">
        <v>0.33340000000000003</v>
      </c>
      <c r="T158" s="4">
        <v>0.1217</v>
      </c>
      <c r="U158" s="4">
        <f>IF(Bases_annexes!$F$5=0,16.6587111018772,0.77*Bases_annexes!$F$5/(IF(OR(ISBLANK('Données_d''entrée'!$E$44),'Données_d''entrée'!$E$44=0),35,'Données_d''entrée'!$E$44)*52))</f>
        <v>16.658711101877199</v>
      </c>
      <c r="V158" s="4">
        <v>21.5</v>
      </c>
      <c r="W1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8" s="4">
        <v>234.5</v>
      </c>
      <c r="Y158" s="4">
        <f>(Base[[#This Row],['[Maladies']Coûts_évités_par_salarié]]+Base[[#This Row],['[Travail']Coûts_évités_par_salarié]])/Base[[#This Row],[Budget_santé_salarié]]</f>
        <v>6.8044637550508325E-2</v>
      </c>
      <c r="Z158" s="4">
        <v>0.8</v>
      </c>
      <c r="AA158" s="4">
        <f>Base[[#This Row],[Coût]]*Base[[#This Row],[Part_société_dépenses_santé]]</f>
        <v>5.8236480000000004</v>
      </c>
      <c r="AB158" s="4">
        <v>67635124</v>
      </c>
      <c r="AC158" s="4">
        <v>82.297079063317852</v>
      </c>
      <c r="AD158" s="4">
        <v>0.1217</v>
      </c>
      <c r="AE158" s="4">
        <f>Base[[#This Row],['[SC']Prévalence_travail]]*Base[[#This Row],[Population_emploi]]</f>
        <v>3371090</v>
      </c>
      <c r="AF158" s="4">
        <f>Base[[#This Row],[Risque]]*Base[[#This Row],['[SC']Patients_en_emploi]]</f>
        <v>756892.12223143526</v>
      </c>
      <c r="AG158" s="4">
        <v>0</v>
      </c>
      <c r="AH158" s="4">
        <f>IFERROR(Base[[#This Row],['[SC']Prestations]]/Base[[#This Row],['[SC']Patients_en_emploi]],0)</f>
        <v>0</v>
      </c>
      <c r="AI158" s="4">
        <v>51.7</v>
      </c>
      <c r="AJ1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8" s="4">
        <f>Base[[#This Row],['[SC']'[Travail']Coûts_évités]]/Base[[#This Row],[Population_emploi]]</f>
        <v>26.134637917265568</v>
      </c>
      <c r="AL158" s="4">
        <f>Base[[#This Row],[Coût_société]]*10^9*Base[[#This Row],[Risque]]*Base[[#This Row],[Prévalence]]*Base[[#This Row],[Part_coûts_salarié]]/Base[[#This Row],[Population_emploi]]</f>
        <v>5.7447292338605402</v>
      </c>
      <c r="AM158" s="4">
        <f>IF(Base[[#This Row],[Pathologie]]&lt;&gt;"Dépendance",0,14909.24243952)</f>
        <v>0</v>
      </c>
      <c r="AN158" s="4">
        <f>IF(Base[[#This Row],[Pathologie]]&lt;&gt;"Dépendance",0,1316000)</f>
        <v>0</v>
      </c>
      <c r="AO158" s="4">
        <f>IF(Base[[#This Row],[Pathologie]]&lt;&gt;"Dépendance",0,Base[[#This Row],['[SC']Coût_personne_dépendante]]*Base[[#This Row],['[SC']Nb_personnes_dépendantes]])</f>
        <v>0</v>
      </c>
      <c r="AP158" s="4">
        <f>IF(Base[[#This Row],[Pathologie]]&lt;&gt;"Dépendance",0,Base[[#This Row],['[SC']Coût_total_dépendance]]/Base[[#This Row],[Population_totale]])</f>
        <v>0</v>
      </c>
      <c r="AQ158" s="4">
        <f>IF(Base[[#This Row],[Pathologie]]&lt;&gt;"Dépendance",0,4.5)</f>
        <v>0</v>
      </c>
      <c r="AR158" s="4">
        <v>0.50393265050357905</v>
      </c>
      <c r="AS158" s="4">
        <f>Base[[#This Row],[Espérance_vie]]+Base[[#This Row],['[SC']Hausse_esp_de_vie]]-Base[[#This Row],['[SC']Durée_moyenne_dépendance_avt]]+Base[[#This Row],[Risque]]</f>
        <v>83.025536162065606</v>
      </c>
      <c r="AT1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8" s="4">
        <v>62.9</v>
      </c>
      <c r="AW158" s="4">
        <f t="shared" si="0"/>
        <v>336905600000</v>
      </c>
      <c r="AX158" s="4">
        <v>15049171</v>
      </c>
      <c r="AY158" s="4">
        <f>Base[[#This Row],['[SC']Budget_total_retraites]]/Base[[#This Row],['[SC']Nombre_de_retraités]]</f>
        <v>22386.987296509556</v>
      </c>
      <c r="AZ158" s="4">
        <f>Base[[#This Row],['[SC']Budget_par_retraité]]*Base[[#This Row],['[SC']Nb_personnes_dépendantes]]</f>
        <v>0</v>
      </c>
      <c r="BA158" s="4">
        <f>Base[[#This Row],['[SC']'[Dépendance']Coût_retraite_personnes_dépendantes]]/Base[[#This Row],[Population_totale]]</f>
        <v>0</v>
      </c>
      <c r="BB1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8" s="4">
        <f>Base[[#This Row],['[SC']'[Dépendance']Gains]]-Base[[#This Row],['[SC']'[Dépendance']Coûts]]</f>
        <v>0</v>
      </c>
      <c r="BD158" s="4">
        <f>IF(Base[[#This Row],[Pathologie]]&lt;&gt;"Mort prématurée",0,Base[[#This Row],[Risque]]*Base[[#This Row],[Prévalence]]*Base[[#This Row],[Population_totale]])</f>
        <v>0</v>
      </c>
      <c r="BE158" s="4">
        <v>52.74</v>
      </c>
      <c r="BF158" s="4">
        <f>Base[[#This Row],['[SC']Âge_moyen_retraite]]-Base[[#This Row],['[SC']'[Mort_prématurée']Âge_moyen_mort précoce]]</f>
        <v>10.159999999999997</v>
      </c>
      <c r="BG158" s="4">
        <f>Base[[#This Row],[Espérance_vie]]+Base[[#This Row],['[SC']Hausse_esp_de_vie]]-Base[[#This Row],['[SC']Âge_moyen_retraite]]</f>
        <v>19.90101171382144</v>
      </c>
      <c r="BH158" s="4">
        <v>106583.42676924677</v>
      </c>
      <c r="BI158" s="4">
        <v>97601.789429271477</v>
      </c>
      <c r="BJ158" s="4">
        <v>302038.31496633729</v>
      </c>
      <c r="BK158" s="4">
        <v>117293.58934859755</v>
      </c>
      <c r="BL158" s="4">
        <v>1523999.9999999995</v>
      </c>
      <c r="BM1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8" s="4">
        <v>294804.96027377353</v>
      </c>
      <c r="BO1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8" s="4">
        <f>(Base[[#This Row],['[SC']'[Mort_prématurée']Gains]]-Base[[#This Row],['[SC']'[Mort_prématurée']Coûts]])/Base[[#This Row],[Population_totale]]</f>
        <v>0</v>
      </c>
      <c r="BQ158" s="4">
        <f>IF(Base[[#This Row],[Pathologie]]&lt;&gt;"Mort prématurée",0,Base[[#This Row],[Risque]])</f>
        <v>0</v>
      </c>
      <c r="BR158" s="4">
        <v>2680</v>
      </c>
      <c r="BS1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8" s="4">
        <f>Base[[#This Row],[Prévalence_prod]]*(1-Base[[#This Row],[Risque]])*Base[[#This Row],[Durée_arrêt]]*Base[[#This Row],[Population_emploi]]</f>
        <v>56205254.372024149</v>
      </c>
      <c r="BV158" s="4">
        <f>Base[[#This Row],['[Prod']'[Absentéisme']Total_jours_absence_avant]]-Base[[#This Row],['[Prod']'[Absentéisme']Total_jours_absence_après]]</f>
        <v>16273180.627975851</v>
      </c>
      <c r="BW158" s="4">
        <f>IF(AND(Base[[#This Row],[Pathologie]]&lt;&gt;"Dépendance",Base[[#This Row],[Pathologie]]&lt;&gt;"Mort prématurée",Base[[#This Row],[Pathologie]]&lt;&gt;"Migraine"),0.0619,0)</f>
        <v>6.1899999999999997E-2</v>
      </c>
      <c r="BX158" s="4">
        <v>254</v>
      </c>
      <c r="BY158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8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8" s="4">
        <f>Base[[#This Row],[Prévalence_prod]]*Base[[#This Row],[Présentéisme]]*Base[[#This Row],['[Prod']Jours_ouvrés]]</f>
        <v>2.8438856000000001</v>
      </c>
      <c r="CB158" s="4">
        <f>Base[[#This Row],[Prévalence_prod]]*(1-Base[[#This Row],[Risque]])*Base[[#This Row],[Présentéisme]]*Base[[#This Row],['[Prod']Jours_ouvrés]]</f>
        <v>2.2053637547904628</v>
      </c>
      <c r="CC158" s="4">
        <f>Base[[#This Row],['[Prod']'[Présentéisme']Jours_avant]]-Base[[#This Row],['[Prod']'[Présentéisme']Jours_après]]</f>
        <v>0.63852184520953736</v>
      </c>
      <c r="CD158" s="4">
        <f>Base[[#This Row],['[Prod']'[Présentéisme']Jours_gagnés]]/Base[[#This Row],['[Prod']Jours_ouvrés]]</f>
        <v>2.5138655323210133E-3</v>
      </c>
      <c r="CE158">
        <v>5.8333039429220801E-2</v>
      </c>
      <c r="CF158">
        <v>1.4658164114728258E-2</v>
      </c>
      <c r="CG158" s="4">
        <v>11</v>
      </c>
      <c r="CH158" s="4">
        <v>0.99648427619813984</v>
      </c>
      <c r="CI158" s="4">
        <v>0.42377466100567313</v>
      </c>
      <c r="CJ158" s="4">
        <f>IF(Base[[#This Row],[Secteur]]&lt;&gt;"Moyenne",Base[[#This Row],['[Prod']'[Turnover']DMC_initiale]]*(1+Base[[#This Row],['[Prod']'[Turnover']Ecart_accidents]]*Base[[#This Row],['[Prod']Impact_motifs_turnover]]),CJ141*CI141+CJ142*CI142+CJ143*CI143+CJ144*CI144+CJ145*CI145+CJ146*CI146+CJ147*CI147+CJ148*CI148+CJ149*CI149+CJ150*CI150+CJ151*CI151+CJ152*CI152+CJ153*CI153+CJ154*CI154+CJ155*CI155+CJ156*CI156+CJ157*CI157)</f>
        <v>11.160672930640844</v>
      </c>
      <c r="CK158" s="4">
        <f>1/Base[[#This Row],['[Prod']'[Turnover']DMC_initiale]]</f>
        <v>9.0909090909090912E-2</v>
      </c>
      <c r="CL158" s="4">
        <f>1/Base[[#This Row],['[Prod']'[Turnover']DMC_finale]]</f>
        <v>8.9600332006376626E-2</v>
      </c>
    </row>
    <row r="159" spans="2:90" x14ac:dyDescent="0.25">
      <c r="B159" s="4" t="s">
        <v>331</v>
      </c>
      <c r="C159">
        <v>7.5</v>
      </c>
      <c r="D159" t="s">
        <v>84</v>
      </c>
      <c r="E159" t="s">
        <v>7</v>
      </c>
      <c r="F159" s="3">
        <v>0.22452444824416889</v>
      </c>
      <c r="G159" s="3">
        <v>0.1217</v>
      </c>
      <c r="H159" s="3">
        <v>0.1217</v>
      </c>
      <c r="I159" s="3">
        <v>9.1999999999999998E-2</v>
      </c>
      <c r="J159" s="3">
        <v>7.27956</v>
      </c>
      <c r="K159" s="3">
        <v>7.0000000000000007E-2</v>
      </c>
      <c r="L159" s="2">
        <f>Base[[#This Row],[Coût]]*Base[[#This Row],[Part_ménages_dépenses_santé]]</f>
        <v>0.50956920000000006</v>
      </c>
      <c r="M159" s="2">
        <v>1</v>
      </c>
      <c r="N159" s="6">
        <v>27700000</v>
      </c>
      <c r="O159" s="7">
        <f>Base[[#This Row],[Coût_salarié]]*10^9*Base[[#This Row],[Risque]]*Base[[#This Row],[Prévalence]]*Base[[#This Row],[Part_coûts_salarié]]/Base[[#This Row],[Population_emploi]]</f>
        <v>0.50266380796279742</v>
      </c>
      <c r="P159">
        <v>50</v>
      </c>
      <c r="Q159">
        <v>50</v>
      </c>
      <c r="R159" s="2">
        <v>9.9999999999999978E-2</v>
      </c>
      <c r="S159" s="2">
        <v>0.33340000000000003</v>
      </c>
      <c r="T159" s="4">
        <v>0.1217</v>
      </c>
      <c r="U159" s="4">
        <f>IF(Bases_annexes!$F$5=0,16.6587111018772,0.77*Bases_annexes!$F$5/(IF(OR(ISBLANK('Données_d''entrée'!$E$44),'Données_d''entrée'!$E$44=0),35,'Données_d''entrée'!$E$44)*52))</f>
        <v>16.658711101877199</v>
      </c>
      <c r="V159" s="4">
        <v>21.5</v>
      </c>
      <c r="W1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59" s="4">
        <v>234.5</v>
      </c>
      <c r="Y159" s="4">
        <f>(Base[[#This Row],['[Maladies']Coûts_évités_par_salarié]]+Base[[#This Row],['[Travail']Coûts_évités_par_salarié]])/Base[[#This Row],[Budget_santé_salarié]]</f>
        <v>6.8044637550508325E-2</v>
      </c>
      <c r="Z159" s="4">
        <v>0.8</v>
      </c>
      <c r="AA159" s="4">
        <f>Base[[#This Row],[Coût]]*Base[[#This Row],[Part_société_dépenses_santé]]</f>
        <v>5.8236480000000004</v>
      </c>
      <c r="AB159" s="4">
        <v>67635124</v>
      </c>
      <c r="AC159" s="4">
        <v>82.297079063317852</v>
      </c>
      <c r="AD159" s="4">
        <v>0.1217</v>
      </c>
      <c r="AE159" s="4">
        <f>Base[[#This Row],['[SC']Prévalence_travail]]*Base[[#This Row],[Population_emploi]]</f>
        <v>3371090</v>
      </c>
      <c r="AF159" s="4">
        <f>Base[[#This Row],[Risque]]*Base[[#This Row],['[SC']Patients_en_emploi]]</f>
        <v>756892.12223143526</v>
      </c>
      <c r="AG159" s="4">
        <v>0</v>
      </c>
      <c r="AH159" s="4">
        <f>IFERROR(Base[[#This Row],['[SC']Prestations]]/Base[[#This Row],['[SC']Patients_en_emploi]],0)</f>
        <v>0</v>
      </c>
      <c r="AI159" s="4">
        <v>51.7</v>
      </c>
      <c r="AJ1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59" s="4">
        <f>Base[[#This Row],['[SC']'[Travail']Coûts_évités]]/Base[[#This Row],[Population_emploi]]</f>
        <v>26.134637917265568</v>
      </c>
      <c r="AL159" s="4">
        <f>Base[[#This Row],[Coût_société]]*10^9*Base[[#This Row],[Risque]]*Base[[#This Row],[Prévalence]]*Base[[#This Row],[Part_coûts_salarié]]/Base[[#This Row],[Population_emploi]]</f>
        <v>5.7447292338605402</v>
      </c>
      <c r="AM159" s="4">
        <f>IF(Base[[#This Row],[Pathologie]]&lt;&gt;"Dépendance",0,14909.24243952)</f>
        <v>0</v>
      </c>
      <c r="AN159" s="4">
        <f>IF(Base[[#This Row],[Pathologie]]&lt;&gt;"Dépendance",0,1316000)</f>
        <v>0</v>
      </c>
      <c r="AO159" s="4">
        <f>IF(Base[[#This Row],[Pathologie]]&lt;&gt;"Dépendance",0,Base[[#This Row],['[SC']Coût_personne_dépendante]]*Base[[#This Row],['[SC']Nb_personnes_dépendantes]])</f>
        <v>0</v>
      </c>
      <c r="AP159" s="4">
        <f>IF(Base[[#This Row],[Pathologie]]&lt;&gt;"Dépendance",0,Base[[#This Row],['[SC']Coût_total_dépendance]]/Base[[#This Row],[Population_totale]])</f>
        <v>0</v>
      </c>
      <c r="AQ159" s="4">
        <f>IF(Base[[#This Row],[Pathologie]]&lt;&gt;"Dépendance",0,4.5)</f>
        <v>0</v>
      </c>
      <c r="AR159" s="4">
        <v>0.50393265050357905</v>
      </c>
      <c r="AS159" s="4">
        <f>Base[[#This Row],[Espérance_vie]]+Base[[#This Row],['[SC']Hausse_esp_de_vie]]-Base[[#This Row],['[SC']Durée_moyenne_dépendance_avt]]+Base[[#This Row],[Risque]]</f>
        <v>83.025536162065606</v>
      </c>
      <c r="AT1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59" s="4">
        <v>62.9</v>
      </c>
      <c r="AW159" s="4">
        <f t="shared" si="0"/>
        <v>336905600000</v>
      </c>
      <c r="AX159" s="4">
        <v>15049171</v>
      </c>
      <c r="AY159" s="4">
        <f>Base[[#This Row],['[SC']Budget_total_retraites]]/Base[[#This Row],['[SC']Nombre_de_retraités]]</f>
        <v>22386.987296509556</v>
      </c>
      <c r="AZ159" s="4">
        <f>Base[[#This Row],['[SC']Budget_par_retraité]]*Base[[#This Row],['[SC']Nb_personnes_dépendantes]]</f>
        <v>0</v>
      </c>
      <c r="BA159" s="4">
        <f>Base[[#This Row],['[SC']'[Dépendance']Coût_retraite_personnes_dépendantes]]/Base[[#This Row],[Population_totale]]</f>
        <v>0</v>
      </c>
      <c r="BB1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59" s="4">
        <f>Base[[#This Row],['[SC']'[Dépendance']Gains]]-Base[[#This Row],['[SC']'[Dépendance']Coûts]]</f>
        <v>0</v>
      </c>
      <c r="BD159" s="4">
        <f>IF(Base[[#This Row],[Pathologie]]&lt;&gt;"Mort prématurée",0,Base[[#This Row],[Risque]]*Base[[#This Row],[Prévalence]]*Base[[#This Row],[Population_totale]])</f>
        <v>0</v>
      </c>
      <c r="BE159" s="4">
        <v>52.74</v>
      </c>
      <c r="BF159" s="4">
        <f>Base[[#This Row],['[SC']Âge_moyen_retraite]]-Base[[#This Row],['[SC']'[Mort_prématurée']Âge_moyen_mort précoce]]</f>
        <v>10.159999999999997</v>
      </c>
      <c r="BG159" s="4">
        <f>Base[[#This Row],[Espérance_vie]]+Base[[#This Row],['[SC']Hausse_esp_de_vie]]-Base[[#This Row],['[SC']Âge_moyen_retraite]]</f>
        <v>19.90101171382144</v>
      </c>
      <c r="BH159" s="4">
        <v>106583.42676924677</v>
      </c>
      <c r="BI159" s="4">
        <v>97601.789429271477</v>
      </c>
      <c r="BJ159" s="4">
        <v>302038.31496633729</v>
      </c>
      <c r="BK159" s="4">
        <v>117293.58934859755</v>
      </c>
      <c r="BL159" s="4">
        <v>1523999.9999999995</v>
      </c>
      <c r="BM1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59" s="4">
        <v>294804.96027377353</v>
      </c>
      <c r="BO1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59" s="4">
        <f>(Base[[#This Row],['[SC']'[Mort_prématurée']Gains]]-Base[[#This Row],['[SC']'[Mort_prématurée']Coûts]])/Base[[#This Row],[Population_totale]]</f>
        <v>0</v>
      </c>
      <c r="BQ159" s="4">
        <f>IF(Base[[#This Row],[Pathologie]]&lt;&gt;"Mort prématurée",0,Base[[#This Row],[Risque]])</f>
        <v>0</v>
      </c>
      <c r="BR159" s="4">
        <v>2680</v>
      </c>
      <c r="BS1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59" s="4">
        <f>Base[[#This Row],[Prévalence_prod]]*(1-Base[[#This Row],[Risque]])*Base[[#This Row],[Durée_arrêt]]*Base[[#This Row],[Population_emploi]]</f>
        <v>56205254.372024149</v>
      </c>
      <c r="BV159" s="4">
        <f>Base[[#This Row],['[Prod']'[Absentéisme']Total_jours_absence_avant]]-Base[[#This Row],['[Prod']'[Absentéisme']Total_jours_absence_après]]</f>
        <v>16273180.627975851</v>
      </c>
      <c r="BW159" s="4">
        <f>IF(AND(Base[[#This Row],[Pathologie]]&lt;&gt;"Dépendance",Base[[#This Row],[Pathologie]]&lt;&gt;"Mort prématurée",Base[[#This Row],[Pathologie]]&lt;&gt;"Migraine"),0.0619,0)</f>
        <v>6.1899999999999997E-2</v>
      </c>
      <c r="BX159" s="4">
        <v>254</v>
      </c>
      <c r="BY15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59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59" s="4">
        <f>Base[[#This Row],[Prévalence_prod]]*Base[[#This Row],[Présentéisme]]*Base[[#This Row],['[Prod']Jours_ouvrés]]</f>
        <v>2.8438856000000001</v>
      </c>
      <c r="CB159" s="4">
        <f>Base[[#This Row],[Prévalence_prod]]*(1-Base[[#This Row],[Risque]])*Base[[#This Row],[Présentéisme]]*Base[[#This Row],['[Prod']Jours_ouvrés]]</f>
        <v>2.2053637547904628</v>
      </c>
      <c r="CC159" s="4">
        <f>Base[[#This Row],['[Prod']'[Présentéisme']Jours_avant]]-Base[[#This Row],['[Prod']'[Présentéisme']Jours_après]]</f>
        <v>0.63852184520953736</v>
      </c>
      <c r="CD159" s="4">
        <f>Base[[#This Row],['[Prod']'[Présentéisme']Jours_gagnés]]/Base[[#This Row],['[Prod']Jours_ouvrés]]</f>
        <v>2.5138655323210133E-3</v>
      </c>
      <c r="CE159">
        <v>5.8333039429220801E-2</v>
      </c>
      <c r="CF159">
        <v>1.4658164114728258E-2</v>
      </c>
      <c r="CG159" s="4">
        <v>11</v>
      </c>
      <c r="CH159" s="4">
        <v>1.1593596509901765</v>
      </c>
      <c r="CI159" s="4">
        <v>4.0741311947357597E-2</v>
      </c>
      <c r="CJ159" s="4">
        <f>IF(Base[[#This Row],[Secteur]]&lt;&gt;"Moyenne",Base[[#This Row],['[Prod']'[Turnover']DMC_initiale]]*(1+Base[[#This Row],['[Prod']'[Turnover']Ecart_accidents]]*Base[[#This Row],['[Prod']Impact_motifs_turnover]]),CJ142*CI142+CJ143*CI143+CJ144*CI144+CJ145*CI145+CJ146*CI146+CJ147*CI147+CJ148*CI148+CJ149*CI149+CJ150*CI150+CJ151*CI151+CJ152*CI152+CJ153*CI153+CJ154*CI154+CJ155*CI155+CJ156*CI156+CJ157*CI157+CJ158*CI158)</f>
        <v>11.186934924354288</v>
      </c>
      <c r="CK159" s="4">
        <f>1/Base[[#This Row],['[Prod']'[Turnover']DMC_initiale]]</f>
        <v>9.0909090909090912E-2</v>
      </c>
      <c r="CL159" s="4">
        <f>1/Base[[#This Row],['[Prod']'[Turnover']DMC_finale]]</f>
        <v>8.9389989908940148E-2</v>
      </c>
    </row>
    <row r="160" spans="2:90" x14ac:dyDescent="0.25">
      <c r="B160" s="4" t="s">
        <v>332</v>
      </c>
      <c r="C160">
        <v>7.5</v>
      </c>
      <c r="D160" t="s">
        <v>84</v>
      </c>
      <c r="E160" t="s">
        <v>7</v>
      </c>
      <c r="F160" s="3">
        <v>0.22452444824416889</v>
      </c>
      <c r="G160" s="3">
        <v>0.1217</v>
      </c>
      <c r="H160" s="3">
        <v>0.1217</v>
      </c>
      <c r="I160" s="3">
        <v>9.1999999999999998E-2</v>
      </c>
      <c r="J160" s="3">
        <v>7.27956</v>
      </c>
      <c r="K160" s="3">
        <v>7.0000000000000007E-2</v>
      </c>
      <c r="L160" s="2">
        <f>Base[[#This Row],[Coût]]*Base[[#This Row],[Part_ménages_dépenses_santé]]</f>
        <v>0.50956920000000006</v>
      </c>
      <c r="M160" s="2">
        <v>1</v>
      </c>
      <c r="N160" s="6">
        <v>27700000</v>
      </c>
      <c r="O160" s="7">
        <f>Base[[#This Row],[Coût_salarié]]*10^9*Base[[#This Row],[Risque]]*Base[[#This Row],[Prévalence]]*Base[[#This Row],[Part_coûts_salarié]]/Base[[#This Row],[Population_emploi]]</f>
        <v>0.50266380796279742</v>
      </c>
      <c r="P160">
        <v>50</v>
      </c>
      <c r="Q160">
        <v>50</v>
      </c>
      <c r="R160" s="2">
        <v>9.9999999999999978E-2</v>
      </c>
      <c r="S160" s="2">
        <v>0.33340000000000003</v>
      </c>
      <c r="T160" s="4">
        <v>0.1217</v>
      </c>
      <c r="U160" s="4">
        <f>IF(Bases_annexes!$F$5=0,16.6587111018772,0.77*Bases_annexes!$F$5/(IF(OR(ISBLANK('Données_d''entrée'!$E$44),'Données_d''entrée'!$E$44=0),35,'Données_d''entrée'!$E$44)*52))</f>
        <v>16.658711101877199</v>
      </c>
      <c r="V160" s="4">
        <v>21.5</v>
      </c>
      <c r="W1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15.453803697631404</v>
      </c>
      <c r="X160" s="4">
        <v>234.5</v>
      </c>
      <c r="Y160" s="4">
        <f>(Base[[#This Row],['[Maladies']Coûts_évités_par_salarié]]+Base[[#This Row],['[Travail']Coûts_évités_par_salarié]])/Base[[#This Row],[Budget_santé_salarié]]</f>
        <v>6.8044637550508325E-2</v>
      </c>
      <c r="Z160" s="4">
        <v>0.8</v>
      </c>
      <c r="AA160" s="4">
        <f>Base[[#This Row],[Coût]]*Base[[#This Row],[Part_société_dépenses_santé]]</f>
        <v>5.8236480000000004</v>
      </c>
      <c r="AB160" s="4">
        <v>67635124</v>
      </c>
      <c r="AC160" s="4">
        <v>82.297079063317852</v>
      </c>
      <c r="AD160" s="4">
        <v>0.1217</v>
      </c>
      <c r="AE160" s="4">
        <f>Base[[#This Row],['[SC']Prévalence_travail]]*Base[[#This Row],[Population_emploi]]</f>
        <v>3371090</v>
      </c>
      <c r="AF160" s="4">
        <f>Base[[#This Row],[Risque]]*Base[[#This Row],['[SC']Patients_en_emploi]]</f>
        <v>756892.12223143526</v>
      </c>
      <c r="AG160" s="4">
        <v>0</v>
      </c>
      <c r="AH160" s="4">
        <f>IFERROR(Base[[#This Row],['[SC']Prestations]]/Base[[#This Row],['[SC']Patients_en_emploi]],0)</f>
        <v>0</v>
      </c>
      <c r="AI160" s="4">
        <v>51.7</v>
      </c>
      <c r="AJ1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723929470.30825627</v>
      </c>
      <c r="AK160" s="4">
        <f>Base[[#This Row],['[SC']'[Travail']Coûts_évités]]/Base[[#This Row],[Population_emploi]]</f>
        <v>26.134637917265568</v>
      </c>
      <c r="AL160" s="4">
        <f>Base[[#This Row],[Coût_société]]*10^9*Base[[#This Row],[Risque]]*Base[[#This Row],[Prévalence]]*Base[[#This Row],[Part_coûts_salarié]]/Base[[#This Row],[Population_emploi]]</f>
        <v>5.7447292338605402</v>
      </c>
      <c r="AM160" s="4">
        <f>IF(Base[[#This Row],[Pathologie]]&lt;&gt;"Dépendance",0,14909.24243952)</f>
        <v>0</v>
      </c>
      <c r="AN160" s="4">
        <f>IF(Base[[#This Row],[Pathologie]]&lt;&gt;"Dépendance",0,1316000)</f>
        <v>0</v>
      </c>
      <c r="AO160" s="4">
        <f>IF(Base[[#This Row],[Pathologie]]&lt;&gt;"Dépendance",0,Base[[#This Row],['[SC']Coût_personne_dépendante]]*Base[[#This Row],['[SC']Nb_personnes_dépendantes]])</f>
        <v>0</v>
      </c>
      <c r="AP160" s="4">
        <f>IF(Base[[#This Row],[Pathologie]]&lt;&gt;"Dépendance",0,Base[[#This Row],['[SC']Coût_total_dépendance]]/Base[[#This Row],[Population_totale]])</f>
        <v>0</v>
      </c>
      <c r="AQ160" s="4">
        <f>IF(Base[[#This Row],[Pathologie]]&lt;&gt;"Dépendance",0,4.5)</f>
        <v>0</v>
      </c>
      <c r="AR160" s="4">
        <v>0.50393265050357905</v>
      </c>
      <c r="AS160" s="4">
        <f>Base[[#This Row],[Espérance_vie]]+Base[[#This Row],['[SC']Hausse_esp_de_vie]]-Base[[#This Row],['[SC']Durée_moyenne_dépendance_avt]]+Base[[#This Row],[Risque]]</f>
        <v>83.025536162065606</v>
      </c>
      <c r="AT1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0" s="4">
        <v>62.9</v>
      </c>
      <c r="AW160" s="4">
        <f t="shared" si="0"/>
        <v>336905600000</v>
      </c>
      <c r="AX160" s="4">
        <v>15049171</v>
      </c>
      <c r="AY160" s="4">
        <f>Base[[#This Row],['[SC']Budget_total_retraites]]/Base[[#This Row],['[SC']Nombre_de_retraités]]</f>
        <v>22386.987296509556</v>
      </c>
      <c r="AZ160" s="4">
        <f>Base[[#This Row],['[SC']Budget_par_retraité]]*Base[[#This Row],['[SC']Nb_personnes_dépendantes]]</f>
        <v>0</v>
      </c>
      <c r="BA160" s="4">
        <f>Base[[#This Row],['[SC']'[Dépendance']Coût_retraite_personnes_dépendantes]]/Base[[#This Row],[Population_totale]]</f>
        <v>0</v>
      </c>
      <c r="BB1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0" s="4">
        <f>Base[[#This Row],['[SC']'[Dépendance']Gains]]-Base[[#This Row],['[SC']'[Dépendance']Coûts]]</f>
        <v>0</v>
      </c>
      <c r="BD160" s="4">
        <f>IF(Base[[#This Row],[Pathologie]]&lt;&gt;"Mort prématurée",0,Base[[#This Row],[Risque]]*Base[[#This Row],[Prévalence]]*Base[[#This Row],[Population_totale]])</f>
        <v>0</v>
      </c>
      <c r="BE160" s="4">
        <v>52.74</v>
      </c>
      <c r="BF160" s="4">
        <f>Base[[#This Row],['[SC']Âge_moyen_retraite]]-Base[[#This Row],['[SC']'[Mort_prématurée']Âge_moyen_mort précoce]]</f>
        <v>10.159999999999997</v>
      </c>
      <c r="BG160" s="4">
        <f>Base[[#This Row],[Espérance_vie]]+Base[[#This Row],['[SC']Hausse_esp_de_vie]]-Base[[#This Row],['[SC']Âge_moyen_retraite]]</f>
        <v>19.90101171382144</v>
      </c>
      <c r="BH160" s="4">
        <v>106583.42676924677</v>
      </c>
      <c r="BI160" s="4">
        <v>97601.789429271477</v>
      </c>
      <c r="BJ160" s="4">
        <v>302038.31496633729</v>
      </c>
      <c r="BK160" s="4">
        <v>117293.58934859755</v>
      </c>
      <c r="BL160" s="4">
        <v>1523999.9999999995</v>
      </c>
      <c r="BM1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0" s="4">
        <v>294804.96027377353</v>
      </c>
      <c r="BO1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0" s="4">
        <f>(Base[[#This Row],['[SC']'[Mort_prématurée']Gains]]-Base[[#This Row],['[SC']'[Mort_prématurée']Coûts]])/Base[[#This Row],[Population_totale]]</f>
        <v>0</v>
      </c>
      <c r="BQ160" s="4">
        <f>IF(Base[[#This Row],[Pathologie]]&lt;&gt;"Mort prématurée",0,Base[[#This Row],[Risque]])</f>
        <v>0</v>
      </c>
      <c r="BR160" s="4">
        <v>2680</v>
      </c>
      <c r="BS1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1.1895286250420189E-2</v>
      </c>
      <c r="BT1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160" s="4">
        <f>Base[[#This Row],[Prévalence_prod]]*(1-Base[[#This Row],[Risque]])*Base[[#This Row],[Durée_arrêt]]*Base[[#This Row],[Population_emploi]]</f>
        <v>56205254.372024149</v>
      </c>
      <c r="BV160" s="4">
        <f>Base[[#This Row],['[Prod']'[Absentéisme']Total_jours_absence_avant]]-Base[[#This Row],['[Prod']'[Absentéisme']Total_jours_absence_après]]</f>
        <v>16273180.627975851</v>
      </c>
      <c r="BW160" s="4">
        <f>IF(AND(Base[[#This Row],[Pathologie]]&lt;&gt;"Dépendance",Base[[#This Row],[Pathologie]]&lt;&gt;"Mort prématurée",Base[[#This Row],[Pathologie]]&lt;&gt;"Migraine"),0.0619,0)</f>
        <v>6.1899999999999997E-2</v>
      </c>
      <c r="BX160" s="4">
        <v>254</v>
      </c>
      <c r="BY16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160" s="4">
        <f>(Base[[#This Row],['[Prod']'[Absentéisme']Jours_théoriques]]-Base[[#This Row],['[Prod']'[Absentéisme']Total_jours_absence_évités]])/(Base[[#This Row],[Population_emploi]]*Base[[#This Row],['[Prod']Jours_ouvrés]])</f>
        <v>1.8944571666476444E-2</v>
      </c>
      <c r="CA160" s="4">
        <f>Base[[#This Row],[Prévalence_prod]]*Base[[#This Row],[Présentéisme]]*Base[[#This Row],['[Prod']Jours_ouvrés]]</f>
        <v>2.8438856000000001</v>
      </c>
      <c r="CB160" s="4">
        <f>Base[[#This Row],[Prévalence_prod]]*(1-Base[[#This Row],[Risque]])*Base[[#This Row],[Présentéisme]]*Base[[#This Row],['[Prod']Jours_ouvrés]]</f>
        <v>2.2053637547904628</v>
      </c>
      <c r="CC160" s="4">
        <f>Base[[#This Row],['[Prod']'[Présentéisme']Jours_avant]]-Base[[#This Row],['[Prod']'[Présentéisme']Jours_après]]</f>
        <v>0.63852184520953736</v>
      </c>
      <c r="CD160" s="4">
        <f>Base[[#This Row],['[Prod']'[Présentéisme']Jours_gagnés]]/Base[[#This Row],['[Prod']Jours_ouvrés]]</f>
        <v>2.5138655323210133E-3</v>
      </c>
      <c r="CE160">
        <v>5.8333039429220801E-2</v>
      </c>
      <c r="CF160">
        <v>1.4658164114728258E-2</v>
      </c>
      <c r="CG160" s="4">
        <v>11</v>
      </c>
      <c r="CH160" s="4">
        <v>0.85076983926913452</v>
      </c>
      <c r="CI160" s="4">
        <v>0</v>
      </c>
      <c r="CJ160" s="4">
        <f>IF(Base[[#This Row],[Secteur]]&lt;&gt;"Moyenne",Base[[#This Row],['[Prod']'[Turnover']DMC_initiale]]*(1+Base[[#This Row],['[Prod']'[Turnover']Ecart_accidents]]*Base[[#This Row],['[Prod']Impact_motifs_turnover]]),CJ143*CI143+CJ144*CI144+CJ145*CI145+CJ146*CI146+CJ147*CI147+CJ148*CI148+CJ149*CI149+CJ150*CI150+CJ151*CI151+CJ152*CI152+CJ153*CI153+CJ154*CI154+CJ155*CI155+CJ156*CI156+CJ157*CI157+CJ158*CI158+CJ159*CI159)</f>
        <v>11.137177963206547</v>
      </c>
      <c r="CK160" s="4">
        <f>1/Base[[#This Row],['[Prod']'[Turnover']DMC_initiale]]</f>
        <v>9.0909090909090912E-2</v>
      </c>
      <c r="CL160" s="4">
        <f>1/Base[[#This Row],['[Prod']'[Turnover']DMC_finale]]</f>
        <v>8.9789352680154741E-2</v>
      </c>
    </row>
    <row r="161" spans="2:90" x14ac:dyDescent="0.25">
      <c r="B161" s="4" t="s">
        <v>315</v>
      </c>
      <c r="C161">
        <v>7.5</v>
      </c>
      <c r="D161" t="s">
        <v>84</v>
      </c>
      <c r="E161" t="s">
        <v>10</v>
      </c>
      <c r="F161" s="3">
        <v>0.12473580458009381</v>
      </c>
      <c r="G161" s="3">
        <v>0.17849999999999999</v>
      </c>
      <c r="H161" s="3">
        <v>8.4823104693140794E-4</v>
      </c>
      <c r="I161" s="3">
        <v>0</v>
      </c>
      <c r="J161" s="3">
        <v>1.82</v>
      </c>
      <c r="K161" s="3">
        <v>7.0000000000000007E-2</v>
      </c>
      <c r="L161" s="2">
        <f>Base[[#This Row],[Coût]]*Base[[#This Row],[Part_ménages_dépenses_santé]]</f>
        <v>0.12740000000000001</v>
      </c>
      <c r="M161" s="2">
        <v>0.82690611956969029</v>
      </c>
      <c r="N161" s="6">
        <v>27700000</v>
      </c>
      <c r="O161" s="7">
        <f>Base[[#This Row],[Coût_salarié]]*10^9*Base[[#This Row],[Risque]]*Base[[#This Row],[Prévalence]]*Base[[#This Row],[Part_coûts_salarié]]/Base[[#This Row],[Population_emploi]]</f>
        <v>8.4678902001058889E-2</v>
      </c>
      <c r="P161">
        <v>50</v>
      </c>
      <c r="Q161">
        <v>50</v>
      </c>
      <c r="R161" s="2">
        <v>9.9999999999999978E-2</v>
      </c>
      <c r="S161" s="2">
        <v>0.33340000000000003</v>
      </c>
      <c r="T161" s="4">
        <v>8.4823104693140805E-4</v>
      </c>
      <c r="U161" s="4">
        <f>IF(Bases_annexes!$F$5=0,16.6587111018772,0.77*Bases_annexes!$F$5/(IF(OR(ISBLANK('Données_d''entrée'!$E$44),'Données_d''entrée'!$E$44=0),35,'Données_d''entrée'!$E$44)*52))</f>
        <v>16.658711101877199</v>
      </c>
      <c r="V161" s="4">
        <v>20.125</v>
      </c>
      <c r="W1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1" s="4">
        <v>234.5</v>
      </c>
      <c r="Y161" s="4">
        <f>(Base[[#This Row],['[Maladies']Coûts_évités_par_salarié]]+Base[[#This Row],['[Travail']Coûts_évités_par_salarié]])/Base[[#This Row],[Budget_santé_salarié]]</f>
        <v>6.090478580183438E-4</v>
      </c>
      <c r="Z161" s="4">
        <v>0.8</v>
      </c>
      <c r="AA161" s="4">
        <f>Base[[#This Row],[Coût]]*Base[[#This Row],[Part_société_dépenses_santé]]</f>
        <v>1.4560000000000002</v>
      </c>
      <c r="AB161" s="4">
        <v>67635124</v>
      </c>
      <c r="AC161" s="4">
        <v>82.297079063317852</v>
      </c>
      <c r="AD161" s="4">
        <v>8.4823104693140805E-4</v>
      </c>
      <c r="AE161" s="4">
        <f>Base[[#This Row],['[SC']Prévalence_travail]]*Base[[#This Row],[Population_emploi]]</f>
        <v>23496.000000000004</v>
      </c>
      <c r="AF161" s="4">
        <f>Base[[#This Row],[Risque]]*Base[[#This Row],['[SC']Patients_en_emploi]]</f>
        <v>2930.7924644138848</v>
      </c>
      <c r="AG161" s="4">
        <v>0</v>
      </c>
      <c r="AH161" s="4">
        <f>IFERROR(Base[[#This Row],['[SC']Prestations]]/Base[[#This Row],['[SC']Patients_en_emploi]],0)</f>
        <v>0</v>
      </c>
      <c r="AI161" s="4">
        <v>51.7</v>
      </c>
      <c r="AJ1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1" s="4">
        <f>Base[[#This Row],['[SC']'[Travail']Coûts_évités]]/Base[[#This Row],[Population_emploi]]</f>
        <v>9.3675586399806443E-2</v>
      </c>
      <c r="AL161" s="4">
        <f>Base[[#This Row],[Coût_société]]*10^9*Base[[#This Row],[Risque]]*Base[[#This Row],[Prévalence]]*Base[[#This Row],[Part_coûts_salarié]]/Base[[#This Row],[Population_emploi]]</f>
        <v>0.96775888001210164</v>
      </c>
      <c r="AM161" s="4">
        <f>IF(Base[[#This Row],[Pathologie]]&lt;&gt;"Dépendance",0,14909.24243952)</f>
        <v>0</v>
      </c>
      <c r="AN161" s="4">
        <f>IF(Base[[#This Row],[Pathologie]]&lt;&gt;"Dépendance",0,1316000)</f>
        <v>0</v>
      </c>
      <c r="AO161" s="4">
        <f>IF(Base[[#This Row],[Pathologie]]&lt;&gt;"Dépendance",0,Base[[#This Row],['[SC']Coût_personne_dépendante]]*Base[[#This Row],['[SC']Nb_personnes_dépendantes]])</f>
        <v>0</v>
      </c>
      <c r="AP161" s="4">
        <f>IF(Base[[#This Row],[Pathologie]]&lt;&gt;"Dépendance",0,Base[[#This Row],['[SC']Coût_total_dépendance]]/Base[[#This Row],[Population_totale]])</f>
        <v>0</v>
      </c>
      <c r="AQ161" s="4">
        <f>IF(Base[[#This Row],[Pathologie]]&lt;&gt;"Dépendance",0,4.5)</f>
        <v>0</v>
      </c>
      <c r="AR161" s="4">
        <v>0.50393265050357905</v>
      </c>
      <c r="AS161" s="4">
        <f>Base[[#This Row],[Espérance_vie]]+Base[[#This Row],['[SC']Hausse_esp_de_vie]]-Base[[#This Row],['[SC']Durée_moyenne_dépendance_avt]]+Base[[#This Row],[Risque]]</f>
        <v>82.925747518401536</v>
      </c>
      <c r="AT1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1" s="4">
        <v>62.9</v>
      </c>
      <c r="AW161" s="4">
        <f t="shared" si="0"/>
        <v>336905600000</v>
      </c>
      <c r="AX161" s="4">
        <v>15049171</v>
      </c>
      <c r="AY161" s="4">
        <f>Base[[#This Row],['[SC']Budget_total_retraites]]/Base[[#This Row],['[SC']Nombre_de_retraités]]</f>
        <v>22386.987296509556</v>
      </c>
      <c r="AZ161" s="4">
        <f>Base[[#This Row],['[SC']Budget_par_retraité]]*Base[[#This Row],['[SC']Nb_personnes_dépendantes]]</f>
        <v>0</v>
      </c>
      <c r="BA161" s="4">
        <f>Base[[#This Row],['[SC']'[Dépendance']Coût_retraite_personnes_dépendantes]]/Base[[#This Row],[Population_totale]]</f>
        <v>0</v>
      </c>
      <c r="BB1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1" s="4">
        <f>Base[[#This Row],['[SC']'[Dépendance']Gains]]-Base[[#This Row],['[SC']'[Dépendance']Coûts]]</f>
        <v>0</v>
      </c>
      <c r="BD161" s="4">
        <f>IF(Base[[#This Row],[Pathologie]]&lt;&gt;"Mort prématurée",0,Base[[#This Row],[Risque]]*Base[[#This Row],[Prévalence]]*Base[[#This Row],[Population_totale]])</f>
        <v>0</v>
      </c>
      <c r="BE161" s="4">
        <v>52.74</v>
      </c>
      <c r="BF161" s="4">
        <f>Base[[#This Row],['[SC']Âge_moyen_retraite]]-Base[[#This Row],['[SC']'[Mort_prématurée']Âge_moyen_mort précoce]]</f>
        <v>10.159999999999997</v>
      </c>
      <c r="BG161" s="4">
        <f>Base[[#This Row],[Espérance_vie]]+Base[[#This Row],['[SC']Hausse_esp_de_vie]]-Base[[#This Row],['[SC']Âge_moyen_retraite]]</f>
        <v>19.90101171382144</v>
      </c>
      <c r="BH161" s="4">
        <v>106583.42676924677</v>
      </c>
      <c r="BI161" s="4">
        <v>97601.789429271477</v>
      </c>
      <c r="BJ161" s="4">
        <v>302038.31496633729</v>
      </c>
      <c r="BK161" s="4">
        <v>117293.58934859755</v>
      </c>
      <c r="BL161" s="4">
        <v>1523999.9999999995</v>
      </c>
      <c r="BM1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1" s="4">
        <v>294804.96027377353</v>
      </c>
      <c r="BO1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1" s="4">
        <f>(Base[[#This Row],['[SC']'[Mort_prématurée']Gains]]-Base[[#This Row],['[SC']'[Mort_prématurée']Coûts]])/Base[[#This Row],[Population_totale]]</f>
        <v>0</v>
      </c>
      <c r="BQ161" s="4">
        <f>IF(Base[[#This Row],[Pathologie]]&lt;&gt;"Mort prématurée",0,Base[[#This Row],[Risque]])</f>
        <v>0</v>
      </c>
      <c r="BR161" s="4">
        <v>2680</v>
      </c>
      <c r="BS1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1" s="4">
        <f>Base[[#This Row],[Prévalence_prod]]*(1-Base[[#This Row],[Risque]])*Base[[#This Row],[Durée_arrêt]]*Base[[#This Row],[Population_emploi]]</f>
        <v>413874.80165367055</v>
      </c>
      <c r="BV161" s="4">
        <f>Base[[#This Row],['[Prod']'[Absentéisme']Total_jours_absence_avant]]-Base[[#This Row],['[Prod']'[Absentéisme']Total_jours_absence_après]]</f>
        <v>58982.198346329387</v>
      </c>
      <c r="BW161" s="4">
        <f>IF(AND(Base[[#This Row],[Pathologie]]&lt;&gt;"Dépendance",Base[[#This Row],[Pathologie]]&lt;&gt;"Mort prématurée",Base[[#This Row],[Pathologie]]&lt;&gt;"Migraine"),0.0619,0)</f>
        <v>6.1899999999999997E-2</v>
      </c>
      <c r="BX161" s="4">
        <v>254</v>
      </c>
      <c r="BY161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1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1" s="4">
        <f>Base[[#This Row],[Prévalence_prod]]*Base[[#This Row],[Présentéisme]]*Base[[#This Row],['[Prod']Jours_ouvrés]]</f>
        <v>0</v>
      </c>
      <c r="CB161" s="4">
        <f>Base[[#This Row],[Prévalence_prod]]*(1-Base[[#This Row],[Risque]])*Base[[#This Row],[Présentéisme]]*Base[[#This Row],['[Prod']Jours_ouvrés]]</f>
        <v>0</v>
      </c>
      <c r="CC161" s="4">
        <f>Base[[#This Row],['[Prod']'[Présentéisme']Jours_avant]]-Base[[#This Row],['[Prod']'[Présentéisme']Jours_après]]</f>
        <v>0</v>
      </c>
      <c r="CD161" s="4">
        <f>Base[[#This Row],['[Prod']'[Présentéisme']Jours_gagnés]]/Base[[#This Row],['[Prod']Jours_ouvrés]]</f>
        <v>0</v>
      </c>
      <c r="CE161">
        <v>5.8333039429220801E-2</v>
      </c>
      <c r="CF161">
        <v>1.4658164114728258E-2</v>
      </c>
      <c r="CG161" s="4">
        <v>11</v>
      </c>
      <c r="CH161" s="4">
        <v>1.3966184516047948</v>
      </c>
      <c r="CI161" s="4">
        <v>1.4392894727292521E-2</v>
      </c>
      <c r="CJ161" s="4">
        <f>IF(Base[[#This Row],[Secteur]]&lt;&gt;"Moyenne",Base[[#This Row],['[Prod']'[Turnover']DMC_initiale]]*(1+Base[[#This Row],['[Prod']'[Turnover']Ecart_accidents]]*Base[[#This Row],['[Prod']Impact_motifs_turnover]]),CJ144*CI144+CJ145*CI145+CJ146*CI146+CJ147*CI147+CJ148*CI148+CJ149*CI149+CJ150*CI150+CJ151*CI151+CJ152*CI152+CJ153*CI153+CJ154*CI154+CJ155*CI155+CJ156*CI156+CJ157*CI157+CJ158*CI158+CJ159*CI159+CJ160*CI160)</f>
        <v>11.225190487162088</v>
      </c>
      <c r="CK161" s="4">
        <f>1/Base[[#This Row],['[Prod']'[Turnover']DMC_initiale]]</f>
        <v>9.0909090909090912E-2</v>
      </c>
      <c r="CL161" s="4">
        <f>1/Base[[#This Row],['[Prod']'[Turnover']DMC_finale]]</f>
        <v>8.9085347918475846E-2</v>
      </c>
    </row>
    <row r="162" spans="2:90" x14ac:dyDescent="0.25">
      <c r="B162" s="4" t="s">
        <v>316</v>
      </c>
      <c r="C162">
        <v>7.5</v>
      </c>
      <c r="D162" t="s">
        <v>84</v>
      </c>
      <c r="E162" t="s">
        <v>10</v>
      </c>
      <c r="F162" s="3">
        <v>0.12473580458009381</v>
      </c>
      <c r="G162" s="3">
        <v>0.17849999999999999</v>
      </c>
      <c r="H162" s="3">
        <v>8.4823104693140794E-4</v>
      </c>
      <c r="I162" s="3">
        <v>0</v>
      </c>
      <c r="J162" s="3">
        <v>1.82</v>
      </c>
      <c r="K162" s="3">
        <v>7.0000000000000007E-2</v>
      </c>
      <c r="L162" s="2">
        <f>Base[[#This Row],[Coût]]*Base[[#This Row],[Part_ménages_dépenses_santé]]</f>
        <v>0.12740000000000001</v>
      </c>
      <c r="M162" s="2">
        <v>0.82690611956969029</v>
      </c>
      <c r="N162" s="6">
        <v>27700000</v>
      </c>
      <c r="O162" s="7">
        <f>Base[[#This Row],[Coût_salarié]]*10^9*Base[[#This Row],[Risque]]*Base[[#This Row],[Prévalence]]*Base[[#This Row],[Part_coûts_salarié]]/Base[[#This Row],[Population_emploi]]</f>
        <v>8.4678902001058889E-2</v>
      </c>
      <c r="P162">
        <v>50</v>
      </c>
      <c r="Q162">
        <v>50</v>
      </c>
      <c r="R162" s="2">
        <v>9.9999999999999978E-2</v>
      </c>
      <c r="S162" s="2">
        <v>0.33340000000000003</v>
      </c>
      <c r="T162" s="4">
        <v>8.4823104693140805E-4</v>
      </c>
      <c r="U162" s="4">
        <f>IF(Bases_annexes!$F$5=0,16.6587111018772,0.77*Bases_annexes!$F$5/(IF(OR(ISBLANK('Données_d''entrée'!$E$44),'Données_d''entrée'!$E$44=0),35,'Données_d''entrée'!$E$44)*52))</f>
        <v>16.658711101877199</v>
      </c>
      <c r="V162" s="4">
        <v>20.125</v>
      </c>
      <c r="W1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2" s="4">
        <v>234.5</v>
      </c>
      <c r="Y162" s="4">
        <f>(Base[[#This Row],['[Maladies']Coûts_évités_par_salarié]]+Base[[#This Row],['[Travail']Coûts_évités_par_salarié]])/Base[[#This Row],[Budget_santé_salarié]]</f>
        <v>6.090478580183438E-4</v>
      </c>
      <c r="Z162" s="4">
        <v>0.8</v>
      </c>
      <c r="AA162" s="4">
        <f>Base[[#This Row],[Coût]]*Base[[#This Row],[Part_société_dépenses_santé]]</f>
        <v>1.4560000000000002</v>
      </c>
      <c r="AB162" s="4">
        <v>67635124</v>
      </c>
      <c r="AC162" s="4">
        <v>82.297079063317852</v>
      </c>
      <c r="AD162" s="4">
        <v>8.4823104693140805E-4</v>
      </c>
      <c r="AE162" s="4">
        <f>Base[[#This Row],['[SC']Prévalence_travail]]*Base[[#This Row],[Population_emploi]]</f>
        <v>23496.000000000004</v>
      </c>
      <c r="AF162" s="4">
        <f>Base[[#This Row],[Risque]]*Base[[#This Row],['[SC']Patients_en_emploi]]</f>
        <v>2930.7924644138848</v>
      </c>
      <c r="AG162" s="4">
        <v>0</v>
      </c>
      <c r="AH162" s="4">
        <f>IFERROR(Base[[#This Row],['[SC']Prestations]]/Base[[#This Row],['[SC']Patients_en_emploi]],0)</f>
        <v>0</v>
      </c>
      <c r="AI162" s="4">
        <v>51.7</v>
      </c>
      <c r="AJ1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2" s="4">
        <f>Base[[#This Row],['[SC']'[Travail']Coûts_évités]]/Base[[#This Row],[Population_emploi]]</f>
        <v>9.3675586399806443E-2</v>
      </c>
      <c r="AL162" s="4">
        <f>Base[[#This Row],[Coût_société]]*10^9*Base[[#This Row],[Risque]]*Base[[#This Row],[Prévalence]]*Base[[#This Row],[Part_coûts_salarié]]/Base[[#This Row],[Population_emploi]]</f>
        <v>0.96775888001210164</v>
      </c>
      <c r="AM162" s="4">
        <f>IF(Base[[#This Row],[Pathologie]]&lt;&gt;"Dépendance",0,14909.24243952)</f>
        <v>0</v>
      </c>
      <c r="AN162" s="4">
        <f>IF(Base[[#This Row],[Pathologie]]&lt;&gt;"Dépendance",0,1316000)</f>
        <v>0</v>
      </c>
      <c r="AO162" s="4">
        <f>IF(Base[[#This Row],[Pathologie]]&lt;&gt;"Dépendance",0,Base[[#This Row],['[SC']Coût_personne_dépendante]]*Base[[#This Row],['[SC']Nb_personnes_dépendantes]])</f>
        <v>0</v>
      </c>
      <c r="AP162" s="4">
        <f>IF(Base[[#This Row],[Pathologie]]&lt;&gt;"Dépendance",0,Base[[#This Row],['[SC']Coût_total_dépendance]]/Base[[#This Row],[Population_totale]])</f>
        <v>0</v>
      </c>
      <c r="AQ162" s="4">
        <f>IF(Base[[#This Row],[Pathologie]]&lt;&gt;"Dépendance",0,4.5)</f>
        <v>0</v>
      </c>
      <c r="AR162" s="4">
        <v>0.50393265050357905</v>
      </c>
      <c r="AS162" s="4">
        <f>Base[[#This Row],[Espérance_vie]]+Base[[#This Row],['[SC']Hausse_esp_de_vie]]-Base[[#This Row],['[SC']Durée_moyenne_dépendance_avt]]+Base[[#This Row],[Risque]]</f>
        <v>82.925747518401536</v>
      </c>
      <c r="AT1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2" s="4">
        <v>62.9</v>
      </c>
      <c r="AW162" s="4">
        <f t="shared" si="0"/>
        <v>336905600000</v>
      </c>
      <c r="AX162" s="4">
        <v>15049171</v>
      </c>
      <c r="AY162" s="4">
        <f>Base[[#This Row],['[SC']Budget_total_retraites]]/Base[[#This Row],['[SC']Nombre_de_retraités]]</f>
        <v>22386.987296509556</v>
      </c>
      <c r="AZ162" s="4">
        <f>Base[[#This Row],['[SC']Budget_par_retraité]]*Base[[#This Row],['[SC']Nb_personnes_dépendantes]]</f>
        <v>0</v>
      </c>
      <c r="BA162" s="4">
        <f>Base[[#This Row],['[SC']'[Dépendance']Coût_retraite_personnes_dépendantes]]/Base[[#This Row],[Population_totale]]</f>
        <v>0</v>
      </c>
      <c r="BB1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2" s="4">
        <f>Base[[#This Row],['[SC']'[Dépendance']Gains]]-Base[[#This Row],['[SC']'[Dépendance']Coûts]]</f>
        <v>0</v>
      </c>
      <c r="BD162" s="4">
        <f>IF(Base[[#This Row],[Pathologie]]&lt;&gt;"Mort prématurée",0,Base[[#This Row],[Risque]]*Base[[#This Row],[Prévalence]]*Base[[#This Row],[Population_totale]])</f>
        <v>0</v>
      </c>
      <c r="BE162" s="4">
        <v>52.74</v>
      </c>
      <c r="BF162" s="4">
        <f>Base[[#This Row],['[SC']Âge_moyen_retraite]]-Base[[#This Row],['[SC']'[Mort_prématurée']Âge_moyen_mort précoce]]</f>
        <v>10.159999999999997</v>
      </c>
      <c r="BG162" s="4">
        <f>Base[[#This Row],[Espérance_vie]]+Base[[#This Row],['[SC']Hausse_esp_de_vie]]-Base[[#This Row],['[SC']Âge_moyen_retraite]]</f>
        <v>19.90101171382144</v>
      </c>
      <c r="BH162" s="4">
        <v>106583.42676924677</v>
      </c>
      <c r="BI162" s="4">
        <v>97601.789429271477</v>
      </c>
      <c r="BJ162" s="4">
        <v>302038.31496633729</v>
      </c>
      <c r="BK162" s="4">
        <v>117293.58934859755</v>
      </c>
      <c r="BL162" s="4">
        <v>1523999.9999999995</v>
      </c>
      <c r="BM1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2" s="4">
        <v>294804.96027377353</v>
      </c>
      <c r="BO1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2" s="4">
        <f>(Base[[#This Row],['[SC']'[Mort_prématurée']Gains]]-Base[[#This Row],['[SC']'[Mort_prématurée']Coûts]])/Base[[#This Row],[Population_totale]]</f>
        <v>0</v>
      </c>
      <c r="BQ162" s="4">
        <f>IF(Base[[#This Row],[Pathologie]]&lt;&gt;"Mort prématurée",0,Base[[#This Row],[Risque]])</f>
        <v>0</v>
      </c>
      <c r="BR162" s="4">
        <v>2680</v>
      </c>
      <c r="BS1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2" s="4">
        <f>Base[[#This Row],[Prévalence_prod]]*(1-Base[[#This Row],[Risque]])*Base[[#This Row],[Durée_arrêt]]*Base[[#This Row],[Population_emploi]]</f>
        <v>413874.80165367055</v>
      </c>
      <c r="BV162" s="4">
        <f>Base[[#This Row],['[Prod']'[Absentéisme']Total_jours_absence_avant]]-Base[[#This Row],['[Prod']'[Absentéisme']Total_jours_absence_après]]</f>
        <v>58982.198346329387</v>
      </c>
      <c r="BW162" s="4">
        <f>IF(AND(Base[[#This Row],[Pathologie]]&lt;&gt;"Dépendance",Base[[#This Row],[Pathologie]]&lt;&gt;"Mort prématurée",Base[[#This Row],[Pathologie]]&lt;&gt;"Migraine"),0.0619,0)</f>
        <v>6.1899999999999997E-2</v>
      </c>
      <c r="BX162" s="4">
        <v>254</v>
      </c>
      <c r="BY162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2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2" s="4">
        <f>Base[[#This Row],[Prévalence_prod]]*Base[[#This Row],[Présentéisme]]*Base[[#This Row],['[Prod']Jours_ouvrés]]</f>
        <v>0</v>
      </c>
      <c r="CB162" s="4">
        <f>Base[[#This Row],[Prévalence_prod]]*(1-Base[[#This Row],[Risque]])*Base[[#This Row],[Présentéisme]]*Base[[#This Row],['[Prod']Jours_ouvrés]]</f>
        <v>0</v>
      </c>
      <c r="CC162" s="4">
        <f>Base[[#This Row],['[Prod']'[Présentéisme']Jours_avant]]-Base[[#This Row],['[Prod']'[Présentéisme']Jours_après]]</f>
        <v>0</v>
      </c>
      <c r="CD162" s="4">
        <f>Base[[#This Row],['[Prod']'[Présentéisme']Jours_gagnés]]/Base[[#This Row],['[Prod']Jours_ouvrés]]</f>
        <v>0</v>
      </c>
      <c r="CE162">
        <v>5.8333039429220801E-2</v>
      </c>
      <c r="CF162">
        <v>1.4658164114728258E-2</v>
      </c>
      <c r="CG162" s="4">
        <v>11</v>
      </c>
      <c r="CH162" s="4">
        <v>0.68054183762612652</v>
      </c>
      <c r="CI162" s="4">
        <v>1.2135452577082654E-2</v>
      </c>
      <c r="CJ162" s="4">
        <f>IF(Base[[#This Row],[Secteur]]&lt;&gt;"Moyenne",Base[[#This Row],['[Prod']'[Turnover']DMC_initiale]]*(1+Base[[#This Row],['[Prod']'[Turnover']Ecart_accidents]]*Base[[#This Row],['[Prod']Impact_motifs_turnover]]),CJ145*CI145+CJ146*CI146+CJ147*CI147+CJ148*CI148+CJ149*CI149+CJ150*CI150+CJ151*CI151+CJ152*CI152+CJ153*CI153+CJ154*CI154+CJ155*CI155+CJ156*CI156+CJ157*CI157+CJ158*CI158+CJ159*CI159+CJ160*CI160+CJ161*CI161)</f>
        <v>11.109730433371487</v>
      </c>
      <c r="CK162" s="4">
        <f>1/Base[[#This Row],['[Prod']'[Turnover']DMC_initiale]]</f>
        <v>9.0909090909090912E-2</v>
      </c>
      <c r="CL162" s="4">
        <f>1/Base[[#This Row],['[Prod']'[Turnover']DMC_finale]]</f>
        <v>9.001118487953523E-2</v>
      </c>
    </row>
    <row r="163" spans="2:90" x14ac:dyDescent="0.25">
      <c r="B163" s="4" t="s">
        <v>317</v>
      </c>
      <c r="C163">
        <v>7.5</v>
      </c>
      <c r="D163" t="s">
        <v>84</v>
      </c>
      <c r="E163" t="s">
        <v>10</v>
      </c>
      <c r="F163" s="3">
        <v>0.12473580458009381</v>
      </c>
      <c r="G163" s="3">
        <v>0.17849999999999999</v>
      </c>
      <c r="H163" s="3">
        <v>8.4823104693140794E-4</v>
      </c>
      <c r="I163" s="3">
        <v>0</v>
      </c>
      <c r="J163" s="3">
        <v>1.82</v>
      </c>
      <c r="K163" s="3">
        <v>7.0000000000000007E-2</v>
      </c>
      <c r="L163" s="2">
        <f>Base[[#This Row],[Coût]]*Base[[#This Row],[Part_ménages_dépenses_santé]]</f>
        <v>0.12740000000000001</v>
      </c>
      <c r="M163" s="2">
        <v>0.82690611956969029</v>
      </c>
      <c r="N163" s="6">
        <v>27700000</v>
      </c>
      <c r="O163" s="7">
        <f>Base[[#This Row],[Coût_salarié]]*10^9*Base[[#This Row],[Risque]]*Base[[#This Row],[Prévalence]]*Base[[#This Row],[Part_coûts_salarié]]/Base[[#This Row],[Population_emploi]]</f>
        <v>8.4678902001058889E-2</v>
      </c>
      <c r="P163">
        <v>50</v>
      </c>
      <c r="Q163">
        <v>50</v>
      </c>
      <c r="R163" s="2">
        <v>9.9999999999999978E-2</v>
      </c>
      <c r="S163" s="2">
        <v>0.33340000000000003</v>
      </c>
      <c r="T163" s="4">
        <v>8.4823104693140805E-4</v>
      </c>
      <c r="U163" s="4">
        <f>IF(Bases_annexes!$F$5=0,16.6587111018772,0.77*Bases_annexes!$F$5/(IF(OR(ISBLANK('Données_d''entrée'!$E$44),'Données_d''entrée'!$E$44=0),35,'Données_d''entrée'!$E$44)*52))</f>
        <v>16.658711101877199</v>
      </c>
      <c r="V163" s="4">
        <v>20.125</v>
      </c>
      <c r="W1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3" s="4">
        <v>234.5</v>
      </c>
      <c r="Y163" s="4">
        <f>(Base[[#This Row],['[Maladies']Coûts_évités_par_salarié]]+Base[[#This Row],['[Travail']Coûts_évités_par_salarié]])/Base[[#This Row],[Budget_santé_salarié]]</f>
        <v>6.090478580183438E-4</v>
      </c>
      <c r="Z163" s="4">
        <v>0.8</v>
      </c>
      <c r="AA163" s="4">
        <f>Base[[#This Row],[Coût]]*Base[[#This Row],[Part_société_dépenses_santé]]</f>
        <v>1.4560000000000002</v>
      </c>
      <c r="AB163" s="4">
        <v>67635124</v>
      </c>
      <c r="AC163" s="4">
        <v>82.297079063317852</v>
      </c>
      <c r="AD163" s="4">
        <v>8.4823104693140805E-4</v>
      </c>
      <c r="AE163" s="4">
        <f>Base[[#This Row],['[SC']Prévalence_travail]]*Base[[#This Row],[Population_emploi]]</f>
        <v>23496.000000000004</v>
      </c>
      <c r="AF163" s="4">
        <f>Base[[#This Row],[Risque]]*Base[[#This Row],['[SC']Patients_en_emploi]]</f>
        <v>2930.7924644138848</v>
      </c>
      <c r="AG163" s="4">
        <v>0</v>
      </c>
      <c r="AH163" s="4">
        <f>IFERROR(Base[[#This Row],['[SC']Prestations]]/Base[[#This Row],['[SC']Patients_en_emploi]],0)</f>
        <v>0</v>
      </c>
      <c r="AI163" s="4">
        <v>51.7</v>
      </c>
      <c r="AJ1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3" s="4">
        <f>Base[[#This Row],['[SC']'[Travail']Coûts_évités]]/Base[[#This Row],[Population_emploi]]</f>
        <v>9.3675586399806443E-2</v>
      </c>
      <c r="AL163" s="4">
        <f>Base[[#This Row],[Coût_société]]*10^9*Base[[#This Row],[Risque]]*Base[[#This Row],[Prévalence]]*Base[[#This Row],[Part_coûts_salarié]]/Base[[#This Row],[Population_emploi]]</f>
        <v>0.96775888001210164</v>
      </c>
      <c r="AM163" s="4">
        <f>IF(Base[[#This Row],[Pathologie]]&lt;&gt;"Dépendance",0,14909.24243952)</f>
        <v>0</v>
      </c>
      <c r="AN163" s="4">
        <f>IF(Base[[#This Row],[Pathologie]]&lt;&gt;"Dépendance",0,1316000)</f>
        <v>0</v>
      </c>
      <c r="AO163" s="4">
        <f>IF(Base[[#This Row],[Pathologie]]&lt;&gt;"Dépendance",0,Base[[#This Row],['[SC']Coût_personne_dépendante]]*Base[[#This Row],['[SC']Nb_personnes_dépendantes]])</f>
        <v>0</v>
      </c>
      <c r="AP163" s="4">
        <f>IF(Base[[#This Row],[Pathologie]]&lt;&gt;"Dépendance",0,Base[[#This Row],['[SC']Coût_total_dépendance]]/Base[[#This Row],[Population_totale]])</f>
        <v>0</v>
      </c>
      <c r="AQ163" s="4">
        <f>IF(Base[[#This Row],[Pathologie]]&lt;&gt;"Dépendance",0,4.5)</f>
        <v>0</v>
      </c>
      <c r="AR163" s="4">
        <v>0.50393265050357905</v>
      </c>
      <c r="AS163" s="4">
        <f>Base[[#This Row],[Espérance_vie]]+Base[[#This Row],['[SC']Hausse_esp_de_vie]]-Base[[#This Row],['[SC']Durée_moyenne_dépendance_avt]]+Base[[#This Row],[Risque]]</f>
        <v>82.925747518401536</v>
      </c>
      <c r="AT1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3" s="4">
        <v>62.9</v>
      </c>
      <c r="AW163" s="4">
        <f t="shared" si="0"/>
        <v>336905600000</v>
      </c>
      <c r="AX163" s="4">
        <v>15049171</v>
      </c>
      <c r="AY163" s="4">
        <f>Base[[#This Row],['[SC']Budget_total_retraites]]/Base[[#This Row],['[SC']Nombre_de_retraités]]</f>
        <v>22386.987296509556</v>
      </c>
      <c r="AZ163" s="4">
        <f>Base[[#This Row],['[SC']Budget_par_retraité]]*Base[[#This Row],['[SC']Nb_personnes_dépendantes]]</f>
        <v>0</v>
      </c>
      <c r="BA163" s="4">
        <f>Base[[#This Row],['[SC']'[Dépendance']Coût_retraite_personnes_dépendantes]]/Base[[#This Row],[Population_totale]]</f>
        <v>0</v>
      </c>
      <c r="BB1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3" s="4">
        <f>Base[[#This Row],['[SC']'[Dépendance']Gains]]-Base[[#This Row],['[SC']'[Dépendance']Coûts]]</f>
        <v>0</v>
      </c>
      <c r="BD163" s="4">
        <f>IF(Base[[#This Row],[Pathologie]]&lt;&gt;"Mort prématurée",0,Base[[#This Row],[Risque]]*Base[[#This Row],[Prévalence]]*Base[[#This Row],[Population_totale]])</f>
        <v>0</v>
      </c>
      <c r="BE163" s="4">
        <v>52.74</v>
      </c>
      <c r="BF163" s="4">
        <f>Base[[#This Row],['[SC']Âge_moyen_retraite]]-Base[[#This Row],['[SC']'[Mort_prématurée']Âge_moyen_mort précoce]]</f>
        <v>10.159999999999997</v>
      </c>
      <c r="BG163" s="4">
        <f>Base[[#This Row],[Espérance_vie]]+Base[[#This Row],['[SC']Hausse_esp_de_vie]]-Base[[#This Row],['[SC']Âge_moyen_retraite]]</f>
        <v>19.90101171382144</v>
      </c>
      <c r="BH163" s="4">
        <v>106583.42676924677</v>
      </c>
      <c r="BI163" s="4">
        <v>97601.789429271477</v>
      </c>
      <c r="BJ163" s="4">
        <v>302038.31496633729</v>
      </c>
      <c r="BK163" s="4">
        <v>117293.58934859755</v>
      </c>
      <c r="BL163" s="4">
        <v>1523999.9999999995</v>
      </c>
      <c r="BM1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3" s="4">
        <v>294804.96027377353</v>
      </c>
      <c r="BO1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3" s="4">
        <f>(Base[[#This Row],['[SC']'[Mort_prématurée']Gains]]-Base[[#This Row],['[SC']'[Mort_prématurée']Coûts]])/Base[[#This Row],[Population_totale]]</f>
        <v>0</v>
      </c>
      <c r="BQ163" s="4">
        <f>IF(Base[[#This Row],[Pathologie]]&lt;&gt;"Mort prématurée",0,Base[[#This Row],[Risque]])</f>
        <v>0</v>
      </c>
      <c r="BR163" s="4">
        <v>2680</v>
      </c>
      <c r="BS1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3" s="4">
        <f>Base[[#This Row],[Prévalence_prod]]*(1-Base[[#This Row],[Risque]])*Base[[#This Row],[Durée_arrêt]]*Base[[#This Row],[Population_emploi]]</f>
        <v>413874.80165367055</v>
      </c>
      <c r="BV163" s="4">
        <f>Base[[#This Row],['[Prod']'[Absentéisme']Total_jours_absence_avant]]-Base[[#This Row],['[Prod']'[Absentéisme']Total_jours_absence_après]]</f>
        <v>58982.198346329387</v>
      </c>
      <c r="BW163" s="4">
        <f>IF(AND(Base[[#This Row],[Pathologie]]&lt;&gt;"Dépendance",Base[[#This Row],[Pathologie]]&lt;&gt;"Mort prématurée",Base[[#This Row],[Pathologie]]&lt;&gt;"Migraine"),0.0619,0)</f>
        <v>6.1899999999999997E-2</v>
      </c>
      <c r="BX163" s="4">
        <v>254</v>
      </c>
      <c r="BY16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3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3" s="4">
        <f>Base[[#This Row],[Prévalence_prod]]*Base[[#This Row],[Présentéisme]]*Base[[#This Row],['[Prod']Jours_ouvrés]]</f>
        <v>0</v>
      </c>
      <c r="CB163" s="4">
        <f>Base[[#This Row],[Prévalence_prod]]*(1-Base[[#This Row],[Risque]])*Base[[#This Row],[Présentéisme]]*Base[[#This Row],['[Prod']Jours_ouvrés]]</f>
        <v>0</v>
      </c>
      <c r="CC163" s="4">
        <f>Base[[#This Row],['[Prod']'[Présentéisme']Jours_avant]]-Base[[#This Row],['[Prod']'[Présentéisme']Jours_après]]</f>
        <v>0</v>
      </c>
      <c r="CD163" s="4">
        <f>Base[[#This Row],['[Prod']'[Présentéisme']Jours_gagnés]]/Base[[#This Row],['[Prod']Jours_ouvrés]]</f>
        <v>0</v>
      </c>
      <c r="CE163">
        <v>5.8333039429220801E-2</v>
      </c>
      <c r="CF163">
        <v>1.4658164114728258E-2</v>
      </c>
      <c r="CG163" s="4">
        <v>11</v>
      </c>
      <c r="CH163" s="4">
        <v>0.31563677172153043</v>
      </c>
      <c r="CI163" s="4">
        <v>1.3003350630813707E-4</v>
      </c>
      <c r="CJ163" s="4">
        <f>IF(Base[[#This Row],[Secteur]]&lt;&gt;"Moyenne",Base[[#This Row],['[Prod']'[Turnover']DMC_initiale]]*(1+Base[[#This Row],['[Prod']'[Turnover']Ecart_accidents]]*Base[[#This Row],['[Prod']Impact_motifs_turnover]]),CJ146*CI146+CJ147*CI147+CJ148*CI148+CJ149*CI149+CJ150*CI150+CJ151*CI151+CJ152*CI152+CJ153*CI153+CJ154*CI154+CJ155*CI155+CJ156*CI156+CJ157*CI157+CJ158*CI158+CJ159*CI159+CJ160*CI160+CJ161*CI161+CJ162*CI162)</f>
        <v>11.05089321160591</v>
      </c>
      <c r="CK163" s="4">
        <f>1/Base[[#This Row],['[Prod']'[Turnover']DMC_initiale]]</f>
        <v>9.0909090909090912E-2</v>
      </c>
      <c r="CL163" s="4">
        <f>1/Base[[#This Row],['[Prod']'[Turnover']DMC_finale]]</f>
        <v>9.0490422887244654E-2</v>
      </c>
    </row>
    <row r="164" spans="2:90" x14ac:dyDescent="0.25">
      <c r="B164" s="4" t="s">
        <v>318</v>
      </c>
      <c r="C164">
        <v>7.5</v>
      </c>
      <c r="D164" t="s">
        <v>84</v>
      </c>
      <c r="E164" t="s">
        <v>10</v>
      </c>
      <c r="F164" s="3">
        <v>0.12473580458009381</v>
      </c>
      <c r="G164" s="3">
        <v>0.17849999999999999</v>
      </c>
      <c r="H164" s="3">
        <v>8.4823104693140794E-4</v>
      </c>
      <c r="I164" s="3">
        <v>0</v>
      </c>
      <c r="J164" s="3">
        <v>1.82</v>
      </c>
      <c r="K164" s="3">
        <v>7.0000000000000007E-2</v>
      </c>
      <c r="L164" s="2">
        <f>Base[[#This Row],[Coût]]*Base[[#This Row],[Part_ménages_dépenses_santé]]</f>
        <v>0.12740000000000001</v>
      </c>
      <c r="M164" s="2">
        <v>0.82690611956969029</v>
      </c>
      <c r="N164" s="6">
        <v>27700000</v>
      </c>
      <c r="O164" s="7">
        <f>Base[[#This Row],[Coût_salarié]]*10^9*Base[[#This Row],[Risque]]*Base[[#This Row],[Prévalence]]*Base[[#This Row],[Part_coûts_salarié]]/Base[[#This Row],[Population_emploi]]</f>
        <v>8.4678902001058889E-2</v>
      </c>
      <c r="P164">
        <v>50</v>
      </c>
      <c r="Q164">
        <v>50</v>
      </c>
      <c r="R164" s="2">
        <v>9.9999999999999978E-2</v>
      </c>
      <c r="S164" s="2">
        <v>0.33340000000000003</v>
      </c>
      <c r="T164" s="4">
        <v>8.4823104693140805E-4</v>
      </c>
      <c r="U164" s="4">
        <f>IF(Bases_annexes!$F$5=0,16.6587111018772,0.77*Bases_annexes!$F$5/(IF(OR(ISBLANK('Données_d''entrée'!$E$44),'Données_d''entrée'!$E$44=0),35,'Données_d''entrée'!$E$44)*52))</f>
        <v>16.658711101877199</v>
      </c>
      <c r="V164" s="4">
        <v>20.125</v>
      </c>
      <c r="W1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4" s="4">
        <v>234.5</v>
      </c>
      <c r="Y164" s="4">
        <f>(Base[[#This Row],['[Maladies']Coûts_évités_par_salarié]]+Base[[#This Row],['[Travail']Coûts_évités_par_salarié]])/Base[[#This Row],[Budget_santé_salarié]]</f>
        <v>6.090478580183438E-4</v>
      </c>
      <c r="Z164" s="4">
        <v>0.8</v>
      </c>
      <c r="AA164" s="4">
        <f>Base[[#This Row],[Coût]]*Base[[#This Row],[Part_société_dépenses_santé]]</f>
        <v>1.4560000000000002</v>
      </c>
      <c r="AB164" s="4">
        <v>67635124</v>
      </c>
      <c r="AC164" s="4">
        <v>82.297079063317852</v>
      </c>
      <c r="AD164" s="4">
        <v>8.4823104693140805E-4</v>
      </c>
      <c r="AE164" s="4">
        <f>Base[[#This Row],['[SC']Prévalence_travail]]*Base[[#This Row],[Population_emploi]]</f>
        <v>23496.000000000004</v>
      </c>
      <c r="AF164" s="4">
        <f>Base[[#This Row],[Risque]]*Base[[#This Row],['[SC']Patients_en_emploi]]</f>
        <v>2930.7924644138848</v>
      </c>
      <c r="AG164" s="4">
        <v>0</v>
      </c>
      <c r="AH164" s="4">
        <f>IFERROR(Base[[#This Row],['[SC']Prestations]]/Base[[#This Row],['[SC']Patients_en_emploi]],0)</f>
        <v>0</v>
      </c>
      <c r="AI164" s="4">
        <v>51.7</v>
      </c>
      <c r="AJ1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4" s="4">
        <f>Base[[#This Row],['[SC']'[Travail']Coûts_évités]]/Base[[#This Row],[Population_emploi]]</f>
        <v>9.3675586399806443E-2</v>
      </c>
      <c r="AL164" s="4">
        <f>Base[[#This Row],[Coût_société]]*10^9*Base[[#This Row],[Risque]]*Base[[#This Row],[Prévalence]]*Base[[#This Row],[Part_coûts_salarié]]/Base[[#This Row],[Population_emploi]]</f>
        <v>0.96775888001210164</v>
      </c>
      <c r="AM164" s="4">
        <f>IF(Base[[#This Row],[Pathologie]]&lt;&gt;"Dépendance",0,14909.24243952)</f>
        <v>0</v>
      </c>
      <c r="AN164" s="4">
        <f>IF(Base[[#This Row],[Pathologie]]&lt;&gt;"Dépendance",0,1316000)</f>
        <v>0</v>
      </c>
      <c r="AO164" s="4">
        <f>IF(Base[[#This Row],[Pathologie]]&lt;&gt;"Dépendance",0,Base[[#This Row],['[SC']Coût_personne_dépendante]]*Base[[#This Row],['[SC']Nb_personnes_dépendantes]])</f>
        <v>0</v>
      </c>
      <c r="AP164" s="4">
        <f>IF(Base[[#This Row],[Pathologie]]&lt;&gt;"Dépendance",0,Base[[#This Row],['[SC']Coût_total_dépendance]]/Base[[#This Row],[Population_totale]])</f>
        <v>0</v>
      </c>
      <c r="AQ164" s="4">
        <f>IF(Base[[#This Row],[Pathologie]]&lt;&gt;"Dépendance",0,4.5)</f>
        <v>0</v>
      </c>
      <c r="AR164" s="4">
        <v>0.50393265050357905</v>
      </c>
      <c r="AS164" s="4">
        <f>Base[[#This Row],[Espérance_vie]]+Base[[#This Row],['[SC']Hausse_esp_de_vie]]-Base[[#This Row],['[SC']Durée_moyenne_dépendance_avt]]+Base[[#This Row],[Risque]]</f>
        <v>82.925747518401536</v>
      </c>
      <c r="AT1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4" s="4">
        <v>62.9</v>
      </c>
      <c r="AW164" s="4">
        <f t="shared" si="0"/>
        <v>336905600000</v>
      </c>
      <c r="AX164" s="4">
        <v>15049171</v>
      </c>
      <c r="AY164" s="4">
        <f>Base[[#This Row],['[SC']Budget_total_retraites]]/Base[[#This Row],['[SC']Nombre_de_retraités]]</f>
        <v>22386.987296509556</v>
      </c>
      <c r="AZ164" s="4">
        <f>Base[[#This Row],['[SC']Budget_par_retraité]]*Base[[#This Row],['[SC']Nb_personnes_dépendantes]]</f>
        <v>0</v>
      </c>
      <c r="BA164" s="4">
        <f>Base[[#This Row],['[SC']'[Dépendance']Coût_retraite_personnes_dépendantes]]/Base[[#This Row],[Population_totale]]</f>
        <v>0</v>
      </c>
      <c r="BB1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4" s="4">
        <f>Base[[#This Row],['[SC']'[Dépendance']Gains]]-Base[[#This Row],['[SC']'[Dépendance']Coûts]]</f>
        <v>0</v>
      </c>
      <c r="BD164" s="4">
        <f>IF(Base[[#This Row],[Pathologie]]&lt;&gt;"Mort prématurée",0,Base[[#This Row],[Risque]]*Base[[#This Row],[Prévalence]]*Base[[#This Row],[Population_totale]])</f>
        <v>0</v>
      </c>
      <c r="BE164" s="4">
        <v>52.74</v>
      </c>
      <c r="BF164" s="4">
        <f>Base[[#This Row],['[SC']Âge_moyen_retraite]]-Base[[#This Row],['[SC']'[Mort_prématurée']Âge_moyen_mort précoce]]</f>
        <v>10.159999999999997</v>
      </c>
      <c r="BG164" s="4">
        <f>Base[[#This Row],[Espérance_vie]]+Base[[#This Row],['[SC']Hausse_esp_de_vie]]-Base[[#This Row],['[SC']Âge_moyen_retraite]]</f>
        <v>19.90101171382144</v>
      </c>
      <c r="BH164" s="4">
        <v>106583.42676924677</v>
      </c>
      <c r="BI164" s="4">
        <v>97601.789429271477</v>
      </c>
      <c r="BJ164" s="4">
        <v>302038.31496633729</v>
      </c>
      <c r="BK164" s="4">
        <v>117293.58934859755</v>
      </c>
      <c r="BL164" s="4">
        <v>1523999.9999999995</v>
      </c>
      <c r="BM1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4" s="4">
        <v>294804.96027377353</v>
      </c>
      <c r="BO1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4" s="4">
        <f>(Base[[#This Row],['[SC']'[Mort_prématurée']Gains]]-Base[[#This Row],['[SC']'[Mort_prématurée']Coûts]])/Base[[#This Row],[Population_totale]]</f>
        <v>0</v>
      </c>
      <c r="BQ164" s="4">
        <f>IF(Base[[#This Row],[Pathologie]]&lt;&gt;"Mort prématurée",0,Base[[#This Row],[Risque]])</f>
        <v>0</v>
      </c>
      <c r="BR164" s="4">
        <v>2680</v>
      </c>
      <c r="BS1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4" s="4">
        <f>Base[[#This Row],[Prévalence_prod]]*(1-Base[[#This Row],[Risque]])*Base[[#This Row],[Durée_arrêt]]*Base[[#This Row],[Population_emploi]]</f>
        <v>413874.80165367055</v>
      </c>
      <c r="BV164" s="4">
        <f>Base[[#This Row],['[Prod']'[Absentéisme']Total_jours_absence_avant]]-Base[[#This Row],['[Prod']'[Absentéisme']Total_jours_absence_après]]</f>
        <v>58982.198346329387</v>
      </c>
      <c r="BW164" s="4">
        <f>IF(AND(Base[[#This Row],[Pathologie]]&lt;&gt;"Dépendance",Base[[#This Row],[Pathologie]]&lt;&gt;"Mort prématurée",Base[[#This Row],[Pathologie]]&lt;&gt;"Migraine"),0.0619,0)</f>
        <v>6.1899999999999997E-2</v>
      </c>
      <c r="BX164" s="4">
        <v>254</v>
      </c>
      <c r="BY16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4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4" s="4">
        <f>Base[[#This Row],[Prévalence_prod]]*Base[[#This Row],[Présentéisme]]*Base[[#This Row],['[Prod']Jours_ouvrés]]</f>
        <v>0</v>
      </c>
      <c r="CB164" s="4">
        <f>Base[[#This Row],[Prévalence_prod]]*(1-Base[[#This Row],[Risque]])*Base[[#This Row],[Présentéisme]]*Base[[#This Row],['[Prod']Jours_ouvrés]]</f>
        <v>0</v>
      </c>
      <c r="CC164" s="4">
        <f>Base[[#This Row],['[Prod']'[Présentéisme']Jours_avant]]-Base[[#This Row],['[Prod']'[Présentéisme']Jours_après]]</f>
        <v>0</v>
      </c>
      <c r="CD164" s="4">
        <f>Base[[#This Row],['[Prod']'[Présentéisme']Jours_gagnés]]/Base[[#This Row],['[Prod']Jours_ouvrés]]</f>
        <v>0</v>
      </c>
      <c r="CE164">
        <v>5.8333039429220801E-2</v>
      </c>
      <c r="CF164">
        <v>1.4658164114728258E-2</v>
      </c>
      <c r="CG164" s="4">
        <v>11</v>
      </c>
      <c r="CH164" s="4">
        <v>1.1688035738877327</v>
      </c>
      <c r="CI164" s="4">
        <v>9.6557438521367826E-3</v>
      </c>
      <c r="CJ164" s="4">
        <f>IF(Base[[#This Row],[Secteur]]&lt;&gt;"Moyenne",Base[[#This Row],['[Prod']'[Turnover']DMC_initiale]]*(1+Base[[#This Row],['[Prod']'[Turnover']Ecart_accidents]]*Base[[#This Row],['[Prod']Impact_motifs_turnover]]),CJ147*CI147+CJ148*CI148+CJ149*CI149+CJ150*CI150+CJ151*CI151+CJ152*CI152+CJ153*CI153+CJ154*CI154+CJ155*CI155+CJ156*CI156+CJ157*CI157+CJ158*CI158+CJ159*CI159+CJ160*CI160+CJ161*CI161+CJ162*CI162+CJ163*CI163)</f>
        <v>11.188457660643202</v>
      </c>
      <c r="CK164" s="4">
        <f>1/Base[[#This Row],['[Prod']'[Turnover']DMC_initiale]]</f>
        <v>9.0909090909090912E-2</v>
      </c>
      <c r="CL164" s="4">
        <f>1/Base[[#This Row],['[Prod']'[Turnover']DMC_finale]]</f>
        <v>8.9377824033568531E-2</v>
      </c>
    </row>
    <row r="165" spans="2:90" x14ac:dyDescent="0.25">
      <c r="B165" s="4" t="s">
        <v>319</v>
      </c>
      <c r="C165">
        <v>7.5</v>
      </c>
      <c r="D165" t="s">
        <v>84</v>
      </c>
      <c r="E165" t="s">
        <v>10</v>
      </c>
      <c r="F165" s="3">
        <v>0.12473580458009381</v>
      </c>
      <c r="G165" s="3">
        <v>0.17849999999999999</v>
      </c>
      <c r="H165" s="3">
        <v>8.4823104693140794E-4</v>
      </c>
      <c r="I165" s="3">
        <v>0</v>
      </c>
      <c r="J165" s="3">
        <v>1.82</v>
      </c>
      <c r="K165" s="3">
        <v>7.0000000000000007E-2</v>
      </c>
      <c r="L165" s="2">
        <f>Base[[#This Row],[Coût]]*Base[[#This Row],[Part_ménages_dépenses_santé]]</f>
        <v>0.12740000000000001</v>
      </c>
      <c r="M165" s="2">
        <v>0.82690611956969029</v>
      </c>
      <c r="N165" s="6">
        <v>27700000</v>
      </c>
      <c r="O165" s="7">
        <f>Base[[#This Row],[Coût_salarié]]*10^9*Base[[#This Row],[Risque]]*Base[[#This Row],[Prévalence]]*Base[[#This Row],[Part_coûts_salarié]]/Base[[#This Row],[Population_emploi]]</f>
        <v>8.4678902001058889E-2</v>
      </c>
      <c r="P165">
        <v>50</v>
      </c>
      <c r="Q165">
        <v>50</v>
      </c>
      <c r="R165" s="2">
        <v>9.9999999999999978E-2</v>
      </c>
      <c r="S165" s="2">
        <v>0.33340000000000003</v>
      </c>
      <c r="T165" s="4">
        <v>8.4823104693140805E-4</v>
      </c>
      <c r="U165" s="4">
        <f>IF(Bases_annexes!$F$5=0,16.6587111018772,0.77*Bases_annexes!$F$5/(IF(OR(ISBLANK('Données_d''entrée'!$E$44),'Données_d''entrée'!$E$44=0),35,'Données_d''entrée'!$E$44)*52))</f>
        <v>16.658711101877199</v>
      </c>
      <c r="V165" s="4">
        <v>20.125</v>
      </c>
      <c r="W1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5" s="4">
        <v>234.5</v>
      </c>
      <c r="Y165" s="4">
        <f>(Base[[#This Row],['[Maladies']Coûts_évités_par_salarié]]+Base[[#This Row],['[Travail']Coûts_évités_par_salarié]])/Base[[#This Row],[Budget_santé_salarié]]</f>
        <v>6.090478580183438E-4</v>
      </c>
      <c r="Z165" s="4">
        <v>0.8</v>
      </c>
      <c r="AA165" s="4">
        <f>Base[[#This Row],[Coût]]*Base[[#This Row],[Part_société_dépenses_santé]]</f>
        <v>1.4560000000000002</v>
      </c>
      <c r="AB165" s="4">
        <v>67635124</v>
      </c>
      <c r="AC165" s="4">
        <v>82.297079063317852</v>
      </c>
      <c r="AD165" s="4">
        <v>8.4823104693140805E-4</v>
      </c>
      <c r="AE165" s="4">
        <f>Base[[#This Row],['[SC']Prévalence_travail]]*Base[[#This Row],[Population_emploi]]</f>
        <v>23496.000000000004</v>
      </c>
      <c r="AF165" s="4">
        <f>Base[[#This Row],[Risque]]*Base[[#This Row],['[SC']Patients_en_emploi]]</f>
        <v>2930.7924644138848</v>
      </c>
      <c r="AG165" s="4">
        <v>0</v>
      </c>
      <c r="AH165" s="4">
        <f>IFERROR(Base[[#This Row],['[SC']Prestations]]/Base[[#This Row],['[SC']Patients_en_emploi]],0)</f>
        <v>0</v>
      </c>
      <c r="AI165" s="4">
        <v>51.7</v>
      </c>
      <c r="AJ1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5" s="4">
        <f>Base[[#This Row],['[SC']'[Travail']Coûts_évités]]/Base[[#This Row],[Population_emploi]]</f>
        <v>9.3675586399806443E-2</v>
      </c>
      <c r="AL165" s="4">
        <f>Base[[#This Row],[Coût_société]]*10^9*Base[[#This Row],[Risque]]*Base[[#This Row],[Prévalence]]*Base[[#This Row],[Part_coûts_salarié]]/Base[[#This Row],[Population_emploi]]</f>
        <v>0.96775888001210164</v>
      </c>
      <c r="AM165" s="4">
        <f>IF(Base[[#This Row],[Pathologie]]&lt;&gt;"Dépendance",0,14909.24243952)</f>
        <v>0</v>
      </c>
      <c r="AN165" s="4">
        <f>IF(Base[[#This Row],[Pathologie]]&lt;&gt;"Dépendance",0,1316000)</f>
        <v>0</v>
      </c>
      <c r="AO165" s="4">
        <f>IF(Base[[#This Row],[Pathologie]]&lt;&gt;"Dépendance",0,Base[[#This Row],['[SC']Coût_personne_dépendante]]*Base[[#This Row],['[SC']Nb_personnes_dépendantes]])</f>
        <v>0</v>
      </c>
      <c r="AP165" s="4">
        <f>IF(Base[[#This Row],[Pathologie]]&lt;&gt;"Dépendance",0,Base[[#This Row],['[SC']Coût_total_dépendance]]/Base[[#This Row],[Population_totale]])</f>
        <v>0</v>
      </c>
      <c r="AQ165" s="4">
        <f>IF(Base[[#This Row],[Pathologie]]&lt;&gt;"Dépendance",0,4.5)</f>
        <v>0</v>
      </c>
      <c r="AR165" s="4">
        <v>0.50393265050357905</v>
      </c>
      <c r="AS165" s="4">
        <f>Base[[#This Row],[Espérance_vie]]+Base[[#This Row],['[SC']Hausse_esp_de_vie]]-Base[[#This Row],['[SC']Durée_moyenne_dépendance_avt]]+Base[[#This Row],[Risque]]</f>
        <v>82.925747518401536</v>
      </c>
      <c r="AT1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5" s="4">
        <v>62.9</v>
      </c>
      <c r="AW165" s="4">
        <f t="shared" si="0"/>
        <v>336905600000</v>
      </c>
      <c r="AX165" s="4">
        <v>15049171</v>
      </c>
      <c r="AY165" s="4">
        <f>Base[[#This Row],['[SC']Budget_total_retraites]]/Base[[#This Row],['[SC']Nombre_de_retraités]]</f>
        <v>22386.987296509556</v>
      </c>
      <c r="AZ165" s="4">
        <f>Base[[#This Row],['[SC']Budget_par_retraité]]*Base[[#This Row],['[SC']Nb_personnes_dépendantes]]</f>
        <v>0</v>
      </c>
      <c r="BA165" s="4">
        <f>Base[[#This Row],['[SC']'[Dépendance']Coût_retraite_personnes_dépendantes]]/Base[[#This Row],[Population_totale]]</f>
        <v>0</v>
      </c>
      <c r="BB1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5" s="4">
        <f>Base[[#This Row],['[SC']'[Dépendance']Gains]]-Base[[#This Row],['[SC']'[Dépendance']Coûts]]</f>
        <v>0</v>
      </c>
      <c r="BD165" s="4">
        <f>IF(Base[[#This Row],[Pathologie]]&lt;&gt;"Mort prématurée",0,Base[[#This Row],[Risque]]*Base[[#This Row],[Prévalence]]*Base[[#This Row],[Population_totale]])</f>
        <v>0</v>
      </c>
      <c r="BE165" s="4">
        <v>52.74</v>
      </c>
      <c r="BF165" s="4">
        <f>Base[[#This Row],['[SC']Âge_moyen_retraite]]-Base[[#This Row],['[SC']'[Mort_prématurée']Âge_moyen_mort précoce]]</f>
        <v>10.159999999999997</v>
      </c>
      <c r="BG165" s="4">
        <f>Base[[#This Row],[Espérance_vie]]+Base[[#This Row],['[SC']Hausse_esp_de_vie]]-Base[[#This Row],['[SC']Âge_moyen_retraite]]</f>
        <v>19.90101171382144</v>
      </c>
      <c r="BH165" s="4">
        <v>106583.42676924677</v>
      </c>
      <c r="BI165" s="4">
        <v>97601.789429271477</v>
      </c>
      <c r="BJ165" s="4">
        <v>302038.31496633729</v>
      </c>
      <c r="BK165" s="4">
        <v>117293.58934859755</v>
      </c>
      <c r="BL165" s="4">
        <v>1523999.9999999995</v>
      </c>
      <c r="BM1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5" s="4">
        <v>294804.96027377353</v>
      </c>
      <c r="BO1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5" s="4">
        <f>(Base[[#This Row],['[SC']'[Mort_prématurée']Gains]]-Base[[#This Row],['[SC']'[Mort_prématurée']Coûts]])/Base[[#This Row],[Population_totale]]</f>
        <v>0</v>
      </c>
      <c r="BQ165" s="4">
        <f>IF(Base[[#This Row],[Pathologie]]&lt;&gt;"Mort prématurée",0,Base[[#This Row],[Risque]])</f>
        <v>0</v>
      </c>
      <c r="BR165" s="4">
        <v>2680</v>
      </c>
      <c r="BS1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5" s="4">
        <f>Base[[#This Row],[Prévalence_prod]]*(1-Base[[#This Row],[Risque]])*Base[[#This Row],[Durée_arrêt]]*Base[[#This Row],[Population_emploi]]</f>
        <v>413874.80165367055</v>
      </c>
      <c r="BV165" s="4">
        <f>Base[[#This Row],['[Prod']'[Absentéisme']Total_jours_absence_avant]]-Base[[#This Row],['[Prod']'[Absentéisme']Total_jours_absence_après]]</f>
        <v>58982.198346329387</v>
      </c>
      <c r="BW165" s="4">
        <f>IF(AND(Base[[#This Row],[Pathologie]]&lt;&gt;"Dépendance",Base[[#This Row],[Pathologie]]&lt;&gt;"Mort prématurée",Base[[#This Row],[Pathologie]]&lt;&gt;"Migraine"),0.0619,0)</f>
        <v>6.1899999999999997E-2</v>
      </c>
      <c r="BX165" s="4">
        <v>254</v>
      </c>
      <c r="BY165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5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5" s="4">
        <f>Base[[#This Row],[Prévalence_prod]]*Base[[#This Row],[Présentéisme]]*Base[[#This Row],['[Prod']Jours_ouvrés]]</f>
        <v>0</v>
      </c>
      <c r="CB165" s="4">
        <f>Base[[#This Row],[Prévalence_prod]]*(1-Base[[#This Row],[Risque]])*Base[[#This Row],[Présentéisme]]*Base[[#This Row],['[Prod']Jours_ouvrés]]</f>
        <v>0</v>
      </c>
      <c r="CC165" s="4">
        <f>Base[[#This Row],['[Prod']'[Présentéisme']Jours_avant]]-Base[[#This Row],['[Prod']'[Présentéisme']Jours_après]]</f>
        <v>0</v>
      </c>
      <c r="CD165" s="4">
        <f>Base[[#This Row],['[Prod']'[Présentéisme']Jours_gagnés]]/Base[[#This Row],['[Prod']Jours_ouvrés]]</f>
        <v>0</v>
      </c>
      <c r="CE165">
        <v>5.8333039429220801E-2</v>
      </c>
      <c r="CF165">
        <v>1.4658164114728258E-2</v>
      </c>
      <c r="CG165" s="4">
        <v>11</v>
      </c>
      <c r="CH165" s="4">
        <v>0.52204401140486179</v>
      </c>
      <c r="CI165" s="4">
        <v>1.2443904150185675E-2</v>
      </c>
      <c r="CJ165" s="4">
        <f>IF(Base[[#This Row],[Secteur]]&lt;&gt;"Moyenne",Base[[#This Row],['[Prod']'[Turnover']DMC_initiale]]*(1+Base[[#This Row],['[Prod']'[Turnover']Ecart_accidents]]*Base[[#This Row],['[Prod']Impact_motifs_turnover]]),CJ148*CI148+CJ149*CI149+CJ150*CI150+CJ151*CI151+CJ152*CI152+CJ153*CI153+CJ154*CI154+CJ155*CI155+CJ156*CI156+CJ157*CI157+CJ158*CI158+CJ159*CI159+CJ160*CI160+CJ161*CI161+CJ162*CI162+CJ163*CI163+CJ164*CI164)</f>
        <v>11.084174274737117</v>
      </c>
      <c r="CK165" s="4">
        <f>1/Base[[#This Row],['[Prod']'[Turnover']DMC_initiale]]</f>
        <v>9.0909090909090912E-2</v>
      </c>
      <c r="CL165" s="4">
        <f>1/Base[[#This Row],['[Prod']'[Turnover']DMC_finale]]</f>
        <v>9.0218718617514418E-2</v>
      </c>
    </row>
    <row r="166" spans="2:90" x14ac:dyDescent="0.25">
      <c r="B166" s="4" t="s">
        <v>320</v>
      </c>
      <c r="C166">
        <v>7.5</v>
      </c>
      <c r="D166" t="s">
        <v>84</v>
      </c>
      <c r="E166" t="s">
        <v>10</v>
      </c>
      <c r="F166" s="3">
        <v>0.12473580458009381</v>
      </c>
      <c r="G166" s="3">
        <v>0.17849999999999999</v>
      </c>
      <c r="H166" s="3">
        <v>8.4823104693140794E-4</v>
      </c>
      <c r="I166" s="3">
        <v>0</v>
      </c>
      <c r="J166" s="3">
        <v>1.82</v>
      </c>
      <c r="K166" s="3">
        <v>7.0000000000000007E-2</v>
      </c>
      <c r="L166" s="2">
        <f>Base[[#This Row],[Coût]]*Base[[#This Row],[Part_ménages_dépenses_santé]]</f>
        <v>0.12740000000000001</v>
      </c>
      <c r="M166" s="2">
        <v>0.82690611956969029</v>
      </c>
      <c r="N166" s="6">
        <v>27700000</v>
      </c>
      <c r="O166" s="7">
        <f>Base[[#This Row],[Coût_salarié]]*10^9*Base[[#This Row],[Risque]]*Base[[#This Row],[Prévalence]]*Base[[#This Row],[Part_coûts_salarié]]/Base[[#This Row],[Population_emploi]]</f>
        <v>8.4678902001058889E-2</v>
      </c>
      <c r="P166">
        <v>50</v>
      </c>
      <c r="Q166">
        <v>50</v>
      </c>
      <c r="R166" s="2">
        <v>9.9999999999999978E-2</v>
      </c>
      <c r="S166" s="2">
        <v>0.33340000000000003</v>
      </c>
      <c r="T166" s="4">
        <v>8.4823104693140805E-4</v>
      </c>
      <c r="U166" s="4">
        <f>IF(Bases_annexes!$F$5=0,16.6587111018772,0.77*Bases_annexes!$F$5/(IF(OR(ISBLANK('Données_d''entrée'!$E$44),'Données_d''entrée'!$E$44=0),35,'Données_d''entrée'!$E$44)*52))</f>
        <v>16.658711101877199</v>
      </c>
      <c r="V166" s="4">
        <v>20.125</v>
      </c>
      <c r="W1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6" s="4">
        <v>234.5</v>
      </c>
      <c r="Y166" s="4">
        <f>(Base[[#This Row],['[Maladies']Coûts_évités_par_salarié]]+Base[[#This Row],['[Travail']Coûts_évités_par_salarié]])/Base[[#This Row],[Budget_santé_salarié]]</f>
        <v>6.090478580183438E-4</v>
      </c>
      <c r="Z166" s="4">
        <v>0.8</v>
      </c>
      <c r="AA166" s="4">
        <f>Base[[#This Row],[Coût]]*Base[[#This Row],[Part_société_dépenses_santé]]</f>
        <v>1.4560000000000002</v>
      </c>
      <c r="AB166" s="4">
        <v>67635124</v>
      </c>
      <c r="AC166" s="4">
        <v>82.297079063317852</v>
      </c>
      <c r="AD166" s="4">
        <v>8.4823104693140805E-4</v>
      </c>
      <c r="AE166" s="4">
        <f>Base[[#This Row],['[SC']Prévalence_travail]]*Base[[#This Row],[Population_emploi]]</f>
        <v>23496.000000000004</v>
      </c>
      <c r="AF166" s="4">
        <f>Base[[#This Row],[Risque]]*Base[[#This Row],['[SC']Patients_en_emploi]]</f>
        <v>2930.7924644138848</v>
      </c>
      <c r="AG166" s="4">
        <v>0</v>
      </c>
      <c r="AH166" s="4">
        <f>IFERROR(Base[[#This Row],['[SC']Prestations]]/Base[[#This Row],['[SC']Patients_en_emploi]],0)</f>
        <v>0</v>
      </c>
      <c r="AI166" s="4">
        <v>51.7</v>
      </c>
      <c r="AJ1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6" s="4">
        <f>Base[[#This Row],['[SC']'[Travail']Coûts_évités]]/Base[[#This Row],[Population_emploi]]</f>
        <v>9.3675586399806443E-2</v>
      </c>
      <c r="AL166" s="4">
        <f>Base[[#This Row],[Coût_société]]*10^9*Base[[#This Row],[Risque]]*Base[[#This Row],[Prévalence]]*Base[[#This Row],[Part_coûts_salarié]]/Base[[#This Row],[Population_emploi]]</f>
        <v>0.96775888001210164</v>
      </c>
      <c r="AM166" s="4">
        <f>IF(Base[[#This Row],[Pathologie]]&lt;&gt;"Dépendance",0,14909.24243952)</f>
        <v>0</v>
      </c>
      <c r="AN166" s="4">
        <f>IF(Base[[#This Row],[Pathologie]]&lt;&gt;"Dépendance",0,1316000)</f>
        <v>0</v>
      </c>
      <c r="AO166" s="4">
        <f>IF(Base[[#This Row],[Pathologie]]&lt;&gt;"Dépendance",0,Base[[#This Row],['[SC']Coût_personne_dépendante]]*Base[[#This Row],['[SC']Nb_personnes_dépendantes]])</f>
        <v>0</v>
      </c>
      <c r="AP166" s="4">
        <f>IF(Base[[#This Row],[Pathologie]]&lt;&gt;"Dépendance",0,Base[[#This Row],['[SC']Coût_total_dépendance]]/Base[[#This Row],[Population_totale]])</f>
        <v>0</v>
      </c>
      <c r="AQ166" s="4">
        <f>IF(Base[[#This Row],[Pathologie]]&lt;&gt;"Dépendance",0,4.5)</f>
        <v>0</v>
      </c>
      <c r="AR166" s="4">
        <v>0.50393265050357905</v>
      </c>
      <c r="AS166" s="4">
        <f>Base[[#This Row],[Espérance_vie]]+Base[[#This Row],['[SC']Hausse_esp_de_vie]]-Base[[#This Row],['[SC']Durée_moyenne_dépendance_avt]]+Base[[#This Row],[Risque]]</f>
        <v>82.925747518401536</v>
      </c>
      <c r="AT1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6" s="4">
        <v>62.9</v>
      </c>
      <c r="AW166" s="4">
        <f t="shared" si="0"/>
        <v>336905600000</v>
      </c>
      <c r="AX166" s="4">
        <v>15049171</v>
      </c>
      <c r="AY166" s="4">
        <f>Base[[#This Row],['[SC']Budget_total_retraites]]/Base[[#This Row],['[SC']Nombre_de_retraités]]</f>
        <v>22386.987296509556</v>
      </c>
      <c r="AZ166" s="4">
        <f>Base[[#This Row],['[SC']Budget_par_retraité]]*Base[[#This Row],['[SC']Nb_personnes_dépendantes]]</f>
        <v>0</v>
      </c>
      <c r="BA166" s="4">
        <f>Base[[#This Row],['[SC']'[Dépendance']Coût_retraite_personnes_dépendantes]]/Base[[#This Row],[Population_totale]]</f>
        <v>0</v>
      </c>
      <c r="BB1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6" s="4">
        <f>Base[[#This Row],['[SC']'[Dépendance']Gains]]-Base[[#This Row],['[SC']'[Dépendance']Coûts]]</f>
        <v>0</v>
      </c>
      <c r="BD166" s="4">
        <f>IF(Base[[#This Row],[Pathologie]]&lt;&gt;"Mort prématurée",0,Base[[#This Row],[Risque]]*Base[[#This Row],[Prévalence]]*Base[[#This Row],[Population_totale]])</f>
        <v>0</v>
      </c>
      <c r="BE166" s="4">
        <v>52.74</v>
      </c>
      <c r="BF166" s="4">
        <f>Base[[#This Row],['[SC']Âge_moyen_retraite]]-Base[[#This Row],['[SC']'[Mort_prématurée']Âge_moyen_mort précoce]]</f>
        <v>10.159999999999997</v>
      </c>
      <c r="BG166" s="4">
        <f>Base[[#This Row],[Espérance_vie]]+Base[[#This Row],['[SC']Hausse_esp_de_vie]]-Base[[#This Row],['[SC']Âge_moyen_retraite]]</f>
        <v>19.90101171382144</v>
      </c>
      <c r="BH166" s="4">
        <v>106583.42676924677</v>
      </c>
      <c r="BI166" s="4">
        <v>97601.789429271477</v>
      </c>
      <c r="BJ166" s="4">
        <v>302038.31496633729</v>
      </c>
      <c r="BK166" s="4">
        <v>117293.58934859755</v>
      </c>
      <c r="BL166" s="4">
        <v>1523999.9999999995</v>
      </c>
      <c r="BM1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6" s="4">
        <v>294804.96027377353</v>
      </c>
      <c r="BO1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6" s="4">
        <f>(Base[[#This Row],['[SC']'[Mort_prématurée']Gains]]-Base[[#This Row],['[SC']'[Mort_prématurée']Coûts]])/Base[[#This Row],[Population_totale]]</f>
        <v>0</v>
      </c>
      <c r="BQ166" s="4">
        <f>IF(Base[[#This Row],[Pathologie]]&lt;&gt;"Mort prématurée",0,Base[[#This Row],[Risque]])</f>
        <v>0</v>
      </c>
      <c r="BR166" s="4">
        <v>2680</v>
      </c>
      <c r="BS1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6" s="4">
        <f>Base[[#This Row],[Prévalence_prod]]*(1-Base[[#This Row],[Risque]])*Base[[#This Row],[Durée_arrêt]]*Base[[#This Row],[Population_emploi]]</f>
        <v>413874.80165367055</v>
      </c>
      <c r="BV166" s="4">
        <f>Base[[#This Row],['[Prod']'[Absentéisme']Total_jours_absence_avant]]-Base[[#This Row],['[Prod']'[Absentéisme']Total_jours_absence_après]]</f>
        <v>58982.198346329387</v>
      </c>
      <c r="BW166" s="4">
        <f>IF(AND(Base[[#This Row],[Pathologie]]&lt;&gt;"Dépendance",Base[[#This Row],[Pathologie]]&lt;&gt;"Mort prématurée",Base[[#This Row],[Pathologie]]&lt;&gt;"Migraine"),0.0619,0)</f>
        <v>6.1899999999999997E-2</v>
      </c>
      <c r="BX166" s="4">
        <v>254</v>
      </c>
      <c r="BY166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6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6" s="4">
        <f>Base[[#This Row],[Prévalence_prod]]*Base[[#This Row],[Présentéisme]]*Base[[#This Row],['[Prod']Jours_ouvrés]]</f>
        <v>0</v>
      </c>
      <c r="CB166" s="4">
        <f>Base[[#This Row],[Prévalence_prod]]*(1-Base[[#This Row],[Risque]])*Base[[#This Row],[Présentéisme]]*Base[[#This Row],['[Prod']Jours_ouvrés]]</f>
        <v>0</v>
      </c>
      <c r="CC166" s="4">
        <f>Base[[#This Row],['[Prod']'[Présentéisme']Jours_avant]]-Base[[#This Row],['[Prod']'[Présentéisme']Jours_après]]</f>
        <v>0</v>
      </c>
      <c r="CD166" s="4">
        <f>Base[[#This Row],['[Prod']'[Présentéisme']Jours_gagnés]]/Base[[#This Row],['[Prod']Jours_ouvrés]]</f>
        <v>0</v>
      </c>
      <c r="CE166">
        <v>5.8333039429220801E-2</v>
      </c>
      <c r="CF166">
        <v>1.4658164114728258E-2</v>
      </c>
      <c r="CG166" s="4">
        <v>11</v>
      </c>
      <c r="CH166" s="4">
        <v>0.49446424657188709</v>
      </c>
      <c r="CI166" s="4">
        <v>1.0795805058605798E-2</v>
      </c>
      <c r="CJ166" s="4">
        <f>IF(Base[[#This Row],[Secteur]]&lt;&gt;"Moyenne",Base[[#This Row],['[Prod']'[Turnover']DMC_initiale]]*(1+Base[[#This Row],['[Prod']'[Turnover']Ecart_accidents]]*Base[[#This Row],['[Prod']Impact_motifs_turnover]]),CJ149*CI149+CJ150*CI150+CJ151*CI151+CJ152*CI152+CJ153*CI153+CJ154*CI154+CJ155*CI155+CJ156*CI156+CJ157*CI157+CJ158*CI158+CJ159*CI159+CJ160*CI160+CJ161*CI161+CJ162*CI162+CJ163*CI163+CJ164*CI164+CJ165*CI165)</f>
        <v>11.079727318826279</v>
      </c>
      <c r="CK166" s="4">
        <f>1/Base[[#This Row],['[Prod']'[Turnover']DMC_initiale]]</f>
        <v>9.0909090909090912E-2</v>
      </c>
      <c r="CL166" s="4">
        <f>1/Base[[#This Row],['[Prod']'[Turnover']DMC_finale]]</f>
        <v>9.025492877436031E-2</v>
      </c>
    </row>
    <row r="167" spans="2:90" x14ac:dyDescent="0.25">
      <c r="B167" s="4" t="s">
        <v>321</v>
      </c>
      <c r="C167">
        <v>7.5</v>
      </c>
      <c r="D167" t="s">
        <v>84</v>
      </c>
      <c r="E167" t="s">
        <v>10</v>
      </c>
      <c r="F167" s="3">
        <v>0.12473580458009381</v>
      </c>
      <c r="G167" s="3">
        <v>0.17849999999999999</v>
      </c>
      <c r="H167" s="3">
        <v>8.4823104693140794E-4</v>
      </c>
      <c r="I167" s="3">
        <v>0</v>
      </c>
      <c r="J167" s="3">
        <v>1.82</v>
      </c>
      <c r="K167" s="3">
        <v>7.0000000000000007E-2</v>
      </c>
      <c r="L167" s="2">
        <f>Base[[#This Row],[Coût]]*Base[[#This Row],[Part_ménages_dépenses_santé]]</f>
        <v>0.12740000000000001</v>
      </c>
      <c r="M167" s="2">
        <v>0.82690611956969029</v>
      </c>
      <c r="N167" s="6">
        <v>27700000</v>
      </c>
      <c r="O167" s="7">
        <f>Base[[#This Row],[Coût_salarié]]*10^9*Base[[#This Row],[Risque]]*Base[[#This Row],[Prévalence]]*Base[[#This Row],[Part_coûts_salarié]]/Base[[#This Row],[Population_emploi]]</f>
        <v>8.4678902001058889E-2</v>
      </c>
      <c r="P167">
        <v>50</v>
      </c>
      <c r="Q167">
        <v>50</v>
      </c>
      <c r="R167" s="2">
        <v>9.9999999999999978E-2</v>
      </c>
      <c r="S167" s="2">
        <v>0.33340000000000003</v>
      </c>
      <c r="T167" s="4">
        <v>8.4823104693140805E-4</v>
      </c>
      <c r="U167" s="4">
        <f>IF(Bases_annexes!$F$5=0,16.6587111018772,0.77*Bases_annexes!$F$5/(IF(OR(ISBLANK('Données_d''entrée'!$E$44),'Données_d''entrée'!$E$44=0),35,'Données_d''entrée'!$E$44)*52))</f>
        <v>16.658711101877199</v>
      </c>
      <c r="V167" s="4">
        <v>20.125</v>
      </c>
      <c r="W1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7" s="4">
        <v>234.5</v>
      </c>
      <c r="Y167" s="4">
        <f>(Base[[#This Row],['[Maladies']Coûts_évités_par_salarié]]+Base[[#This Row],['[Travail']Coûts_évités_par_salarié]])/Base[[#This Row],[Budget_santé_salarié]]</f>
        <v>6.090478580183438E-4</v>
      </c>
      <c r="Z167" s="4">
        <v>0.8</v>
      </c>
      <c r="AA167" s="4">
        <f>Base[[#This Row],[Coût]]*Base[[#This Row],[Part_société_dépenses_santé]]</f>
        <v>1.4560000000000002</v>
      </c>
      <c r="AB167" s="4">
        <v>67635124</v>
      </c>
      <c r="AC167" s="4">
        <v>82.297079063317852</v>
      </c>
      <c r="AD167" s="4">
        <v>8.4823104693140805E-4</v>
      </c>
      <c r="AE167" s="4">
        <f>Base[[#This Row],['[SC']Prévalence_travail]]*Base[[#This Row],[Population_emploi]]</f>
        <v>23496.000000000004</v>
      </c>
      <c r="AF167" s="4">
        <f>Base[[#This Row],[Risque]]*Base[[#This Row],['[SC']Patients_en_emploi]]</f>
        <v>2930.7924644138848</v>
      </c>
      <c r="AG167" s="4">
        <v>0</v>
      </c>
      <c r="AH167" s="4">
        <f>IFERROR(Base[[#This Row],['[SC']Prestations]]/Base[[#This Row],['[SC']Patients_en_emploi]],0)</f>
        <v>0</v>
      </c>
      <c r="AI167" s="4">
        <v>51.7</v>
      </c>
      <c r="AJ1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7" s="4">
        <f>Base[[#This Row],['[SC']'[Travail']Coûts_évités]]/Base[[#This Row],[Population_emploi]]</f>
        <v>9.3675586399806443E-2</v>
      </c>
      <c r="AL167" s="4">
        <f>Base[[#This Row],[Coût_société]]*10^9*Base[[#This Row],[Risque]]*Base[[#This Row],[Prévalence]]*Base[[#This Row],[Part_coûts_salarié]]/Base[[#This Row],[Population_emploi]]</f>
        <v>0.96775888001210164</v>
      </c>
      <c r="AM167" s="4">
        <f>IF(Base[[#This Row],[Pathologie]]&lt;&gt;"Dépendance",0,14909.24243952)</f>
        <v>0</v>
      </c>
      <c r="AN167" s="4">
        <f>IF(Base[[#This Row],[Pathologie]]&lt;&gt;"Dépendance",0,1316000)</f>
        <v>0</v>
      </c>
      <c r="AO167" s="4">
        <f>IF(Base[[#This Row],[Pathologie]]&lt;&gt;"Dépendance",0,Base[[#This Row],['[SC']Coût_personne_dépendante]]*Base[[#This Row],['[SC']Nb_personnes_dépendantes]])</f>
        <v>0</v>
      </c>
      <c r="AP167" s="4">
        <f>IF(Base[[#This Row],[Pathologie]]&lt;&gt;"Dépendance",0,Base[[#This Row],['[SC']Coût_total_dépendance]]/Base[[#This Row],[Population_totale]])</f>
        <v>0</v>
      </c>
      <c r="AQ167" s="4">
        <f>IF(Base[[#This Row],[Pathologie]]&lt;&gt;"Dépendance",0,4.5)</f>
        <v>0</v>
      </c>
      <c r="AR167" s="4">
        <v>0.50393265050357905</v>
      </c>
      <c r="AS167" s="4">
        <f>Base[[#This Row],[Espérance_vie]]+Base[[#This Row],['[SC']Hausse_esp_de_vie]]-Base[[#This Row],['[SC']Durée_moyenne_dépendance_avt]]+Base[[#This Row],[Risque]]</f>
        <v>82.925747518401536</v>
      </c>
      <c r="AT1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7" s="4">
        <v>62.9</v>
      </c>
      <c r="AW167" s="4">
        <f t="shared" si="0"/>
        <v>336905600000</v>
      </c>
      <c r="AX167" s="4">
        <v>15049171</v>
      </c>
      <c r="AY167" s="4">
        <f>Base[[#This Row],['[SC']Budget_total_retraites]]/Base[[#This Row],['[SC']Nombre_de_retraités]]</f>
        <v>22386.987296509556</v>
      </c>
      <c r="AZ167" s="4">
        <f>Base[[#This Row],['[SC']Budget_par_retraité]]*Base[[#This Row],['[SC']Nb_personnes_dépendantes]]</f>
        <v>0</v>
      </c>
      <c r="BA167" s="4">
        <f>Base[[#This Row],['[SC']'[Dépendance']Coût_retraite_personnes_dépendantes]]/Base[[#This Row],[Population_totale]]</f>
        <v>0</v>
      </c>
      <c r="BB1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7" s="4">
        <f>Base[[#This Row],['[SC']'[Dépendance']Gains]]-Base[[#This Row],['[SC']'[Dépendance']Coûts]]</f>
        <v>0</v>
      </c>
      <c r="BD167" s="4">
        <f>IF(Base[[#This Row],[Pathologie]]&lt;&gt;"Mort prématurée",0,Base[[#This Row],[Risque]]*Base[[#This Row],[Prévalence]]*Base[[#This Row],[Population_totale]])</f>
        <v>0</v>
      </c>
      <c r="BE167" s="4">
        <v>52.74</v>
      </c>
      <c r="BF167" s="4">
        <f>Base[[#This Row],['[SC']Âge_moyen_retraite]]-Base[[#This Row],['[SC']'[Mort_prématurée']Âge_moyen_mort précoce]]</f>
        <v>10.159999999999997</v>
      </c>
      <c r="BG167" s="4">
        <f>Base[[#This Row],[Espérance_vie]]+Base[[#This Row],['[SC']Hausse_esp_de_vie]]-Base[[#This Row],['[SC']Âge_moyen_retraite]]</f>
        <v>19.90101171382144</v>
      </c>
      <c r="BH167" s="4">
        <v>106583.42676924677</v>
      </c>
      <c r="BI167" s="4">
        <v>97601.789429271477</v>
      </c>
      <c r="BJ167" s="4">
        <v>302038.31496633729</v>
      </c>
      <c r="BK167" s="4">
        <v>117293.58934859755</v>
      </c>
      <c r="BL167" s="4">
        <v>1523999.9999999995</v>
      </c>
      <c r="BM1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7" s="4">
        <v>294804.96027377353</v>
      </c>
      <c r="BO1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7" s="4">
        <f>(Base[[#This Row],['[SC']'[Mort_prématurée']Gains]]-Base[[#This Row],['[SC']'[Mort_prématurée']Coûts]])/Base[[#This Row],[Population_totale]]</f>
        <v>0</v>
      </c>
      <c r="BQ167" s="4">
        <f>IF(Base[[#This Row],[Pathologie]]&lt;&gt;"Mort prématurée",0,Base[[#This Row],[Risque]])</f>
        <v>0</v>
      </c>
      <c r="BR167" s="4">
        <v>2680</v>
      </c>
      <c r="BS1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7" s="4">
        <f>Base[[#This Row],[Prévalence_prod]]*(1-Base[[#This Row],[Risque]])*Base[[#This Row],[Durée_arrêt]]*Base[[#This Row],[Population_emploi]]</f>
        <v>413874.80165367055</v>
      </c>
      <c r="BV167" s="4">
        <f>Base[[#This Row],['[Prod']'[Absentéisme']Total_jours_absence_avant]]-Base[[#This Row],['[Prod']'[Absentéisme']Total_jours_absence_après]]</f>
        <v>58982.198346329387</v>
      </c>
      <c r="BW167" s="4">
        <f>IF(AND(Base[[#This Row],[Pathologie]]&lt;&gt;"Dépendance",Base[[#This Row],[Pathologie]]&lt;&gt;"Mort prématurée",Base[[#This Row],[Pathologie]]&lt;&gt;"Migraine"),0.0619,0)</f>
        <v>6.1899999999999997E-2</v>
      </c>
      <c r="BX167" s="4">
        <v>254</v>
      </c>
      <c r="BY16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7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7" s="4">
        <f>Base[[#This Row],[Prévalence_prod]]*Base[[#This Row],[Présentéisme]]*Base[[#This Row],['[Prod']Jours_ouvrés]]</f>
        <v>0</v>
      </c>
      <c r="CB167" s="4">
        <f>Base[[#This Row],[Prévalence_prod]]*(1-Base[[#This Row],[Risque]])*Base[[#This Row],[Présentéisme]]*Base[[#This Row],['[Prod']Jours_ouvrés]]</f>
        <v>0</v>
      </c>
      <c r="CC167" s="4">
        <f>Base[[#This Row],['[Prod']'[Présentéisme']Jours_avant]]-Base[[#This Row],['[Prod']'[Présentéisme']Jours_après]]</f>
        <v>0</v>
      </c>
      <c r="CD167" s="4">
        <f>Base[[#This Row],['[Prod']'[Présentéisme']Jours_gagnés]]/Base[[#This Row],['[Prod']Jours_ouvrés]]</f>
        <v>0</v>
      </c>
      <c r="CE167">
        <v>5.8333039429220801E-2</v>
      </c>
      <c r="CF167">
        <v>1.4658164114728258E-2</v>
      </c>
      <c r="CG167" s="4">
        <v>11</v>
      </c>
      <c r="CH167" s="4">
        <v>0.85274500894619554</v>
      </c>
      <c r="CI167" s="4">
        <v>4.2903496994109176E-2</v>
      </c>
      <c r="CJ167" s="4">
        <f>IF(Base[[#This Row],[Secteur]]&lt;&gt;"Moyenne",Base[[#This Row],['[Prod']'[Turnover']DMC_initiale]]*(1+Base[[#This Row],['[Prod']'[Turnover']Ecart_accidents]]*Base[[#This Row],['[Prod']Impact_motifs_turnover]]),CJ150*CI150+CJ151*CI151+CJ152*CI152+CJ153*CI153+CJ154*CI154+CJ155*CI155+CJ156*CI156+CJ157*CI157+CJ158*CI158+CJ159*CI159+CJ160*CI160+CJ161*CI161+CJ162*CI162+CJ163*CI163+CJ164*CI164+CJ165*CI165+CJ166*CI166)</f>
        <v>11.137496439180635</v>
      </c>
      <c r="CK167" s="4">
        <f>1/Base[[#This Row],['[Prod']'[Turnover']DMC_initiale]]</f>
        <v>9.0909090909090912E-2</v>
      </c>
      <c r="CL167" s="4">
        <f>1/Base[[#This Row],['[Prod']'[Turnover']DMC_finale]]</f>
        <v>8.9786785159553156E-2</v>
      </c>
    </row>
    <row r="168" spans="2:90" x14ac:dyDescent="0.25">
      <c r="B168" s="4" t="s">
        <v>322</v>
      </c>
      <c r="C168">
        <v>7.5</v>
      </c>
      <c r="D168" t="s">
        <v>84</v>
      </c>
      <c r="E168" t="s">
        <v>10</v>
      </c>
      <c r="F168" s="3">
        <v>0.12473580458009381</v>
      </c>
      <c r="G168" s="3">
        <v>0.17849999999999999</v>
      </c>
      <c r="H168" s="3">
        <v>8.4823104693140794E-4</v>
      </c>
      <c r="I168" s="3">
        <v>0</v>
      </c>
      <c r="J168" s="3">
        <v>1.82</v>
      </c>
      <c r="K168" s="3">
        <v>7.0000000000000007E-2</v>
      </c>
      <c r="L168" s="2">
        <f>Base[[#This Row],[Coût]]*Base[[#This Row],[Part_ménages_dépenses_santé]]</f>
        <v>0.12740000000000001</v>
      </c>
      <c r="M168" s="2">
        <v>0.82690611956969029</v>
      </c>
      <c r="N168" s="6">
        <v>27700000</v>
      </c>
      <c r="O168" s="7">
        <f>Base[[#This Row],[Coût_salarié]]*10^9*Base[[#This Row],[Risque]]*Base[[#This Row],[Prévalence]]*Base[[#This Row],[Part_coûts_salarié]]/Base[[#This Row],[Population_emploi]]</f>
        <v>8.4678902001058889E-2</v>
      </c>
      <c r="P168">
        <v>50</v>
      </c>
      <c r="Q168">
        <v>50</v>
      </c>
      <c r="R168" s="2">
        <v>9.9999999999999978E-2</v>
      </c>
      <c r="S168" s="2">
        <v>0.33340000000000003</v>
      </c>
      <c r="T168" s="4">
        <v>8.4823104693140805E-4</v>
      </c>
      <c r="U168" s="4">
        <f>IF(Bases_annexes!$F$5=0,16.6587111018772,0.77*Bases_annexes!$F$5/(IF(OR(ISBLANK('Données_d''entrée'!$E$44),'Données_d''entrée'!$E$44=0),35,'Données_d''entrée'!$E$44)*52))</f>
        <v>16.658711101877199</v>
      </c>
      <c r="V168" s="4">
        <v>20.125</v>
      </c>
      <c r="W1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8" s="4">
        <v>234.5</v>
      </c>
      <c r="Y168" s="4">
        <f>(Base[[#This Row],['[Maladies']Coûts_évités_par_salarié]]+Base[[#This Row],['[Travail']Coûts_évités_par_salarié]])/Base[[#This Row],[Budget_santé_salarié]]</f>
        <v>6.090478580183438E-4</v>
      </c>
      <c r="Z168" s="4">
        <v>0.8</v>
      </c>
      <c r="AA168" s="4">
        <f>Base[[#This Row],[Coût]]*Base[[#This Row],[Part_société_dépenses_santé]]</f>
        <v>1.4560000000000002</v>
      </c>
      <c r="AB168" s="4">
        <v>67635124</v>
      </c>
      <c r="AC168" s="4">
        <v>82.297079063317852</v>
      </c>
      <c r="AD168" s="4">
        <v>8.4823104693140805E-4</v>
      </c>
      <c r="AE168" s="4">
        <f>Base[[#This Row],['[SC']Prévalence_travail]]*Base[[#This Row],[Population_emploi]]</f>
        <v>23496.000000000004</v>
      </c>
      <c r="AF168" s="4">
        <f>Base[[#This Row],[Risque]]*Base[[#This Row],['[SC']Patients_en_emploi]]</f>
        <v>2930.7924644138848</v>
      </c>
      <c r="AG168" s="4">
        <v>0</v>
      </c>
      <c r="AH168" s="4">
        <f>IFERROR(Base[[#This Row],['[SC']Prestations]]/Base[[#This Row],['[SC']Patients_en_emploi]],0)</f>
        <v>0</v>
      </c>
      <c r="AI168" s="4">
        <v>51.7</v>
      </c>
      <c r="AJ1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8" s="4">
        <f>Base[[#This Row],['[SC']'[Travail']Coûts_évités]]/Base[[#This Row],[Population_emploi]]</f>
        <v>9.3675586399806443E-2</v>
      </c>
      <c r="AL168" s="4">
        <f>Base[[#This Row],[Coût_société]]*10^9*Base[[#This Row],[Risque]]*Base[[#This Row],[Prévalence]]*Base[[#This Row],[Part_coûts_salarié]]/Base[[#This Row],[Population_emploi]]</f>
        <v>0.96775888001210164</v>
      </c>
      <c r="AM168" s="4">
        <f>IF(Base[[#This Row],[Pathologie]]&lt;&gt;"Dépendance",0,14909.24243952)</f>
        <v>0</v>
      </c>
      <c r="AN168" s="4">
        <f>IF(Base[[#This Row],[Pathologie]]&lt;&gt;"Dépendance",0,1316000)</f>
        <v>0</v>
      </c>
      <c r="AO168" s="4">
        <f>IF(Base[[#This Row],[Pathologie]]&lt;&gt;"Dépendance",0,Base[[#This Row],['[SC']Coût_personne_dépendante]]*Base[[#This Row],['[SC']Nb_personnes_dépendantes]])</f>
        <v>0</v>
      </c>
      <c r="AP168" s="4">
        <f>IF(Base[[#This Row],[Pathologie]]&lt;&gt;"Dépendance",0,Base[[#This Row],['[SC']Coût_total_dépendance]]/Base[[#This Row],[Population_totale]])</f>
        <v>0</v>
      </c>
      <c r="AQ168" s="4">
        <f>IF(Base[[#This Row],[Pathologie]]&lt;&gt;"Dépendance",0,4.5)</f>
        <v>0</v>
      </c>
      <c r="AR168" s="4">
        <v>0.50393265050357905</v>
      </c>
      <c r="AS168" s="4">
        <f>Base[[#This Row],[Espérance_vie]]+Base[[#This Row],['[SC']Hausse_esp_de_vie]]-Base[[#This Row],['[SC']Durée_moyenne_dépendance_avt]]+Base[[#This Row],[Risque]]</f>
        <v>82.925747518401536</v>
      </c>
      <c r="AT1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8" s="4">
        <v>62.9</v>
      </c>
      <c r="AW168" s="4">
        <f t="shared" si="0"/>
        <v>336905600000</v>
      </c>
      <c r="AX168" s="4">
        <v>15049171</v>
      </c>
      <c r="AY168" s="4">
        <f>Base[[#This Row],['[SC']Budget_total_retraites]]/Base[[#This Row],['[SC']Nombre_de_retraités]]</f>
        <v>22386.987296509556</v>
      </c>
      <c r="AZ168" s="4">
        <f>Base[[#This Row],['[SC']Budget_par_retraité]]*Base[[#This Row],['[SC']Nb_personnes_dépendantes]]</f>
        <v>0</v>
      </c>
      <c r="BA168" s="4">
        <f>Base[[#This Row],['[SC']'[Dépendance']Coût_retraite_personnes_dépendantes]]/Base[[#This Row],[Population_totale]]</f>
        <v>0</v>
      </c>
      <c r="BB1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8" s="4">
        <f>Base[[#This Row],['[SC']'[Dépendance']Gains]]-Base[[#This Row],['[SC']'[Dépendance']Coûts]]</f>
        <v>0</v>
      </c>
      <c r="BD168" s="4">
        <f>IF(Base[[#This Row],[Pathologie]]&lt;&gt;"Mort prématurée",0,Base[[#This Row],[Risque]]*Base[[#This Row],[Prévalence]]*Base[[#This Row],[Population_totale]])</f>
        <v>0</v>
      </c>
      <c r="BE168" s="4">
        <v>52.74</v>
      </c>
      <c r="BF168" s="4">
        <f>Base[[#This Row],['[SC']Âge_moyen_retraite]]-Base[[#This Row],['[SC']'[Mort_prématurée']Âge_moyen_mort précoce]]</f>
        <v>10.159999999999997</v>
      </c>
      <c r="BG168" s="4">
        <f>Base[[#This Row],[Espérance_vie]]+Base[[#This Row],['[SC']Hausse_esp_de_vie]]-Base[[#This Row],['[SC']Âge_moyen_retraite]]</f>
        <v>19.90101171382144</v>
      </c>
      <c r="BH168" s="4">
        <v>106583.42676924677</v>
      </c>
      <c r="BI168" s="4">
        <v>97601.789429271477</v>
      </c>
      <c r="BJ168" s="4">
        <v>302038.31496633729</v>
      </c>
      <c r="BK168" s="4">
        <v>117293.58934859755</v>
      </c>
      <c r="BL168" s="4">
        <v>1523999.9999999995</v>
      </c>
      <c r="BM1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8" s="4">
        <v>294804.96027377353</v>
      </c>
      <c r="BO1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8" s="4">
        <f>(Base[[#This Row],['[SC']'[Mort_prématurée']Gains]]-Base[[#This Row],['[SC']'[Mort_prématurée']Coûts]])/Base[[#This Row],[Population_totale]]</f>
        <v>0</v>
      </c>
      <c r="BQ168" s="4">
        <f>IF(Base[[#This Row],[Pathologie]]&lt;&gt;"Mort prématurée",0,Base[[#This Row],[Risque]])</f>
        <v>0</v>
      </c>
      <c r="BR168" s="4">
        <v>2680</v>
      </c>
      <c r="BS1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8" s="4">
        <f>Base[[#This Row],[Prévalence_prod]]*(1-Base[[#This Row],[Risque]])*Base[[#This Row],[Durée_arrêt]]*Base[[#This Row],[Population_emploi]]</f>
        <v>413874.80165367055</v>
      </c>
      <c r="BV168" s="4">
        <f>Base[[#This Row],['[Prod']'[Absentéisme']Total_jours_absence_avant]]-Base[[#This Row],['[Prod']'[Absentéisme']Total_jours_absence_après]]</f>
        <v>58982.198346329387</v>
      </c>
      <c r="BW168" s="4">
        <f>IF(AND(Base[[#This Row],[Pathologie]]&lt;&gt;"Dépendance",Base[[#This Row],[Pathologie]]&lt;&gt;"Mort prématurée",Base[[#This Row],[Pathologie]]&lt;&gt;"Migraine"),0.0619,0)</f>
        <v>6.1899999999999997E-2</v>
      </c>
      <c r="BX168" s="4">
        <v>254</v>
      </c>
      <c r="BY16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8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8" s="4">
        <f>Base[[#This Row],[Prévalence_prod]]*Base[[#This Row],[Présentéisme]]*Base[[#This Row],['[Prod']Jours_ouvrés]]</f>
        <v>0</v>
      </c>
      <c r="CB168" s="4">
        <f>Base[[#This Row],[Prévalence_prod]]*(1-Base[[#This Row],[Risque]])*Base[[#This Row],[Présentéisme]]*Base[[#This Row],['[Prod']Jours_ouvrés]]</f>
        <v>0</v>
      </c>
      <c r="CC168" s="4">
        <f>Base[[#This Row],['[Prod']'[Présentéisme']Jours_avant]]-Base[[#This Row],['[Prod']'[Présentéisme']Jours_après]]</f>
        <v>0</v>
      </c>
      <c r="CD168" s="4">
        <f>Base[[#This Row],['[Prod']'[Présentéisme']Jours_gagnés]]/Base[[#This Row],['[Prod']Jours_ouvrés]]</f>
        <v>0</v>
      </c>
      <c r="CE168">
        <v>5.8333039429220801E-2</v>
      </c>
      <c r="CF168">
        <v>1.4658164114728258E-2</v>
      </c>
      <c r="CG168" s="4">
        <v>11</v>
      </c>
      <c r="CH168" s="4">
        <v>1.6219398392978641</v>
      </c>
      <c r="CI168" s="4">
        <v>9.628527536862988E-2</v>
      </c>
      <c r="CJ168" s="4">
        <f>IF(Base[[#This Row],[Secteur]]&lt;&gt;"Moyenne",Base[[#This Row],['[Prod']'[Turnover']DMC_initiale]]*(1+Base[[#This Row],['[Prod']'[Turnover']Ecart_accidents]]*Base[[#This Row],['[Prod']Impact_motifs_turnover]]),CJ151*CI151+CJ152*CI152+CJ153*CI153+CJ154*CI154+CJ155*CI155+CJ156*CI156+CJ157*CI157+CJ158*CI158+CJ159*CI159+CJ160*CI160+CJ161*CI161+CJ162*CI162+CJ163*CI163+CJ164*CI164+CJ165*CI165+CJ166*CI166+CJ167*CI167)</f>
        <v>11.261521263835085</v>
      </c>
      <c r="CK168" s="4">
        <f>1/Base[[#This Row],['[Prod']'[Turnover']DMC_initiale]]</f>
        <v>9.0909090909090912E-2</v>
      </c>
      <c r="CL168" s="4">
        <f>1/Base[[#This Row],['[Prod']'[Turnover']DMC_finale]]</f>
        <v>8.8797949812639457E-2</v>
      </c>
    </row>
    <row r="169" spans="2:90" x14ac:dyDescent="0.25">
      <c r="B169" s="4" t="s">
        <v>323</v>
      </c>
      <c r="C169">
        <v>7.5</v>
      </c>
      <c r="D169" t="s">
        <v>84</v>
      </c>
      <c r="E169" t="s">
        <v>10</v>
      </c>
      <c r="F169" s="3">
        <v>0.12473580458009381</v>
      </c>
      <c r="G169" s="3">
        <v>0.17849999999999999</v>
      </c>
      <c r="H169" s="3">
        <v>8.4823104693140794E-4</v>
      </c>
      <c r="I169" s="3">
        <v>0</v>
      </c>
      <c r="J169" s="3">
        <v>1.82</v>
      </c>
      <c r="K169" s="3">
        <v>7.0000000000000007E-2</v>
      </c>
      <c r="L169" s="2">
        <f>Base[[#This Row],[Coût]]*Base[[#This Row],[Part_ménages_dépenses_santé]]</f>
        <v>0.12740000000000001</v>
      </c>
      <c r="M169" s="2">
        <v>0.82690611956969029</v>
      </c>
      <c r="N169" s="6">
        <v>27700000</v>
      </c>
      <c r="O169" s="7">
        <f>Base[[#This Row],[Coût_salarié]]*10^9*Base[[#This Row],[Risque]]*Base[[#This Row],[Prévalence]]*Base[[#This Row],[Part_coûts_salarié]]/Base[[#This Row],[Population_emploi]]</f>
        <v>8.4678902001058889E-2</v>
      </c>
      <c r="P169">
        <v>50</v>
      </c>
      <c r="Q169">
        <v>50</v>
      </c>
      <c r="R169" s="2">
        <v>9.9999999999999978E-2</v>
      </c>
      <c r="S169" s="2">
        <v>0.33340000000000003</v>
      </c>
      <c r="T169" s="4">
        <v>8.4823104693140805E-4</v>
      </c>
      <c r="U169" s="4">
        <f>IF(Bases_annexes!$F$5=0,16.6587111018772,0.77*Bases_annexes!$F$5/(IF(OR(ISBLANK('Données_d''entrée'!$E$44),'Données_d''entrée'!$E$44=0),35,'Données_d''entrée'!$E$44)*52))</f>
        <v>16.658711101877199</v>
      </c>
      <c r="V169" s="4">
        <v>20.125</v>
      </c>
      <c r="W1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69" s="4">
        <v>234.5</v>
      </c>
      <c r="Y169" s="4">
        <f>(Base[[#This Row],['[Maladies']Coûts_évités_par_salarié]]+Base[[#This Row],['[Travail']Coûts_évités_par_salarié]])/Base[[#This Row],[Budget_santé_salarié]]</f>
        <v>6.090478580183438E-4</v>
      </c>
      <c r="Z169" s="4">
        <v>0.8</v>
      </c>
      <c r="AA169" s="4">
        <f>Base[[#This Row],[Coût]]*Base[[#This Row],[Part_société_dépenses_santé]]</f>
        <v>1.4560000000000002</v>
      </c>
      <c r="AB169" s="4">
        <v>67635124</v>
      </c>
      <c r="AC169" s="4">
        <v>82.297079063317852</v>
      </c>
      <c r="AD169" s="4">
        <v>8.4823104693140805E-4</v>
      </c>
      <c r="AE169" s="4">
        <f>Base[[#This Row],['[SC']Prévalence_travail]]*Base[[#This Row],[Population_emploi]]</f>
        <v>23496.000000000004</v>
      </c>
      <c r="AF169" s="4">
        <f>Base[[#This Row],[Risque]]*Base[[#This Row],['[SC']Patients_en_emploi]]</f>
        <v>2930.7924644138848</v>
      </c>
      <c r="AG169" s="4">
        <v>0</v>
      </c>
      <c r="AH169" s="4">
        <f>IFERROR(Base[[#This Row],['[SC']Prestations]]/Base[[#This Row],['[SC']Patients_en_emploi]],0)</f>
        <v>0</v>
      </c>
      <c r="AI169" s="4">
        <v>51.7</v>
      </c>
      <c r="AJ1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69" s="4">
        <f>Base[[#This Row],['[SC']'[Travail']Coûts_évités]]/Base[[#This Row],[Population_emploi]]</f>
        <v>9.3675586399806443E-2</v>
      </c>
      <c r="AL169" s="4">
        <f>Base[[#This Row],[Coût_société]]*10^9*Base[[#This Row],[Risque]]*Base[[#This Row],[Prévalence]]*Base[[#This Row],[Part_coûts_salarié]]/Base[[#This Row],[Population_emploi]]</f>
        <v>0.96775888001210164</v>
      </c>
      <c r="AM169" s="4">
        <f>IF(Base[[#This Row],[Pathologie]]&lt;&gt;"Dépendance",0,14909.24243952)</f>
        <v>0</v>
      </c>
      <c r="AN169" s="4">
        <f>IF(Base[[#This Row],[Pathologie]]&lt;&gt;"Dépendance",0,1316000)</f>
        <v>0</v>
      </c>
      <c r="AO169" s="4">
        <f>IF(Base[[#This Row],[Pathologie]]&lt;&gt;"Dépendance",0,Base[[#This Row],['[SC']Coût_personne_dépendante]]*Base[[#This Row],['[SC']Nb_personnes_dépendantes]])</f>
        <v>0</v>
      </c>
      <c r="AP169" s="4">
        <f>IF(Base[[#This Row],[Pathologie]]&lt;&gt;"Dépendance",0,Base[[#This Row],['[SC']Coût_total_dépendance]]/Base[[#This Row],[Population_totale]])</f>
        <v>0</v>
      </c>
      <c r="AQ169" s="4">
        <f>IF(Base[[#This Row],[Pathologie]]&lt;&gt;"Dépendance",0,4.5)</f>
        <v>0</v>
      </c>
      <c r="AR169" s="4">
        <v>0.50393265050357905</v>
      </c>
      <c r="AS169" s="4">
        <f>Base[[#This Row],[Espérance_vie]]+Base[[#This Row],['[SC']Hausse_esp_de_vie]]-Base[[#This Row],['[SC']Durée_moyenne_dépendance_avt]]+Base[[#This Row],[Risque]]</f>
        <v>82.925747518401536</v>
      </c>
      <c r="AT1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69" s="4">
        <v>62.9</v>
      </c>
      <c r="AW169" s="4">
        <f t="shared" si="0"/>
        <v>336905600000</v>
      </c>
      <c r="AX169" s="4">
        <v>15049171</v>
      </c>
      <c r="AY169" s="4">
        <f>Base[[#This Row],['[SC']Budget_total_retraites]]/Base[[#This Row],['[SC']Nombre_de_retraités]]</f>
        <v>22386.987296509556</v>
      </c>
      <c r="AZ169" s="4">
        <f>Base[[#This Row],['[SC']Budget_par_retraité]]*Base[[#This Row],['[SC']Nb_personnes_dépendantes]]</f>
        <v>0</v>
      </c>
      <c r="BA169" s="4">
        <f>Base[[#This Row],['[SC']'[Dépendance']Coût_retraite_personnes_dépendantes]]/Base[[#This Row],[Population_totale]]</f>
        <v>0</v>
      </c>
      <c r="BB1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69" s="4">
        <f>Base[[#This Row],['[SC']'[Dépendance']Gains]]-Base[[#This Row],['[SC']'[Dépendance']Coûts]]</f>
        <v>0</v>
      </c>
      <c r="BD169" s="4">
        <f>IF(Base[[#This Row],[Pathologie]]&lt;&gt;"Mort prématurée",0,Base[[#This Row],[Risque]]*Base[[#This Row],[Prévalence]]*Base[[#This Row],[Population_totale]])</f>
        <v>0</v>
      </c>
      <c r="BE169" s="4">
        <v>52.74</v>
      </c>
      <c r="BF169" s="4">
        <f>Base[[#This Row],['[SC']Âge_moyen_retraite]]-Base[[#This Row],['[SC']'[Mort_prématurée']Âge_moyen_mort précoce]]</f>
        <v>10.159999999999997</v>
      </c>
      <c r="BG169" s="4">
        <f>Base[[#This Row],[Espérance_vie]]+Base[[#This Row],['[SC']Hausse_esp_de_vie]]-Base[[#This Row],['[SC']Âge_moyen_retraite]]</f>
        <v>19.90101171382144</v>
      </c>
      <c r="BH169" s="4">
        <v>106583.42676924677</v>
      </c>
      <c r="BI169" s="4">
        <v>97601.789429271477</v>
      </c>
      <c r="BJ169" s="4">
        <v>302038.31496633729</v>
      </c>
      <c r="BK169" s="4">
        <v>117293.58934859755</v>
      </c>
      <c r="BL169" s="4">
        <v>1523999.9999999995</v>
      </c>
      <c r="BM1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69" s="4">
        <v>294804.96027377353</v>
      </c>
      <c r="BO1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69" s="4">
        <f>(Base[[#This Row],['[SC']'[Mort_prématurée']Gains]]-Base[[#This Row],['[SC']'[Mort_prématurée']Coûts]])/Base[[#This Row],[Population_totale]]</f>
        <v>0</v>
      </c>
      <c r="BQ169" s="4">
        <f>IF(Base[[#This Row],[Pathologie]]&lt;&gt;"Mort prématurée",0,Base[[#This Row],[Risque]])</f>
        <v>0</v>
      </c>
      <c r="BR169" s="4">
        <v>2680</v>
      </c>
      <c r="BS1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69" s="4">
        <f>Base[[#This Row],[Prévalence_prod]]*(1-Base[[#This Row],[Risque]])*Base[[#This Row],[Durée_arrêt]]*Base[[#This Row],[Population_emploi]]</f>
        <v>413874.80165367055</v>
      </c>
      <c r="BV169" s="4">
        <f>Base[[#This Row],['[Prod']'[Absentéisme']Total_jours_absence_avant]]-Base[[#This Row],['[Prod']'[Absentéisme']Total_jours_absence_après]]</f>
        <v>58982.198346329387</v>
      </c>
      <c r="BW169" s="4">
        <f>IF(AND(Base[[#This Row],[Pathologie]]&lt;&gt;"Dépendance",Base[[#This Row],[Pathologie]]&lt;&gt;"Mort prématurée",Base[[#This Row],[Pathologie]]&lt;&gt;"Migraine"),0.0619,0)</f>
        <v>6.1899999999999997E-2</v>
      </c>
      <c r="BX169" s="4">
        <v>254</v>
      </c>
      <c r="BY169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69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69" s="4">
        <f>Base[[#This Row],[Prévalence_prod]]*Base[[#This Row],[Présentéisme]]*Base[[#This Row],['[Prod']Jours_ouvrés]]</f>
        <v>0</v>
      </c>
      <c r="CB169" s="4">
        <f>Base[[#This Row],[Prévalence_prod]]*(1-Base[[#This Row],[Risque]])*Base[[#This Row],[Présentéisme]]*Base[[#This Row],['[Prod']Jours_ouvrés]]</f>
        <v>0</v>
      </c>
      <c r="CC169" s="4">
        <f>Base[[#This Row],['[Prod']'[Présentéisme']Jours_avant]]-Base[[#This Row],['[Prod']'[Présentéisme']Jours_après]]</f>
        <v>0</v>
      </c>
      <c r="CD169" s="4">
        <f>Base[[#This Row],['[Prod']'[Présentéisme']Jours_gagnés]]/Base[[#This Row],['[Prod']Jours_ouvrés]]</f>
        <v>0</v>
      </c>
      <c r="CE169">
        <v>5.8333039429220801E-2</v>
      </c>
      <c r="CF169">
        <v>1.4658164114728258E-2</v>
      </c>
      <c r="CG169" s="4">
        <v>11</v>
      </c>
      <c r="CH169" s="4">
        <v>0.96913802401210614</v>
      </c>
      <c r="CI169" s="4">
        <v>0.10293966445307301</v>
      </c>
      <c r="CJ169" s="4">
        <f>IF(Base[[#This Row],[Secteur]]&lt;&gt;"Moyenne",Base[[#This Row],['[Prod']'[Turnover']DMC_initiale]]*(1+Base[[#This Row],['[Prod']'[Turnover']Ecart_accidents]]*Base[[#This Row],['[Prod']Impact_motifs_turnover]]),CJ152*CI152+CJ153*CI153+CJ154*CI154+CJ155*CI155+CJ156*CI156+CJ157*CI157+CJ158*CI158+CJ159*CI159+CJ160*CI160+CJ161*CI161+CJ162*CI162+CJ163*CI163+CJ164*CI164+CJ165*CI165+CJ166*CI166+CJ167*CI167+CJ168*CI168)</f>
        <v>11.156263626263723</v>
      </c>
      <c r="CK169" s="4">
        <f>1/Base[[#This Row],['[Prod']'[Turnover']DMC_initiale]]</f>
        <v>9.0909090909090912E-2</v>
      </c>
      <c r="CL169" s="4">
        <f>1/Base[[#This Row],['[Prod']'[Turnover']DMC_finale]]</f>
        <v>8.9635744860477456E-2</v>
      </c>
    </row>
    <row r="170" spans="2:90" x14ac:dyDescent="0.25">
      <c r="B170" s="4" t="s">
        <v>324</v>
      </c>
      <c r="C170">
        <v>7.5</v>
      </c>
      <c r="D170" t="s">
        <v>84</v>
      </c>
      <c r="E170" t="s">
        <v>10</v>
      </c>
      <c r="F170" s="3">
        <v>0.12473580458009381</v>
      </c>
      <c r="G170" s="3">
        <v>0.17849999999999999</v>
      </c>
      <c r="H170" s="3">
        <v>8.4823104693140794E-4</v>
      </c>
      <c r="I170" s="3">
        <v>0</v>
      </c>
      <c r="J170" s="3">
        <v>1.82</v>
      </c>
      <c r="K170" s="3">
        <v>7.0000000000000007E-2</v>
      </c>
      <c r="L170" s="2">
        <f>Base[[#This Row],[Coût]]*Base[[#This Row],[Part_ménages_dépenses_santé]]</f>
        <v>0.12740000000000001</v>
      </c>
      <c r="M170" s="2">
        <v>0.82690611956969029</v>
      </c>
      <c r="N170" s="6">
        <v>27700000</v>
      </c>
      <c r="O170" s="7">
        <f>Base[[#This Row],[Coût_salarié]]*10^9*Base[[#This Row],[Risque]]*Base[[#This Row],[Prévalence]]*Base[[#This Row],[Part_coûts_salarié]]/Base[[#This Row],[Population_emploi]]</f>
        <v>8.4678902001058889E-2</v>
      </c>
      <c r="P170">
        <v>50</v>
      </c>
      <c r="Q170">
        <v>50</v>
      </c>
      <c r="R170" s="2">
        <v>9.9999999999999978E-2</v>
      </c>
      <c r="S170" s="2">
        <v>0.33340000000000003</v>
      </c>
      <c r="T170" s="4">
        <v>8.4823104693140805E-4</v>
      </c>
      <c r="U170" s="4">
        <f>IF(Bases_annexes!$F$5=0,16.6587111018772,0.77*Bases_annexes!$F$5/(IF(OR(ISBLANK('Données_d''entrée'!$E$44),'Données_d''entrée'!$E$44=0),35,'Données_d''entrée'!$E$44)*52))</f>
        <v>16.658711101877199</v>
      </c>
      <c r="V170" s="4">
        <v>20.125</v>
      </c>
      <c r="W1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0" s="4">
        <v>234.5</v>
      </c>
      <c r="Y170" s="4">
        <f>(Base[[#This Row],['[Maladies']Coûts_évités_par_salarié]]+Base[[#This Row],['[Travail']Coûts_évités_par_salarié]])/Base[[#This Row],[Budget_santé_salarié]]</f>
        <v>6.090478580183438E-4</v>
      </c>
      <c r="Z170" s="4">
        <v>0.8</v>
      </c>
      <c r="AA170" s="4">
        <f>Base[[#This Row],[Coût]]*Base[[#This Row],[Part_société_dépenses_santé]]</f>
        <v>1.4560000000000002</v>
      </c>
      <c r="AB170" s="4">
        <v>67635124</v>
      </c>
      <c r="AC170" s="4">
        <v>82.297079063317852</v>
      </c>
      <c r="AD170" s="4">
        <v>8.4823104693140805E-4</v>
      </c>
      <c r="AE170" s="4">
        <f>Base[[#This Row],['[SC']Prévalence_travail]]*Base[[#This Row],[Population_emploi]]</f>
        <v>23496.000000000004</v>
      </c>
      <c r="AF170" s="4">
        <f>Base[[#This Row],[Risque]]*Base[[#This Row],['[SC']Patients_en_emploi]]</f>
        <v>2930.7924644138848</v>
      </c>
      <c r="AG170" s="4">
        <v>0</v>
      </c>
      <c r="AH170" s="4">
        <f>IFERROR(Base[[#This Row],['[SC']Prestations]]/Base[[#This Row],['[SC']Patients_en_emploi]],0)</f>
        <v>0</v>
      </c>
      <c r="AI170" s="4">
        <v>51.7</v>
      </c>
      <c r="AJ1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0" s="4">
        <f>Base[[#This Row],['[SC']'[Travail']Coûts_évités]]/Base[[#This Row],[Population_emploi]]</f>
        <v>9.3675586399806443E-2</v>
      </c>
      <c r="AL170" s="4">
        <f>Base[[#This Row],[Coût_société]]*10^9*Base[[#This Row],[Risque]]*Base[[#This Row],[Prévalence]]*Base[[#This Row],[Part_coûts_salarié]]/Base[[#This Row],[Population_emploi]]</f>
        <v>0.96775888001210164</v>
      </c>
      <c r="AM170" s="4">
        <f>IF(Base[[#This Row],[Pathologie]]&lt;&gt;"Dépendance",0,14909.24243952)</f>
        <v>0</v>
      </c>
      <c r="AN170" s="4">
        <f>IF(Base[[#This Row],[Pathologie]]&lt;&gt;"Dépendance",0,1316000)</f>
        <v>0</v>
      </c>
      <c r="AO170" s="4">
        <f>IF(Base[[#This Row],[Pathologie]]&lt;&gt;"Dépendance",0,Base[[#This Row],['[SC']Coût_personne_dépendante]]*Base[[#This Row],['[SC']Nb_personnes_dépendantes]])</f>
        <v>0</v>
      </c>
      <c r="AP170" s="4">
        <f>IF(Base[[#This Row],[Pathologie]]&lt;&gt;"Dépendance",0,Base[[#This Row],['[SC']Coût_total_dépendance]]/Base[[#This Row],[Population_totale]])</f>
        <v>0</v>
      </c>
      <c r="AQ170" s="4">
        <f>IF(Base[[#This Row],[Pathologie]]&lt;&gt;"Dépendance",0,4.5)</f>
        <v>0</v>
      </c>
      <c r="AR170" s="4">
        <v>0.50393265050357905</v>
      </c>
      <c r="AS170" s="4">
        <f>Base[[#This Row],[Espérance_vie]]+Base[[#This Row],['[SC']Hausse_esp_de_vie]]-Base[[#This Row],['[SC']Durée_moyenne_dépendance_avt]]+Base[[#This Row],[Risque]]</f>
        <v>82.925747518401536</v>
      </c>
      <c r="AT1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0" s="4">
        <v>62.9</v>
      </c>
      <c r="AW170" s="4">
        <f t="shared" si="0"/>
        <v>336905600000</v>
      </c>
      <c r="AX170" s="4">
        <v>15049171</v>
      </c>
      <c r="AY170" s="4">
        <f>Base[[#This Row],['[SC']Budget_total_retraites]]/Base[[#This Row],['[SC']Nombre_de_retraités]]</f>
        <v>22386.987296509556</v>
      </c>
      <c r="AZ170" s="4">
        <f>Base[[#This Row],['[SC']Budget_par_retraité]]*Base[[#This Row],['[SC']Nb_personnes_dépendantes]]</f>
        <v>0</v>
      </c>
      <c r="BA170" s="4">
        <f>Base[[#This Row],['[SC']'[Dépendance']Coût_retraite_personnes_dépendantes]]/Base[[#This Row],[Population_totale]]</f>
        <v>0</v>
      </c>
      <c r="BB1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0" s="4">
        <f>Base[[#This Row],['[SC']'[Dépendance']Gains]]-Base[[#This Row],['[SC']'[Dépendance']Coûts]]</f>
        <v>0</v>
      </c>
      <c r="BD170" s="4">
        <f>IF(Base[[#This Row],[Pathologie]]&lt;&gt;"Mort prématurée",0,Base[[#This Row],[Risque]]*Base[[#This Row],[Prévalence]]*Base[[#This Row],[Population_totale]])</f>
        <v>0</v>
      </c>
      <c r="BE170" s="4">
        <v>52.74</v>
      </c>
      <c r="BF170" s="4">
        <f>Base[[#This Row],['[SC']Âge_moyen_retraite]]-Base[[#This Row],['[SC']'[Mort_prématurée']Âge_moyen_mort précoce]]</f>
        <v>10.159999999999997</v>
      </c>
      <c r="BG170" s="4">
        <f>Base[[#This Row],[Espérance_vie]]+Base[[#This Row],['[SC']Hausse_esp_de_vie]]-Base[[#This Row],['[SC']Âge_moyen_retraite]]</f>
        <v>19.90101171382144</v>
      </c>
      <c r="BH170" s="4">
        <v>106583.42676924677</v>
      </c>
      <c r="BI170" s="4">
        <v>97601.789429271477</v>
      </c>
      <c r="BJ170" s="4">
        <v>302038.31496633729</v>
      </c>
      <c r="BK170" s="4">
        <v>117293.58934859755</v>
      </c>
      <c r="BL170" s="4">
        <v>1523999.9999999995</v>
      </c>
      <c r="BM1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0" s="4">
        <v>294804.96027377353</v>
      </c>
      <c r="BO1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0" s="4">
        <f>(Base[[#This Row],['[SC']'[Mort_prématurée']Gains]]-Base[[#This Row],['[SC']'[Mort_prématurée']Coûts]])/Base[[#This Row],[Population_totale]]</f>
        <v>0</v>
      </c>
      <c r="BQ170" s="4">
        <f>IF(Base[[#This Row],[Pathologie]]&lt;&gt;"Mort prématurée",0,Base[[#This Row],[Risque]])</f>
        <v>0</v>
      </c>
      <c r="BR170" s="4">
        <v>2680</v>
      </c>
      <c r="BS1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0" s="4">
        <f>Base[[#This Row],[Prévalence_prod]]*(1-Base[[#This Row],[Risque]])*Base[[#This Row],[Durée_arrêt]]*Base[[#This Row],[Population_emploi]]</f>
        <v>413874.80165367055</v>
      </c>
      <c r="BV170" s="4">
        <f>Base[[#This Row],['[Prod']'[Absentéisme']Total_jours_absence_avant]]-Base[[#This Row],['[Prod']'[Absentéisme']Total_jours_absence_après]]</f>
        <v>58982.198346329387</v>
      </c>
      <c r="BW170" s="4">
        <f>IF(AND(Base[[#This Row],[Pathologie]]&lt;&gt;"Dépendance",Base[[#This Row],[Pathologie]]&lt;&gt;"Mort prématurée",Base[[#This Row],[Pathologie]]&lt;&gt;"Migraine"),0.0619,0)</f>
        <v>6.1899999999999997E-2</v>
      </c>
      <c r="BX170" s="4">
        <v>254</v>
      </c>
      <c r="BY170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0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0" s="4">
        <f>Base[[#This Row],[Prévalence_prod]]*Base[[#This Row],[Présentéisme]]*Base[[#This Row],['[Prod']Jours_ouvrés]]</f>
        <v>0</v>
      </c>
      <c r="CB170" s="4">
        <f>Base[[#This Row],[Prévalence_prod]]*(1-Base[[#This Row],[Risque]])*Base[[#This Row],[Présentéisme]]*Base[[#This Row],['[Prod']Jours_ouvrés]]</f>
        <v>0</v>
      </c>
      <c r="CC170" s="4">
        <f>Base[[#This Row],['[Prod']'[Présentéisme']Jours_avant]]-Base[[#This Row],['[Prod']'[Présentéisme']Jours_après]]</f>
        <v>0</v>
      </c>
      <c r="CD170" s="4">
        <f>Base[[#This Row],['[Prod']'[Présentéisme']Jours_gagnés]]/Base[[#This Row],['[Prod']Jours_ouvrés]]</f>
        <v>0</v>
      </c>
      <c r="CE170">
        <v>5.8333039429220801E-2</v>
      </c>
      <c r="CF170">
        <v>1.4658164114728258E-2</v>
      </c>
      <c r="CG170" s="4">
        <v>11</v>
      </c>
      <c r="CH170" s="4">
        <v>1.3987208237662601</v>
      </c>
      <c r="CI170" s="4">
        <v>2.1768516166491274E-2</v>
      </c>
      <c r="CJ170" s="4">
        <f>IF(Base[[#This Row],[Secteur]]&lt;&gt;"Moyenne",Base[[#This Row],['[Prod']'[Turnover']DMC_initiale]]*(1+Base[[#This Row],['[Prod']'[Turnover']Ecart_accidents]]*Base[[#This Row],['[Prod']Impact_motifs_turnover]]),CJ153*CI153+CJ154*CI154+CJ155*CI155+CJ156*CI156+CJ157*CI157+CJ158*CI158+CJ159*CI159+CJ160*CI160+CJ161*CI161+CJ162*CI162+CJ163*CI163+CJ164*CI164+CJ165*CI165+CJ166*CI166+CJ167*CI167+CJ168*CI168+CJ169*CI169)</f>
        <v>11.225529473239991</v>
      </c>
      <c r="CK170" s="4">
        <f>1/Base[[#This Row],['[Prod']'[Turnover']DMC_initiale]]</f>
        <v>9.0909090909090912E-2</v>
      </c>
      <c r="CL170" s="4">
        <f>1/Base[[#This Row],['[Prod']'[Turnover']DMC_finale]]</f>
        <v>8.9082657738670828E-2</v>
      </c>
    </row>
    <row r="171" spans="2:90" x14ac:dyDescent="0.25">
      <c r="B171" s="4" t="s">
        <v>325</v>
      </c>
      <c r="C171">
        <v>7.5</v>
      </c>
      <c r="D171" t="s">
        <v>84</v>
      </c>
      <c r="E171" t="s">
        <v>10</v>
      </c>
      <c r="F171" s="3">
        <v>0.12473580458009381</v>
      </c>
      <c r="G171" s="3">
        <v>0.17849999999999999</v>
      </c>
      <c r="H171" s="3">
        <v>8.4823104693140794E-4</v>
      </c>
      <c r="I171" s="3">
        <v>0</v>
      </c>
      <c r="J171" s="3">
        <v>1.82</v>
      </c>
      <c r="K171" s="3">
        <v>7.0000000000000007E-2</v>
      </c>
      <c r="L171" s="2">
        <f>Base[[#This Row],[Coût]]*Base[[#This Row],[Part_ménages_dépenses_santé]]</f>
        <v>0.12740000000000001</v>
      </c>
      <c r="M171" s="2">
        <v>0.82690611956969029</v>
      </c>
      <c r="N171" s="6">
        <v>27700000</v>
      </c>
      <c r="O171" s="7">
        <f>Base[[#This Row],[Coût_salarié]]*10^9*Base[[#This Row],[Risque]]*Base[[#This Row],[Prévalence]]*Base[[#This Row],[Part_coûts_salarié]]/Base[[#This Row],[Population_emploi]]</f>
        <v>8.4678902001058889E-2</v>
      </c>
      <c r="P171">
        <v>50</v>
      </c>
      <c r="Q171">
        <v>50</v>
      </c>
      <c r="R171" s="2">
        <v>9.9999999999999978E-2</v>
      </c>
      <c r="S171" s="2">
        <v>0.33340000000000003</v>
      </c>
      <c r="T171" s="4">
        <v>8.4823104693140805E-4</v>
      </c>
      <c r="U171" s="4">
        <f>IF(Bases_annexes!$F$5=0,16.6587111018772,0.77*Bases_annexes!$F$5/(IF(OR(ISBLANK('Données_d''entrée'!$E$44),'Données_d''entrée'!$E$44=0),35,'Données_d''entrée'!$E$44)*52))</f>
        <v>16.658711101877199</v>
      </c>
      <c r="V171" s="4">
        <v>20.125</v>
      </c>
      <c r="W1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1" s="4">
        <v>234.5</v>
      </c>
      <c r="Y171" s="4">
        <f>(Base[[#This Row],['[Maladies']Coûts_évités_par_salarié]]+Base[[#This Row],['[Travail']Coûts_évités_par_salarié]])/Base[[#This Row],[Budget_santé_salarié]]</f>
        <v>6.090478580183438E-4</v>
      </c>
      <c r="Z171" s="4">
        <v>0.8</v>
      </c>
      <c r="AA171" s="4">
        <f>Base[[#This Row],[Coût]]*Base[[#This Row],[Part_société_dépenses_santé]]</f>
        <v>1.4560000000000002</v>
      </c>
      <c r="AB171" s="4">
        <v>67635124</v>
      </c>
      <c r="AC171" s="4">
        <v>82.297079063317852</v>
      </c>
      <c r="AD171" s="4">
        <v>8.4823104693140805E-4</v>
      </c>
      <c r="AE171" s="4">
        <f>Base[[#This Row],['[SC']Prévalence_travail]]*Base[[#This Row],[Population_emploi]]</f>
        <v>23496.000000000004</v>
      </c>
      <c r="AF171" s="4">
        <f>Base[[#This Row],[Risque]]*Base[[#This Row],['[SC']Patients_en_emploi]]</f>
        <v>2930.7924644138848</v>
      </c>
      <c r="AG171" s="4">
        <v>0</v>
      </c>
      <c r="AH171" s="4">
        <f>IFERROR(Base[[#This Row],['[SC']Prestations]]/Base[[#This Row],['[SC']Patients_en_emploi]],0)</f>
        <v>0</v>
      </c>
      <c r="AI171" s="4">
        <v>51.7</v>
      </c>
      <c r="AJ1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1" s="4">
        <f>Base[[#This Row],['[SC']'[Travail']Coûts_évités]]/Base[[#This Row],[Population_emploi]]</f>
        <v>9.3675586399806443E-2</v>
      </c>
      <c r="AL171" s="4">
        <f>Base[[#This Row],[Coût_société]]*10^9*Base[[#This Row],[Risque]]*Base[[#This Row],[Prévalence]]*Base[[#This Row],[Part_coûts_salarié]]/Base[[#This Row],[Population_emploi]]</f>
        <v>0.96775888001210164</v>
      </c>
      <c r="AM171" s="4">
        <f>IF(Base[[#This Row],[Pathologie]]&lt;&gt;"Dépendance",0,14909.24243952)</f>
        <v>0</v>
      </c>
      <c r="AN171" s="4">
        <f>IF(Base[[#This Row],[Pathologie]]&lt;&gt;"Dépendance",0,1316000)</f>
        <v>0</v>
      </c>
      <c r="AO171" s="4">
        <f>IF(Base[[#This Row],[Pathologie]]&lt;&gt;"Dépendance",0,Base[[#This Row],['[SC']Coût_personne_dépendante]]*Base[[#This Row],['[SC']Nb_personnes_dépendantes]])</f>
        <v>0</v>
      </c>
      <c r="AP171" s="4">
        <f>IF(Base[[#This Row],[Pathologie]]&lt;&gt;"Dépendance",0,Base[[#This Row],['[SC']Coût_total_dépendance]]/Base[[#This Row],[Population_totale]])</f>
        <v>0</v>
      </c>
      <c r="AQ171" s="4">
        <f>IF(Base[[#This Row],[Pathologie]]&lt;&gt;"Dépendance",0,4.5)</f>
        <v>0</v>
      </c>
      <c r="AR171" s="4">
        <v>0.50393265050357905</v>
      </c>
      <c r="AS171" s="4">
        <f>Base[[#This Row],[Espérance_vie]]+Base[[#This Row],['[SC']Hausse_esp_de_vie]]-Base[[#This Row],['[SC']Durée_moyenne_dépendance_avt]]+Base[[#This Row],[Risque]]</f>
        <v>82.925747518401536</v>
      </c>
      <c r="AT1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1" s="4">
        <v>62.9</v>
      </c>
      <c r="AW171" s="4">
        <f t="shared" si="0"/>
        <v>336905600000</v>
      </c>
      <c r="AX171" s="4">
        <v>15049171</v>
      </c>
      <c r="AY171" s="4">
        <f>Base[[#This Row],['[SC']Budget_total_retraites]]/Base[[#This Row],['[SC']Nombre_de_retraités]]</f>
        <v>22386.987296509556</v>
      </c>
      <c r="AZ171" s="4">
        <f>Base[[#This Row],['[SC']Budget_par_retraité]]*Base[[#This Row],['[SC']Nb_personnes_dépendantes]]</f>
        <v>0</v>
      </c>
      <c r="BA171" s="4">
        <f>Base[[#This Row],['[SC']'[Dépendance']Coût_retraite_personnes_dépendantes]]/Base[[#This Row],[Population_totale]]</f>
        <v>0</v>
      </c>
      <c r="BB1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1" s="4">
        <f>Base[[#This Row],['[SC']'[Dépendance']Gains]]-Base[[#This Row],['[SC']'[Dépendance']Coûts]]</f>
        <v>0</v>
      </c>
      <c r="BD171" s="4">
        <f>IF(Base[[#This Row],[Pathologie]]&lt;&gt;"Mort prématurée",0,Base[[#This Row],[Risque]]*Base[[#This Row],[Prévalence]]*Base[[#This Row],[Population_totale]])</f>
        <v>0</v>
      </c>
      <c r="BE171" s="4">
        <v>52.74</v>
      </c>
      <c r="BF171" s="4">
        <f>Base[[#This Row],['[SC']Âge_moyen_retraite]]-Base[[#This Row],['[SC']'[Mort_prématurée']Âge_moyen_mort précoce]]</f>
        <v>10.159999999999997</v>
      </c>
      <c r="BG171" s="4">
        <f>Base[[#This Row],[Espérance_vie]]+Base[[#This Row],['[SC']Hausse_esp_de_vie]]-Base[[#This Row],['[SC']Âge_moyen_retraite]]</f>
        <v>19.90101171382144</v>
      </c>
      <c r="BH171" s="4">
        <v>106583.42676924677</v>
      </c>
      <c r="BI171" s="4">
        <v>97601.789429271477</v>
      </c>
      <c r="BJ171" s="4">
        <v>302038.31496633729</v>
      </c>
      <c r="BK171" s="4">
        <v>117293.58934859755</v>
      </c>
      <c r="BL171" s="4">
        <v>1523999.9999999995</v>
      </c>
      <c r="BM1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1" s="4">
        <v>294804.96027377353</v>
      </c>
      <c r="BO1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1" s="4">
        <f>(Base[[#This Row],['[SC']'[Mort_prématurée']Gains]]-Base[[#This Row],['[SC']'[Mort_prématurée']Coûts]])/Base[[#This Row],[Population_totale]]</f>
        <v>0</v>
      </c>
      <c r="BQ171" s="4">
        <f>IF(Base[[#This Row],[Pathologie]]&lt;&gt;"Mort prématurée",0,Base[[#This Row],[Risque]])</f>
        <v>0</v>
      </c>
      <c r="BR171" s="4">
        <v>2680</v>
      </c>
      <c r="BS1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1" s="4">
        <f>Base[[#This Row],[Prévalence_prod]]*(1-Base[[#This Row],[Risque]])*Base[[#This Row],[Durée_arrêt]]*Base[[#This Row],[Population_emploi]]</f>
        <v>413874.80165367055</v>
      </c>
      <c r="BV171" s="4">
        <f>Base[[#This Row],['[Prod']'[Absentéisme']Total_jours_absence_avant]]-Base[[#This Row],['[Prod']'[Absentéisme']Total_jours_absence_après]]</f>
        <v>58982.198346329387</v>
      </c>
      <c r="BW171" s="4">
        <f>IF(AND(Base[[#This Row],[Pathologie]]&lt;&gt;"Dépendance",Base[[#This Row],[Pathologie]]&lt;&gt;"Mort prématurée",Base[[#This Row],[Pathologie]]&lt;&gt;"Migraine"),0.0619,0)</f>
        <v>6.1899999999999997E-2</v>
      </c>
      <c r="BX171" s="4">
        <v>254</v>
      </c>
      <c r="BY171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1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1" s="4">
        <f>Base[[#This Row],[Prévalence_prod]]*Base[[#This Row],[Présentéisme]]*Base[[#This Row],['[Prod']Jours_ouvrés]]</f>
        <v>0</v>
      </c>
      <c r="CB171" s="4">
        <f>Base[[#This Row],[Prévalence_prod]]*(1-Base[[#This Row],[Risque]])*Base[[#This Row],[Présentéisme]]*Base[[#This Row],['[Prod']Jours_ouvrés]]</f>
        <v>0</v>
      </c>
      <c r="CC171" s="4">
        <f>Base[[#This Row],['[Prod']'[Présentéisme']Jours_avant]]-Base[[#This Row],['[Prod']'[Présentéisme']Jours_après]]</f>
        <v>0</v>
      </c>
      <c r="CD171" s="4">
        <f>Base[[#This Row],['[Prod']'[Présentéisme']Jours_gagnés]]/Base[[#This Row],['[Prod']Jours_ouvrés]]</f>
        <v>0</v>
      </c>
      <c r="CE171">
        <v>5.8333039429220801E-2</v>
      </c>
      <c r="CF171">
        <v>1.4658164114728258E-2</v>
      </c>
      <c r="CG171" s="4">
        <v>11</v>
      </c>
      <c r="CH171" s="4">
        <v>1.1624525375985588</v>
      </c>
      <c r="CI171" s="4">
        <v>3.7953151649308701E-2</v>
      </c>
      <c r="CJ171" s="4">
        <f>IF(Base[[#This Row],[Secteur]]&lt;&gt;"Moyenne",Base[[#This Row],['[Prod']'[Turnover']DMC_initiale]]*(1+Base[[#This Row],['[Prod']'[Turnover']Ecart_accidents]]*Base[[#This Row],['[Prod']Impact_motifs_turnover]]),CJ154*CI154+CJ155*CI155+CJ156*CI156+CJ157*CI157+CJ158*CI158+CJ159*CI159+CJ160*CI160+CJ161*CI161+CJ162*CI162+CJ163*CI163+CJ164*CI164+CJ165*CI165+CJ166*CI166+CJ167*CI167+CJ168*CI168+CJ169*CI169+CJ170*CI170)</f>
        <v>11.18743362078872</v>
      </c>
      <c r="CK171" s="4">
        <f>1/Base[[#This Row],['[Prod']'[Turnover']DMC_initiale]]</f>
        <v>9.0909090909090912E-2</v>
      </c>
      <c r="CL171" s="4">
        <f>1/Base[[#This Row],['[Prod']'[Turnover']DMC_finale]]</f>
        <v>8.9386005217655939E-2</v>
      </c>
    </row>
    <row r="172" spans="2:90" x14ac:dyDescent="0.25">
      <c r="B172" s="4" t="s">
        <v>326</v>
      </c>
      <c r="C172">
        <v>7.5</v>
      </c>
      <c r="D172" t="s">
        <v>84</v>
      </c>
      <c r="E172" t="s">
        <v>10</v>
      </c>
      <c r="F172" s="3">
        <v>0.12473580458009381</v>
      </c>
      <c r="G172" s="3">
        <v>0.17849999999999999</v>
      </c>
      <c r="H172" s="3">
        <v>8.4823104693140794E-4</v>
      </c>
      <c r="I172" s="3">
        <v>0</v>
      </c>
      <c r="J172" s="3">
        <v>1.82</v>
      </c>
      <c r="K172" s="3">
        <v>7.0000000000000007E-2</v>
      </c>
      <c r="L172" s="2">
        <f>Base[[#This Row],[Coût]]*Base[[#This Row],[Part_ménages_dépenses_santé]]</f>
        <v>0.12740000000000001</v>
      </c>
      <c r="M172" s="2">
        <v>0.82690611956969029</v>
      </c>
      <c r="N172" s="6">
        <v>27700000</v>
      </c>
      <c r="O172" s="7">
        <f>Base[[#This Row],[Coût_salarié]]*10^9*Base[[#This Row],[Risque]]*Base[[#This Row],[Prévalence]]*Base[[#This Row],[Part_coûts_salarié]]/Base[[#This Row],[Population_emploi]]</f>
        <v>8.4678902001058889E-2</v>
      </c>
      <c r="P172">
        <v>50</v>
      </c>
      <c r="Q172">
        <v>50</v>
      </c>
      <c r="R172" s="2">
        <v>9.9999999999999978E-2</v>
      </c>
      <c r="S172" s="2">
        <v>0.33340000000000003</v>
      </c>
      <c r="T172" s="4">
        <v>8.4823104693140805E-4</v>
      </c>
      <c r="U172" s="4">
        <f>IF(Bases_annexes!$F$5=0,16.6587111018772,0.77*Bases_annexes!$F$5/(IF(OR(ISBLANK('Données_d''entrée'!$E$44),'Données_d''entrée'!$E$44=0),35,'Données_d''entrée'!$E$44)*52))</f>
        <v>16.658711101877199</v>
      </c>
      <c r="V172" s="4">
        <v>20.125</v>
      </c>
      <c r="W1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2" s="4">
        <v>234.5</v>
      </c>
      <c r="Y172" s="4">
        <f>(Base[[#This Row],['[Maladies']Coûts_évités_par_salarié]]+Base[[#This Row],['[Travail']Coûts_évités_par_salarié]])/Base[[#This Row],[Budget_santé_salarié]]</f>
        <v>6.090478580183438E-4</v>
      </c>
      <c r="Z172" s="4">
        <v>0.8</v>
      </c>
      <c r="AA172" s="4">
        <f>Base[[#This Row],[Coût]]*Base[[#This Row],[Part_société_dépenses_santé]]</f>
        <v>1.4560000000000002</v>
      </c>
      <c r="AB172" s="4">
        <v>67635124</v>
      </c>
      <c r="AC172" s="4">
        <v>82.297079063317852</v>
      </c>
      <c r="AD172" s="4">
        <v>8.4823104693140805E-4</v>
      </c>
      <c r="AE172" s="4">
        <f>Base[[#This Row],['[SC']Prévalence_travail]]*Base[[#This Row],[Population_emploi]]</f>
        <v>23496.000000000004</v>
      </c>
      <c r="AF172" s="4">
        <f>Base[[#This Row],[Risque]]*Base[[#This Row],['[SC']Patients_en_emploi]]</f>
        <v>2930.7924644138848</v>
      </c>
      <c r="AG172" s="4">
        <v>0</v>
      </c>
      <c r="AH172" s="4">
        <f>IFERROR(Base[[#This Row],['[SC']Prestations]]/Base[[#This Row],['[SC']Patients_en_emploi]],0)</f>
        <v>0</v>
      </c>
      <c r="AI172" s="4">
        <v>51.7</v>
      </c>
      <c r="AJ1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2" s="4">
        <f>Base[[#This Row],['[SC']'[Travail']Coûts_évités]]/Base[[#This Row],[Population_emploi]]</f>
        <v>9.3675586399806443E-2</v>
      </c>
      <c r="AL172" s="4">
        <f>Base[[#This Row],[Coût_société]]*10^9*Base[[#This Row],[Risque]]*Base[[#This Row],[Prévalence]]*Base[[#This Row],[Part_coûts_salarié]]/Base[[#This Row],[Population_emploi]]</f>
        <v>0.96775888001210164</v>
      </c>
      <c r="AM172" s="4">
        <f>IF(Base[[#This Row],[Pathologie]]&lt;&gt;"Dépendance",0,14909.24243952)</f>
        <v>0</v>
      </c>
      <c r="AN172" s="4">
        <f>IF(Base[[#This Row],[Pathologie]]&lt;&gt;"Dépendance",0,1316000)</f>
        <v>0</v>
      </c>
      <c r="AO172" s="4">
        <f>IF(Base[[#This Row],[Pathologie]]&lt;&gt;"Dépendance",0,Base[[#This Row],['[SC']Coût_personne_dépendante]]*Base[[#This Row],['[SC']Nb_personnes_dépendantes]])</f>
        <v>0</v>
      </c>
      <c r="AP172" s="4">
        <f>IF(Base[[#This Row],[Pathologie]]&lt;&gt;"Dépendance",0,Base[[#This Row],['[SC']Coût_total_dépendance]]/Base[[#This Row],[Population_totale]])</f>
        <v>0</v>
      </c>
      <c r="AQ172" s="4">
        <f>IF(Base[[#This Row],[Pathologie]]&lt;&gt;"Dépendance",0,4.5)</f>
        <v>0</v>
      </c>
      <c r="AR172" s="4">
        <v>0.50393265050357905</v>
      </c>
      <c r="AS172" s="4">
        <f>Base[[#This Row],[Espérance_vie]]+Base[[#This Row],['[SC']Hausse_esp_de_vie]]-Base[[#This Row],['[SC']Durée_moyenne_dépendance_avt]]+Base[[#This Row],[Risque]]</f>
        <v>82.925747518401536</v>
      </c>
      <c r="AT1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2" s="4">
        <v>62.9</v>
      </c>
      <c r="AW172" s="4">
        <f t="shared" si="0"/>
        <v>336905600000</v>
      </c>
      <c r="AX172" s="4">
        <v>15049171</v>
      </c>
      <c r="AY172" s="4">
        <f>Base[[#This Row],['[SC']Budget_total_retraites]]/Base[[#This Row],['[SC']Nombre_de_retraités]]</f>
        <v>22386.987296509556</v>
      </c>
      <c r="AZ172" s="4">
        <f>Base[[#This Row],['[SC']Budget_par_retraité]]*Base[[#This Row],['[SC']Nb_personnes_dépendantes]]</f>
        <v>0</v>
      </c>
      <c r="BA172" s="4">
        <f>Base[[#This Row],['[SC']'[Dépendance']Coût_retraite_personnes_dépendantes]]/Base[[#This Row],[Population_totale]]</f>
        <v>0</v>
      </c>
      <c r="BB1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2" s="4">
        <f>Base[[#This Row],['[SC']'[Dépendance']Gains]]-Base[[#This Row],['[SC']'[Dépendance']Coûts]]</f>
        <v>0</v>
      </c>
      <c r="BD172" s="4">
        <f>IF(Base[[#This Row],[Pathologie]]&lt;&gt;"Mort prématurée",0,Base[[#This Row],[Risque]]*Base[[#This Row],[Prévalence]]*Base[[#This Row],[Population_totale]])</f>
        <v>0</v>
      </c>
      <c r="BE172" s="4">
        <v>52.74</v>
      </c>
      <c r="BF172" s="4">
        <f>Base[[#This Row],['[SC']Âge_moyen_retraite]]-Base[[#This Row],['[SC']'[Mort_prématurée']Âge_moyen_mort précoce]]</f>
        <v>10.159999999999997</v>
      </c>
      <c r="BG172" s="4">
        <f>Base[[#This Row],[Espérance_vie]]+Base[[#This Row],['[SC']Hausse_esp_de_vie]]-Base[[#This Row],['[SC']Âge_moyen_retraite]]</f>
        <v>19.90101171382144</v>
      </c>
      <c r="BH172" s="4">
        <v>106583.42676924677</v>
      </c>
      <c r="BI172" s="4">
        <v>97601.789429271477</v>
      </c>
      <c r="BJ172" s="4">
        <v>302038.31496633729</v>
      </c>
      <c r="BK172" s="4">
        <v>117293.58934859755</v>
      </c>
      <c r="BL172" s="4">
        <v>1523999.9999999995</v>
      </c>
      <c r="BM1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2" s="4">
        <v>294804.96027377353</v>
      </c>
      <c r="BO1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2" s="4">
        <f>(Base[[#This Row],['[SC']'[Mort_prématurée']Gains]]-Base[[#This Row],['[SC']'[Mort_prématurée']Coûts]])/Base[[#This Row],[Population_totale]]</f>
        <v>0</v>
      </c>
      <c r="BQ172" s="4">
        <f>IF(Base[[#This Row],[Pathologie]]&lt;&gt;"Mort prématurée",0,Base[[#This Row],[Risque]])</f>
        <v>0</v>
      </c>
      <c r="BR172" s="4">
        <v>2680</v>
      </c>
      <c r="BS1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2" s="4">
        <f>Base[[#This Row],[Prévalence_prod]]*(1-Base[[#This Row],[Risque]])*Base[[#This Row],[Durée_arrêt]]*Base[[#This Row],[Population_emploi]]</f>
        <v>413874.80165367055</v>
      </c>
      <c r="BV172" s="4">
        <f>Base[[#This Row],['[Prod']'[Absentéisme']Total_jours_absence_avant]]-Base[[#This Row],['[Prod']'[Absentéisme']Total_jours_absence_après]]</f>
        <v>58982.198346329387</v>
      </c>
      <c r="BW172" s="4">
        <f>IF(AND(Base[[#This Row],[Pathologie]]&lt;&gt;"Dépendance",Base[[#This Row],[Pathologie]]&lt;&gt;"Mort prématurée",Base[[#This Row],[Pathologie]]&lt;&gt;"Migraine"),0.0619,0)</f>
        <v>6.1899999999999997E-2</v>
      </c>
      <c r="BX172" s="4">
        <v>254</v>
      </c>
      <c r="BY172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2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2" s="4">
        <f>Base[[#This Row],[Prévalence_prod]]*Base[[#This Row],[Présentéisme]]*Base[[#This Row],['[Prod']Jours_ouvrés]]</f>
        <v>0</v>
      </c>
      <c r="CB172" s="4">
        <f>Base[[#This Row],[Prévalence_prod]]*(1-Base[[#This Row],[Risque]])*Base[[#This Row],[Présentéisme]]*Base[[#This Row],['[Prod']Jours_ouvrés]]</f>
        <v>0</v>
      </c>
      <c r="CC172" s="4">
        <f>Base[[#This Row],['[Prod']'[Présentéisme']Jours_avant]]-Base[[#This Row],['[Prod']'[Présentéisme']Jours_après]]</f>
        <v>0</v>
      </c>
      <c r="CD172" s="4">
        <f>Base[[#This Row],['[Prod']'[Présentéisme']Jours_gagnés]]/Base[[#This Row],['[Prod']Jours_ouvrés]]</f>
        <v>0</v>
      </c>
      <c r="CE172">
        <v>5.8333039429220801E-2</v>
      </c>
      <c r="CF172">
        <v>1.4658164114728258E-2</v>
      </c>
      <c r="CG172" s="4">
        <v>11</v>
      </c>
      <c r="CH172" s="4">
        <v>0.19346787829229528</v>
      </c>
      <c r="CI172" s="4">
        <v>2.8126549817953091E-2</v>
      </c>
      <c r="CJ172" s="4">
        <f>IF(Base[[#This Row],[Secteur]]&lt;&gt;"Moyenne",Base[[#This Row],['[Prod']'[Turnover']DMC_initiale]]*(1+Base[[#This Row],['[Prod']'[Turnover']Ecart_accidents]]*Base[[#This Row],['[Prod']Impact_motifs_turnover]]),CJ155*CI155+CJ156*CI156+CJ157*CI157+CJ158*CI158+CJ159*CI159+CJ160*CI160+CJ161*CI161+CJ162*CI162+CJ163*CI163+CJ164*CI164+CJ165*CI165+CJ166*CI166+CJ167*CI167+CJ168*CI168+CJ169*CI169+CJ170*CI170+CJ171*CI171)</f>
        <v>11.031194723020304</v>
      </c>
      <c r="CK172" s="4">
        <f>1/Base[[#This Row],['[Prod']'[Turnover']DMC_initiale]]</f>
        <v>9.0909090909090912E-2</v>
      </c>
      <c r="CL172" s="4">
        <f>1/Base[[#This Row],['[Prod']'[Turnover']DMC_finale]]</f>
        <v>9.065201232584201E-2</v>
      </c>
    </row>
    <row r="173" spans="2:90" x14ac:dyDescent="0.25">
      <c r="B173" s="4" t="s">
        <v>327</v>
      </c>
      <c r="C173">
        <v>7.5</v>
      </c>
      <c r="D173" t="s">
        <v>84</v>
      </c>
      <c r="E173" t="s">
        <v>10</v>
      </c>
      <c r="F173" s="3">
        <v>0.12473580458009381</v>
      </c>
      <c r="G173" s="3">
        <v>0.17849999999999999</v>
      </c>
      <c r="H173" s="3">
        <v>8.4823104693140794E-4</v>
      </c>
      <c r="I173" s="3">
        <v>0</v>
      </c>
      <c r="J173" s="3">
        <v>1.82</v>
      </c>
      <c r="K173" s="3">
        <v>7.0000000000000007E-2</v>
      </c>
      <c r="L173" s="2">
        <f>Base[[#This Row],[Coût]]*Base[[#This Row],[Part_ménages_dépenses_santé]]</f>
        <v>0.12740000000000001</v>
      </c>
      <c r="M173" s="2">
        <v>0.82690611956969029</v>
      </c>
      <c r="N173" s="6">
        <v>27700000</v>
      </c>
      <c r="O173" s="7">
        <f>Base[[#This Row],[Coût_salarié]]*10^9*Base[[#This Row],[Risque]]*Base[[#This Row],[Prévalence]]*Base[[#This Row],[Part_coûts_salarié]]/Base[[#This Row],[Population_emploi]]</f>
        <v>8.4678902001058889E-2</v>
      </c>
      <c r="P173">
        <v>50</v>
      </c>
      <c r="Q173">
        <v>50</v>
      </c>
      <c r="R173" s="2">
        <v>9.9999999999999978E-2</v>
      </c>
      <c r="S173" s="2">
        <v>0.33340000000000003</v>
      </c>
      <c r="T173" s="4">
        <v>8.4823104693140805E-4</v>
      </c>
      <c r="U173" s="4">
        <f>IF(Bases_annexes!$F$5=0,16.6587111018772,0.77*Bases_annexes!$F$5/(IF(OR(ISBLANK('Données_d''entrée'!$E$44),'Données_d''entrée'!$E$44=0),35,'Données_d''entrée'!$E$44)*52))</f>
        <v>16.658711101877199</v>
      </c>
      <c r="V173" s="4">
        <v>20.125</v>
      </c>
      <c r="W1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3" s="4">
        <v>234.5</v>
      </c>
      <c r="Y173" s="4">
        <f>(Base[[#This Row],['[Maladies']Coûts_évités_par_salarié]]+Base[[#This Row],['[Travail']Coûts_évités_par_salarié]])/Base[[#This Row],[Budget_santé_salarié]]</f>
        <v>6.090478580183438E-4</v>
      </c>
      <c r="Z173" s="4">
        <v>0.8</v>
      </c>
      <c r="AA173" s="4">
        <f>Base[[#This Row],[Coût]]*Base[[#This Row],[Part_société_dépenses_santé]]</f>
        <v>1.4560000000000002</v>
      </c>
      <c r="AB173" s="4">
        <v>67635124</v>
      </c>
      <c r="AC173" s="4">
        <v>82.297079063317852</v>
      </c>
      <c r="AD173" s="4">
        <v>8.4823104693140805E-4</v>
      </c>
      <c r="AE173" s="4">
        <f>Base[[#This Row],['[SC']Prévalence_travail]]*Base[[#This Row],[Population_emploi]]</f>
        <v>23496.000000000004</v>
      </c>
      <c r="AF173" s="4">
        <f>Base[[#This Row],[Risque]]*Base[[#This Row],['[SC']Patients_en_emploi]]</f>
        <v>2930.7924644138848</v>
      </c>
      <c r="AG173" s="4">
        <v>0</v>
      </c>
      <c r="AH173" s="4">
        <f>IFERROR(Base[[#This Row],['[SC']Prestations]]/Base[[#This Row],['[SC']Patients_en_emploi]],0)</f>
        <v>0</v>
      </c>
      <c r="AI173" s="4">
        <v>51.7</v>
      </c>
      <c r="AJ1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3" s="4">
        <f>Base[[#This Row],['[SC']'[Travail']Coûts_évités]]/Base[[#This Row],[Population_emploi]]</f>
        <v>9.3675586399806443E-2</v>
      </c>
      <c r="AL173" s="4">
        <f>Base[[#This Row],[Coût_société]]*10^9*Base[[#This Row],[Risque]]*Base[[#This Row],[Prévalence]]*Base[[#This Row],[Part_coûts_salarié]]/Base[[#This Row],[Population_emploi]]</f>
        <v>0.96775888001210164</v>
      </c>
      <c r="AM173" s="4">
        <f>IF(Base[[#This Row],[Pathologie]]&lt;&gt;"Dépendance",0,14909.24243952)</f>
        <v>0</v>
      </c>
      <c r="AN173" s="4">
        <f>IF(Base[[#This Row],[Pathologie]]&lt;&gt;"Dépendance",0,1316000)</f>
        <v>0</v>
      </c>
      <c r="AO173" s="4">
        <f>IF(Base[[#This Row],[Pathologie]]&lt;&gt;"Dépendance",0,Base[[#This Row],['[SC']Coût_personne_dépendante]]*Base[[#This Row],['[SC']Nb_personnes_dépendantes]])</f>
        <v>0</v>
      </c>
      <c r="AP173" s="4">
        <f>IF(Base[[#This Row],[Pathologie]]&lt;&gt;"Dépendance",0,Base[[#This Row],['[SC']Coût_total_dépendance]]/Base[[#This Row],[Population_totale]])</f>
        <v>0</v>
      </c>
      <c r="AQ173" s="4">
        <f>IF(Base[[#This Row],[Pathologie]]&lt;&gt;"Dépendance",0,4.5)</f>
        <v>0</v>
      </c>
      <c r="AR173" s="4">
        <v>0.50393265050357905</v>
      </c>
      <c r="AS173" s="4">
        <f>Base[[#This Row],[Espérance_vie]]+Base[[#This Row],['[SC']Hausse_esp_de_vie]]-Base[[#This Row],['[SC']Durée_moyenne_dépendance_avt]]+Base[[#This Row],[Risque]]</f>
        <v>82.925747518401536</v>
      </c>
      <c r="AT1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3" s="4">
        <v>62.9</v>
      </c>
      <c r="AW173" s="4">
        <f t="shared" si="0"/>
        <v>336905600000</v>
      </c>
      <c r="AX173" s="4">
        <v>15049171</v>
      </c>
      <c r="AY173" s="4">
        <f>Base[[#This Row],['[SC']Budget_total_retraites]]/Base[[#This Row],['[SC']Nombre_de_retraités]]</f>
        <v>22386.987296509556</v>
      </c>
      <c r="AZ173" s="4">
        <f>Base[[#This Row],['[SC']Budget_par_retraité]]*Base[[#This Row],['[SC']Nb_personnes_dépendantes]]</f>
        <v>0</v>
      </c>
      <c r="BA173" s="4">
        <f>Base[[#This Row],['[SC']'[Dépendance']Coût_retraite_personnes_dépendantes]]/Base[[#This Row],[Population_totale]]</f>
        <v>0</v>
      </c>
      <c r="BB1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3" s="4">
        <f>Base[[#This Row],['[SC']'[Dépendance']Gains]]-Base[[#This Row],['[SC']'[Dépendance']Coûts]]</f>
        <v>0</v>
      </c>
      <c r="BD173" s="4">
        <f>IF(Base[[#This Row],[Pathologie]]&lt;&gt;"Mort prématurée",0,Base[[#This Row],[Risque]]*Base[[#This Row],[Prévalence]]*Base[[#This Row],[Population_totale]])</f>
        <v>0</v>
      </c>
      <c r="BE173" s="4">
        <v>52.74</v>
      </c>
      <c r="BF173" s="4">
        <f>Base[[#This Row],['[SC']Âge_moyen_retraite]]-Base[[#This Row],['[SC']'[Mort_prématurée']Âge_moyen_mort précoce]]</f>
        <v>10.159999999999997</v>
      </c>
      <c r="BG173" s="4">
        <f>Base[[#This Row],[Espérance_vie]]+Base[[#This Row],['[SC']Hausse_esp_de_vie]]-Base[[#This Row],['[SC']Âge_moyen_retraite]]</f>
        <v>19.90101171382144</v>
      </c>
      <c r="BH173" s="4">
        <v>106583.42676924677</v>
      </c>
      <c r="BI173" s="4">
        <v>97601.789429271477</v>
      </c>
      <c r="BJ173" s="4">
        <v>302038.31496633729</v>
      </c>
      <c r="BK173" s="4">
        <v>117293.58934859755</v>
      </c>
      <c r="BL173" s="4">
        <v>1523999.9999999995</v>
      </c>
      <c r="BM1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3" s="4">
        <v>294804.96027377353</v>
      </c>
      <c r="BO1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3" s="4">
        <f>(Base[[#This Row],['[SC']'[Mort_prématurée']Gains]]-Base[[#This Row],['[SC']'[Mort_prématurée']Coûts]])/Base[[#This Row],[Population_totale]]</f>
        <v>0</v>
      </c>
      <c r="BQ173" s="4">
        <f>IF(Base[[#This Row],[Pathologie]]&lt;&gt;"Mort prématurée",0,Base[[#This Row],[Risque]])</f>
        <v>0</v>
      </c>
      <c r="BR173" s="4">
        <v>2680</v>
      </c>
      <c r="BS1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3" s="4">
        <f>Base[[#This Row],[Prévalence_prod]]*(1-Base[[#This Row],[Risque]])*Base[[#This Row],[Durée_arrêt]]*Base[[#This Row],[Population_emploi]]</f>
        <v>413874.80165367055</v>
      </c>
      <c r="BV173" s="4">
        <f>Base[[#This Row],['[Prod']'[Absentéisme']Total_jours_absence_avant]]-Base[[#This Row],['[Prod']'[Absentéisme']Total_jours_absence_après]]</f>
        <v>58982.198346329387</v>
      </c>
      <c r="BW173" s="4">
        <f>IF(AND(Base[[#This Row],[Pathologie]]&lt;&gt;"Dépendance",Base[[#This Row],[Pathologie]]&lt;&gt;"Mort prématurée",Base[[#This Row],[Pathologie]]&lt;&gt;"Migraine"),0.0619,0)</f>
        <v>6.1899999999999997E-2</v>
      </c>
      <c r="BX173" s="4">
        <v>254</v>
      </c>
      <c r="BY17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3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3" s="4">
        <f>Base[[#This Row],[Prévalence_prod]]*Base[[#This Row],[Présentéisme]]*Base[[#This Row],['[Prod']Jours_ouvrés]]</f>
        <v>0</v>
      </c>
      <c r="CB173" s="4">
        <f>Base[[#This Row],[Prévalence_prod]]*(1-Base[[#This Row],[Risque]])*Base[[#This Row],[Présentéisme]]*Base[[#This Row],['[Prod']Jours_ouvrés]]</f>
        <v>0</v>
      </c>
      <c r="CC173" s="4">
        <f>Base[[#This Row],['[Prod']'[Présentéisme']Jours_avant]]-Base[[#This Row],['[Prod']'[Présentéisme']Jours_après]]</f>
        <v>0</v>
      </c>
      <c r="CD173" s="4">
        <f>Base[[#This Row],['[Prod']'[Présentéisme']Jours_gagnés]]/Base[[#This Row],['[Prod']Jours_ouvrés]]</f>
        <v>0</v>
      </c>
      <c r="CE173">
        <v>5.8333039429220801E-2</v>
      </c>
      <c r="CF173">
        <v>1.4658164114728258E-2</v>
      </c>
      <c r="CG173" s="4">
        <v>11</v>
      </c>
      <c r="CH173" s="4">
        <v>0.13729577077682142</v>
      </c>
      <c r="CI173" s="4">
        <v>1.373516710817578E-2</v>
      </c>
      <c r="CJ173" s="4">
        <f>IF(Base[[#This Row],[Secteur]]&lt;&gt;"Moyenne",Base[[#This Row],['[Prod']'[Turnover']DMC_initiale]]*(1+Base[[#This Row],['[Prod']'[Turnover']Ecart_accidents]]*Base[[#This Row],['[Prod']Impact_motifs_turnover]]),CJ156*CI156+CJ157*CI157+CJ158*CI158+CJ159*CI159+CJ160*CI160+CJ161*CI161+CJ162*CI162+CJ163*CI163+CJ164*CI164+CJ165*CI165+CJ166*CI166+CJ167*CI167+CJ168*CI168+CJ169*CI169+CJ170*CI170+CJ171*CI171+CJ172*CI172)</f>
        <v>11.022137543343351</v>
      </c>
      <c r="CK173" s="4">
        <f>1/Base[[#This Row],['[Prod']'[Turnover']DMC_initiale]]</f>
        <v>9.0909090909090912E-2</v>
      </c>
      <c r="CL173" s="4">
        <f>1/Base[[#This Row],['[Prod']'[Turnover']DMC_finale]]</f>
        <v>9.0726503463380792E-2</v>
      </c>
    </row>
    <row r="174" spans="2:90" x14ac:dyDescent="0.25">
      <c r="B174" s="4" t="s">
        <v>328</v>
      </c>
      <c r="C174">
        <v>7.5</v>
      </c>
      <c r="D174" t="s">
        <v>84</v>
      </c>
      <c r="E174" t="s">
        <v>10</v>
      </c>
      <c r="F174" s="3">
        <v>0.12473580458009381</v>
      </c>
      <c r="G174" s="3">
        <v>0.17849999999999999</v>
      </c>
      <c r="H174" s="3">
        <v>8.4823104693140794E-4</v>
      </c>
      <c r="I174" s="3">
        <v>0</v>
      </c>
      <c r="J174" s="3">
        <v>1.82</v>
      </c>
      <c r="K174" s="3">
        <v>7.0000000000000007E-2</v>
      </c>
      <c r="L174" s="2">
        <f>Base[[#This Row],[Coût]]*Base[[#This Row],[Part_ménages_dépenses_santé]]</f>
        <v>0.12740000000000001</v>
      </c>
      <c r="M174" s="2">
        <v>0.82690611956969029</v>
      </c>
      <c r="N174" s="6">
        <v>27700000</v>
      </c>
      <c r="O174" s="7">
        <f>Base[[#This Row],[Coût_salarié]]*10^9*Base[[#This Row],[Risque]]*Base[[#This Row],[Prévalence]]*Base[[#This Row],[Part_coûts_salarié]]/Base[[#This Row],[Population_emploi]]</f>
        <v>8.4678902001058889E-2</v>
      </c>
      <c r="P174">
        <v>50</v>
      </c>
      <c r="Q174">
        <v>50</v>
      </c>
      <c r="R174" s="2">
        <v>9.9999999999999978E-2</v>
      </c>
      <c r="S174" s="2">
        <v>0.33340000000000003</v>
      </c>
      <c r="T174" s="4">
        <v>8.4823104693140805E-4</v>
      </c>
      <c r="U174" s="4">
        <f>IF(Bases_annexes!$F$5=0,16.6587111018772,0.77*Bases_annexes!$F$5/(IF(OR(ISBLANK('Données_d''entrée'!$E$44),'Données_d''entrée'!$E$44=0),35,'Données_d''entrée'!$E$44)*52))</f>
        <v>16.658711101877199</v>
      </c>
      <c r="V174" s="4">
        <v>20.125</v>
      </c>
      <c r="W1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4" s="4">
        <v>234.5</v>
      </c>
      <c r="Y174" s="4">
        <f>(Base[[#This Row],['[Maladies']Coûts_évités_par_salarié]]+Base[[#This Row],['[Travail']Coûts_évités_par_salarié]])/Base[[#This Row],[Budget_santé_salarié]]</f>
        <v>6.090478580183438E-4</v>
      </c>
      <c r="Z174" s="4">
        <v>0.8</v>
      </c>
      <c r="AA174" s="4">
        <f>Base[[#This Row],[Coût]]*Base[[#This Row],[Part_société_dépenses_santé]]</f>
        <v>1.4560000000000002</v>
      </c>
      <c r="AB174" s="4">
        <v>67635124</v>
      </c>
      <c r="AC174" s="4">
        <v>82.297079063317852</v>
      </c>
      <c r="AD174" s="4">
        <v>8.4823104693140805E-4</v>
      </c>
      <c r="AE174" s="4">
        <f>Base[[#This Row],['[SC']Prévalence_travail]]*Base[[#This Row],[Population_emploi]]</f>
        <v>23496.000000000004</v>
      </c>
      <c r="AF174" s="4">
        <f>Base[[#This Row],[Risque]]*Base[[#This Row],['[SC']Patients_en_emploi]]</f>
        <v>2930.7924644138848</v>
      </c>
      <c r="AG174" s="4">
        <v>0</v>
      </c>
      <c r="AH174" s="4">
        <f>IFERROR(Base[[#This Row],['[SC']Prestations]]/Base[[#This Row],['[SC']Patients_en_emploi]],0)</f>
        <v>0</v>
      </c>
      <c r="AI174" s="4">
        <v>51.7</v>
      </c>
      <c r="AJ1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4" s="4">
        <f>Base[[#This Row],['[SC']'[Travail']Coûts_évités]]/Base[[#This Row],[Population_emploi]]</f>
        <v>9.3675586399806443E-2</v>
      </c>
      <c r="AL174" s="4">
        <f>Base[[#This Row],[Coût_société]]*10^9*Base[[#This Row],[Risque]]*Base[[#This Row],[Prévalence]]*Base[[#This Row],[Part_coûts_salarié]]/Base[[#This Row],[Population_emploi]]</f>
        <v>0.96775888001210164</v>
      </c>
      <c r="AM174" s="4">
        <f>IF(Base[[#This Row],[Pathologie]]&lt;&gt;"Dépendance",0,14909.24243952)</f>
        <v>0</v>
      </c>
      <c r="AN174" s="4">
        <f>IF(Base[[#This Row],[Pathologie]]&lt;&gt;"Dépendance",0,1316000)</f>
        <v>0</v>
      </c>
      <c r="AO174" s="4">
        <f>IF(Base[[#This Row],[Pathologie]]&lt;&gt;"Dépendance",0,Base[[#This Row],['[SC']Coût_personne_dépendante]]*Base[[#This Row],['[SC']Nb_personnes_dépendantes]])</f>
        <v>0</v>
      </c>
      <c r="AP174" s="4">
        <f>IF(Base[[#This Row],[Pathologie]]&lt;&gt;"Dépendance",0,Base[[#This Row],['[SC']Coût_total_dépendance]]/Base[[#This Row],[Population_totale]])</f>
        <v>0</v>
      </c>
      <c r="AQ174" s="4">
        <f>IF(Base[[#This Row],[Pathologie]]&lt;&gt;"Dépendance",0,4.5)</f>
        <v>0</v>
      </c>
      <c r="AR174" s="4">
        <v>0.50393265050357905</v>
      </c>
      <c r="AS174" s="4">
        <f>Base[[#This Row],[Espérance_vie]]+Base[[#This Row],['[SC']Hausse_esp_de_vie]]-Base[[#This Row],['[SC']Durée_moyenne_dépendance_avt]]+Base[[#This Row],[Risque]]</f>
        <v>82.925747518401536</v>
      </c>
      <c r="AT1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4" s="4">
        <v>62.9</v>
      </c>
      <c r="AW174" s="4">
        <f t="shared" si="0"/>
        <v>336905600000</v>
      </c>
      <c r="AX174" s="4">
        <v>15049171</v>
      </c>
      <c r="AY174" s="4">
        <f>Base[[#This Row],['[SC']Budget_total_retraites]]/Base[[#This Row],['[SC']Nombre_de_retraités]]</f>
        <v>22386.987296509556</v>
      </c>
      <c r="AZ174" s="4">
        <f>Base[[#This Row],['[SC']Budget_par_retraité]]*Base[[#This Row],['[SC']Nb_personnes_dépendantes]]</f>
        <v>0</v>
      </c>
      <c r="BA174" s="4">
        <f>Base[[#This Row],['[SC']'[Dépendance']Coût_retraite_personnes_dépendantes]]/Base[[#This Row],[Population_totale]]</f>
        <v>0</v>
      </c>
      <c r="BB1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4" s="4">
        <f>Base[[#This Row],['[SC']'[Dépendance']Gains]]-Base[[#This Row],['[SC']'[Dépendance']Coûts]]</f>
        <v>0</v>
      </c>
      <c r="BD174" s="4">
        <f>IF(Base[[#This Row],[Pathologie]]&lt;&gt;"Mort prématurée",0,Base[[#This Row],[Risque]]*Base[[#This Row],[Prévalence]]*Base[[#This Row],[Population_totale]])</f>
        <v>0</v>
      </c>
      <c r="BE174" s="4">
        <v>52.74</v>
      </c>
      <c r="BF174" s="4">
        <f>Base[[#This Row],['[SC']Âge_moyen_retraite]]-Base[[#This Row],['[SC']'[Mort_prématurée']Âge_moyen_mort précoce]]</f>
        <v>10.159999999999997</v>
      </c>
      <c r="BG174" s="4">
        <f>Base[[#This Row],[Espérance_vie]]+Base[[#This Row],['[SC']Hausse_esp_de_vie]]-Base[[#This Row],['[SC']Âge_moyen_retraite]]</f>
        <v>19.90101171382144</v>
      </c>
      <c r="BH174" s="4">
        <v>106583.42676924677</v>
      </c>
      <c r="BI174" s="4">
        <v>97601.789429271477</v>
      </c>
      <c r="BJ174" s="4">
        <v>302038.31496633729</v>
      </c>
      <c r="BK174" s="4">
        <v>117293.58934859755</v>
      </c>
      <c r="BL174" s="4">
        <v>1523999.9999999995</v>
      </c>
      <c r="BM1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4" s="4">
        <v>294804.96027377353</v>
      </c>
      <c r="BO1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4" s="4">
        <f>(Base[[#This Row],['[SC']'[Mort_prématurée']Gains]]-Base[[#This Row],['[SC']'[Mort_prématurée']Coûts]])/Base[[#This Row],[Population_totale]]</f>
        <v>0</v>
      </c>
      <c r="BQ174" s="4">
        <f>IF(Base[[#This Row],[Pathologie]]&lt;&gt;"Mort prématurée",0,Base[[#This Row],[Risque]])</f>
        <v>0</v>
      </c>
      <c r="BR174" s="4">
        <v>2680</v>
      </c>
      <c r="BS1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4" s="4">
        <f>Base[[#This Row],[Prévalence_prod]]*(1-Base[[#This Row],[Risque]])*Base[[#This Row],[Durée_arrêt]]*Base[[#This Row],[Population_emploi]]</f>
        <v>413874.80165367055</v>
      </c>
      <c r="BV174" s="4">
        <f>Base[[#This Row],['[Prod']'[Absentéisme']Total_jours_absence_avant]]-Base[[#This Row],['[Prod']'[Absentéisme']Total_jours_absence_après]]</f>
        <v>58982.198346329387</v>
      </c>
      <c r="BW174" s="4">
        <f>IF(AND(Base[[#This Row],[Pathologie]]&lt;&gt;"Dépendance",Base[[#This Row],[Pathologie]]&lt;&gt;"Mort prématurée",Base[[#This Row],[Pathologie]]&lt;&gt;"Migraine"),0.0619,0)</f>
        <v>6.1899999999999997E-2</v>
      </c>
      <c r="BX174" s="4">
        <v>254</v>
      </c>
      <c r="BY17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4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4" s="4">
        <f>Base[[#This Row],[Prévalence_prod]]*Base[[#This Row],[Présentéisme]]*Base[[#This Row],['[Prod']Jours_ouvrés]]</f>
        <v>0</v>
      </c>
      <c r="CB174" s="4">
        <f>Base[[#This Row],[Prévalence_prod]]*(1-Base[[#This Row],[Risque]])*Base[[#This Row],[Présentéisme]]*Base[[#This Row],['[Prod']Jours_ouvrés]]</f>
        <v>0</v>
      </c>
      <c r="CC174" s="4">
        <f>Base[[#This Row],['[Prod']'[Présentéisme']Jours_avant]]-Base[[#This Row],['[Prod']'[Présentéisme']Jours_après]]</f>
        <v>0</v>
      </c>
      <c r="CD174" s="4">
        <f>Base[[#This Row],['[Prod']'[Présentéisme']Jours_gagnés]]/Base[[#This Row],['[Prod']Jours_ouvrés]]</f>
        <v>0</v>
      </c>
      <c r="CE174">
        <v>5.8333039429220801E-2</v>
      </c>
      <c r="CF174">
        <v>1.4658164114728258E-2</v>
      </c>
      <c r="CG174" s="4">
        <v>11</v>
      </c>
      <c r="CH174" s="4">
        <v>0.60922528771817497</v>
      </c>
      <c r="CI174" s="4">
        <v>3.8601807163334179E-3</v>
      </c>
      <c r="CJ174" s="4">
        <f>IF(Base[[#This Row],[Secteur]]&lt;&gt;"Moyenne",Base[[#This Row],['[Prod']'[Turnover']DMC_initiale]]*(1+Base[[#This Row],['[Prod']'[Turnover']Ecart_accidents]]*Base[[#This Row],['[Prod']Impact_motifs_turnover]]),CJ157*CI157+CJ158*CI158+CJ159*CI159+CJ160*CI160+CJ161*CI161+CJ162*CI162+CJ163*CI163+CJ164*CI164+CJ165*CI165+CJ166*CI166+CJ167*CI167+CJ168*CI168+CJ169*CI169+CJ170*CI170+CJ171*CI171+CJ172*CI172+CJ173*CI173)</f>
        <v>11.098231366752371</v>
      </c>
      <c r="CK174" s="4">
        <f>1/Base[[#This Row],['[Prod']'[Turnover']DMC_initiale]]</f>
        <v>9.0909090909090912E-2</v>
      </c>
      <c r="CL174" s="4">
        <f>1/Base[[#This Row],['[Prod']'[Turnover']DMC_finale]]</f>
        <v>9.0104447001867274E-2</v>
      </c>
    </row>
    <row r="175" spans="2:90" x14ac:dyDescent="0.25">
      <c r="B175" s="4" t="s">
        <v>329</v>
      </c>
      <c r="C175">
        <v>7.5</v>
      </c>
      <c r="D175" t="s">
        <v>84</v>
      </c>
      <c r="E175" t="s">
        <v>10</v>
      </c>
      <c r="F175" s="3">
        <v>0.12473580458009381</v>
      </c>
      <c r="G175" s="3">
        <v>0.17849999999999999</v>
      </c>
      <c r="H175" s="3">
        <v>8.4823104693140794E-4</v>
      </c>
      <c r="I175" s="3">
        <v>0</v>
      </c>
      <c r="J175" s="3">
        <v>1.82</v>
      </c>
      <c r="K175" s="3">
        <v>7.0000000000000007E-2</v>
      </c>
      <c r="L175" s="2">
        <f>Base[[#This Row],[Coût]]*Base[[#This Row],[Part_ménages_dépenses_santé]]</f>
        <v>0.12740000000000001</v>
      </c>
      <c r="M175" s="2">
        <v>0.82690611956969029</v>
      </c>
      <c r="N175" s="6">
        <v>27700000</v>
      </c>
      <c r="O175" s="7">
        <f>Base[[#This Row],[Coût_salarié]]*10^9*Base[[#This Row],[Risque]]*Base[[#This Row],[Prévalence]]*Base[[#This Row],[Part_coûts_salarié]]/Base[[#This Row],[Population_emploi]]</f>
        <v>8.4678902001058889E-2</v>
      </c>
      <c r="P175">
        <v>50</v>
      </c>
      <c r="Q175">
        <v>50</v>
      </c>
      <c r="R175" s="2">
        <v>9.9999999999999978E-2</v>
      </c>
      <c r="S175" s="2">
        <v>0.33340000000000003</v>
      </c>
      <c r="T175" s="4">
        <v>8.4823104693140805E-4</v>
      </c>
      <c r="U175" s="4">
        <f>IF(Bases_annexes!$F$5=0,16.6587111018772,0.77*Bases_annexes!$F$5/(IF(OR(ISBLANK('Données_d''entrée'!$E$44),'Données_d''entrée'!$E$44=0),35,'Données_d''entrée'!$E$44)*52))</f>
        <v>16.658711101877199</v>
      </c>
      <c r="V175" s="4">
        <v>20.125</v>
      </c>
      <c r="W1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5" s="4">
        <v>234.5</v>
      </c>
      <c r="Y175" s="4">
        <f>(Base[[#This Row],['[Maladies']Coûts_évités_par_salarié]]+Base[[#This Row],['[Travail']Coûts_évités_par_salarié]])/Base[[#This Row],[Budget_santé_salarié]]</f>
        <v>6.090478580183438E-4</v>
      </c>
      <c r="Z175" s="4">
        <v>0.8</v>
      </c>
      <c r="AA175" s="4">
        <f>Base[[#This Row],[Coût]]*Base[[#This Row],[Part_société_dépenses_santé]]</f>
        <v>1.4560000000000002</v>
      </c>
      <c r="AB175" s="4">
        <v>67635124</v>
      </c>
      <c r="AC175" s="4">
        <v>82.297079063317852</v>
      </c>
      <c r="AD175" s="4">
        <v>8.4823104693140805E-4</v>
      </c>
      <c r="AE175" s="4">
        <f>Base[[#This Row],['[SC']Prévalence_travail]]*Base[[#This Row],[Population_emploi]]</f>
        <v>23496.000000000004</v>
      </c>
      <c r="AF175" s="4">
        <f>Base[[#This Row],[Risque]]*Base[[#This Row],['[SC']Patients_en_emploi]]</f>
        <v>2930.7924644138848</v>
      </c>
      <c r="AG175" s="4">
        <v>0</v>
      </c>
      <c r="AH175" s="4">
        <f>IFERROR(Base[[#This Row],['[SC']Prestations]]/Base[[#This Row],['[SC']Patients_en_emploi]],0)</f>
        <v>0</v>
      </c>
      <c r="AI175" s="4">
        <v>51.7</v>
      </c>
      <c r="AJ1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5" s="4">
        <f>Base[[#This Row],['[SC']'[Travail']Coûts_évités]]/Base[[#This Row],[Population_emploi]]</f>
        <v>9.3675586399806443E-2</v>
      </c>
      <c r="AL175" s="4">
        <f>Base[[#This Row],[Coût_société]]*10^9*Base[[#This Row],[Risque]]*Base[[#This Row],[Prévalence]]*Base[[#This Row],[Part_coûts_salarié]]/Base[[#This Row],[Population_emploi]]</f>
        <v>0.96775888001210164</v>
      </c>
      <c r="AM175" s="4">
        <f>IF(Base[[#This Row],[Pathologie]]&lt;&gt;"Dépendance",0,14909.24243952)</f>
        <v>0</v>
      </c>
      <c r="AN175" s="4">
        <f>IF(Base[[#This Row],[Pathologie]]&lt;&gt;"Dépendance",0,1316000)</f>
        <v>0</v>
      </c>
      <c r="AO175" s="4">
        <f>IF(Base[[#This Row],[Pathologie]]&lt;&gt;"Dépendance",0,Base[[#This Row],['[SC']Coût_personne_dépendante]]*Base[[#This Row],['[SC']Nb_personnes_dépendantes]])</f>
        <v>0</v>
      </c>
      <c r="AP175" s="4">
        <f>IF(Base[[#This Row],[Pathologie]]&lt;&gt;"Dépendance",0,Base[[#This Row],['[SC']Coût_total_dépendance]]/Base[[#This Row],[Population_totale]])</f>
        <v>0</v>
      </c>
      <c r="AQ175" s="4">
        <f>IF(Base[[#This Row],[Pathologie]]&lt;&gt;"Dépendance",0,4.5)</f>
        <v>0</v>
      </c>
      <c r="AR175" s="4">
        <v>0.50393265050357905</v>
      </c>
      <c r="AS175" s="4">
        <f>Base[[#This Row],[Espérance_vie]]+Base[[#This Row],['[SC']Hausse_esp_de_vie]]-Base[[#This Row],['[SC']Durée_moyenne_dépendance_avt]]+Base[[#This Row],[Risque]]</f>
        <v>82.925747518401536</v>
      </c>
      <c r="AT1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5" s="4">
        <v>62.9</v>
      </c>
      <c r="AW175" s="4">
        <f t="shared" si="0"/>
        <v>336905600000</v>
      </c>
      <c r="AX175" s="4">
        <v>15049171</v>
      </c>
      <c r="AY175" s="4">
        <f>Base[[#This Row],['[SC']Budget_total_retraites]]/Base[[#This Row],['[SC']Nombre_de_retraités]]</f>
        <v>22386.987296509556</v>
      </c>
      <c r="AZ175" s="4">
        <f>Base[[#This Row],['[SC']Budget_par_retraité]]*Base[[#This Row],['[SC']Nb_personnes_dépendantes]]</f>
        <v>0</v>
      </c>
      <c r="BA175" s="4">
        <f>Base[[#This Row],['[SC']'[Dépendance']Coût_retraite_personnes_dépendantes]]/Base[[#This Row],[Population_totale]]</f>
        <v>0</v>
      </c>
      <c r="BB1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5" s="4">
        <f>Base[[#This Row],['[SC']'[Dépendance']Gains]]-Base[[#This Row],['[SC']'[Dépendance']Coûts]]</f>
        <v>0</v>
      </c>
      <c r="BD175" s="4">
        <f>IF(Base[[#This Row],[Pathologie]]&lt;&gt;"Mort prématurée",0,Base[[#This Row],[Risque]]*Base[[#This Row],[Prévalence]]*Base[[#This Row],[Population_totale]])</f>
        <v>0</v>
      </c>
      <c r="BE175" s="4">
        <v>52.74</v>
      </c>
      <c r="BF175" s="4">
        <f>Base[[#This Row],['[SC']Âge_moyen_retraite]]-Base[[#This Row],['[SC']'[Mort_prématurée']Âge_moyen_mort précoce]]</f>
        <v>10.159999999999997</v>
      </c>
      <c r="BG175" s="4">
        <f>Base[[#This Row],[Espérance_vie]]+Base[[#This Row],['[SC']Hausse_esp_de_vie]]-Base[[#This Row],['[SC']Âge_moyen_retraite]]</f>
        <v>19.90101171382144</v>
      </c>
      <c r="BH175" s="4">
        <v>106583.42676924677</v>
      </c>
      <c r="BI175" s="4">
        <v>97601.789429271477</v>
      </c>
      <c r="BJ175" s="4">
        <v>302038.31496633729</v>
      </c>
      <c r="BK175" s="4">
        <v>117293.58934859755</v>
      </c>
      <c r="BL175" s="4">
        <v>1523999.9999999995</v>
      </c>
      <c r="BM1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5" s="4">
        <v>294804.96027377353</v>
      </c>
      <c r="BO1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5" s="4">
        <f>(Base[[#This Row],['[SC']'[Mort_prématurée']Gains]]-Base[[#This Row],['[SC']'[Mort_prématurée']Coûts]])/Base[[#This Row],[Population_totale]]</f>
        <v>0</v>
      </c>
      <c r="BQ175" s="4">
        <f>IF(Base[[#This Row],[Pathologie]]&lt;&gt;"Mort prématurée",0,Base[[#This Row],[Risque]])</f>
        <v>0</v>
      </c>
      <c r="BR175" s="4">
        <v>2680</v>
      </c>
      <c r="BS1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5" s="4">
        <f>Base[[#This Row],[Prévalence_prod]]*(1-Base[[#This Row],[Risque]])*Base[[#This Row],[Durée_arrêt]]*Base[[#This Row],[Population_emploi]]</f>
        <v>413874.80165367055</v>
      </c>
      <c r="BV175" s="4">
        <f>Base[[#This Row],['[Prod']'[Absentéisme']Total_jours_absence_avant]]-Base[[#This Row],['[Prod']'[Absentéisme']Total_jours_absence_après]]</f>
        <v>58982.198346329387</v>
      </c>
      <c r="BW175" s="4">
        <f>IF(AND(Base[[#This Row],[Pathologie]]&lt;&gt;"Dépendance",Base[[#This Row],[Pathologie]]&lt;&gt;"Mort prématurée",Base[[#This Row],[Pathologie]]&lt;&gt;"Migraine"),0.0619,0)</f>
        <v>6.1899999999999997E-2</v>
      </c>
      <c r="BX175" s="4">
        <v>254</v>
      </c>
      <c r="BY175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5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5" s="4">
        <f>Base[[#This Row],[Prévalence_prod]]*Base[[#This Row],[Présentéisme]]*Base[[#This Row],['[Prod']Jours_ouvrés]]</f>
        <v>0</v>
      </c>
      <c r="CB175" s="4">
        <f>Base[[#This Row],[Prévalence_prod]]*(1-Base[[#This Row],[Risque]])*Base[[#This Row],[Présentéisme]]*Base[[#This Row],['[Prod']Jours_ouvrés]]</f>
        <v>0</v>
      </c>
      <c r="CC175" s="4">
        <f>Base[[#This Row],['[Prod']'[Présentéisme']Jours_avant]]-Base[[#This Row],['[Prod']'[Présentéisme']Jours_après]]</f>
        <v>0</v>
      </c>
      <c r="CD175" s="4">
        <f>Base[[#This Row],['[Prod']'[Présentéisme']Jours_gagnés]]/Base[[#This Row],['[Prod']Jours_ouvrés]]</f>
        <v>0</v>
      </c>
      <c r="CE175">
        <v>5.8333039429220801E-2</v>
      </c>
      <c r="CF175">
        <v>1.4658164114728258E-2</v>
      </c>
      <c r="CG175" s="4">
        <v>11</v>
      </c>
      <c r="CH175" s="4">
        <v>0.78414927716175975</v>
      </c>
      <c r="CI175" s="4">
        <v>0.12835819090128339</v>
      </c>
      <c r="CJ175" s="4">
        <f>IF(Base[[#This Row],[Secteur]]&lt;&gt;"Moyenne",Base[[#This Row],['[Prod']'[Turnover']DMC_initiale]]*(1+Base[[#This Row],['[Prod']'[Turnover']Ecart_accidents]]*Base[[#This Row],['[Prod']Impact_motifs_turnover]]),CJ158*CI158+CJ159*CI159+CJ160*CI160+CJ161*CI161+CJ162*CI162+CJ163*CI163+CJ164*CI164+CJ165*CI165+CJ166*CI166+CJ167*CI167+CJ168*CI168+CJ169*CI169+CJ170*CI170+CJ171*CI171+CJ172*CI172+CJ173*CI173+CJ174*CI174)</f>
        <v>11.126436076745907</v>
      </c>
      <c r="CK175" s="4">
        <f>1/Base[[#This Row],['[Prod']'[Turnover']DMC_initiale]]</f>
        <v>9.0909090909090912E-2</v>
      </c>
      <c r="CL175" s="4">
        <f>1/Base[[#This Row],['[Prod']'[Turnover']DMC_finale]]</f>
        <v>8.9876038751526707E-2</v>
      </c>
    </row>
    <row r="176" spans="2:90" x14ac:dyDescent="0.25">
      <c r="B176" s="4" t="s">
        <v>330</v>
      </c>
      <c r="C176">
        <v>7.5</v>
      </c>
      <c r="D176" t="s">
        <v>84</v>
      </c>
      <c r="E176" t="s">
        <v>10</v>
      </c>
      <c r="F176" s="3">
        <v>0.12473580458009381</v>
      </c>
      <c r="G176" s="3">
        <v>0.17849999999999999</v>
      </c>
      <c r="H176" s="3">
        <v>8.4823104693140794E-4</v>
      </c>
      <c r="I176" s="3">
        <v>0</v>
      </c>
      <c r="J176" s="3">
        <v>1.82</v>
      </c>
      <c r="K176" s="3">
        <v>7.0000000000000007E-2</v>
      </c>
      <c r="L176" s="2">
        <f>Base[[#This Row],[Coût]]*Base[[#This Row],[Part_ménages_dépenses_santé]]</f>
        <v>0.12740000000000001</v>
      </c>
      <c r="M176" s="2">
        <v>0.82690611956969029</v>
      </c>
      <c r="N176" s="6">
        <v>27700000</v>
      </c>
      <c r="O176" s="7">
        <f>Base[[#This Row],[Coût_salarié]]*10^9*Base[[#This Row],[Risque]]*Base[[#This Row],[Prévalence]]*Base[[#This Row],[Part_coûts_salarié]]/Base[[#This Row],[Population_emploi]]</f>
        <v>8.4678902001058889E-2</v>
      </c>
      <c r="P176">
        <v>50</v>
      </c>
      <c r="Q176">
        <v>50</v>
      </c>
      <c r="R176" s="2">
        <v>9.9999999999999978E-2</v>
      </c>
      <c r="S176" s="2">
        <v>0.33340000000000003</v>
      </c>
      <c r="T176" s="4">
        <v>8.4823104693140805E-4</v>
      </c>
      <c r="U176" s="4">
        <f>IF(Bases_annexes!$F$5=0,16.6587111018772,0.77*Bases_annexes!$F$5/(IF(OR(ISBLANK('Données_d''entrée'!$E$44),'Données_d''entrée'!$E$44=0),35,'Données_d''entrée'!$E$44)*52))</f>
        <v>16.658711101877199</v>
      </c>
      <c r="V176" s="4">
        <v>20.125</v>
      </c>
      <c r="W1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6" s="4">
        <v>234.5</v>
      </c>
      <c r="Y176" s="4">
        <f>(Base[[#This Row],['[Maladies']Coûts_évités_par_salarié]]+Base[[#This Row],['[Travail']Coûts_évités_par_salarié]])/Base[[#This Row],[Budget_santé_salarié]]</f>
        <v>6.090478580183438E-4</v>
      </c>
      <c r="Z176" s="4">
        <v>0.8</v>
      </c>
      <c r="AA176" s="4">
        <f>Base[[#This Row],[Coût]]*Base[[#This Row],[Part_société_dépenses_santé]]</f>
        <v>1.4560000000000002</v>
      </c>
      <c r="AB176" s="4">
        <v>67635124</v>
      </c>
      <c r="AC176" s="4">
        <v>82.297079063317852</v>
      </c>
      <c r="AD176" s="4">
        <v>8.4823104693140805E-4</v>
      </c>
      <c r="AE176" s="4">
        <f>Base[[#This Row],['[SC']Prévalence_travail]]*Base[[#This Row],[Population_emploi]]</f>
        <v>23496.000000000004</v>
      </c>
      <c r="AF176" s="4">
        <f>Base[[#This Row],[Risque]]*Base[[#This Row],['[SC']Patients_en_emploi]]</f>
        <v>2930.7924644138848</v>
      </c>
      <c r="AG176" s="4">
        <v>0</v>
      </c>
      <c r="AH176" s="4">
        <f>IFERROR(Base[[#This Row],['[SC']Prestations]]/Base[[#This Row],['[SC']Patients_en_emploi]],0)</f>
        <v>0</v>
      </c>
      <c r="AI176" s="4">
        <v>51.7</v>
      </c>
      <c r="AJ1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6" s="4">
        <f>Base[[#This Row],['[SC']'[Travail']Coûts_évités]]/Base[[#This Row],[Population_emploi]]</f>
        <v>9.3675586399806443E-2</v>
      </c>
      <c r="AL176" s="4">
        <f>Base[[#This Row],[Coût_société]]*10^9*Base[[#This Row],[Risque]]*Base[[#This Row],[Prévalence]]*Base[[#This Row],[Part_coûts_salarié]]/Base[[#This Row],[Population_emploi]]</f>
        <v>0.96775888001210164</v>
      </c>
      <c r="AM176" s="4">
        <f>IF(Base[[#This Row],[Pathologie]]&lt;&gt;"Dépendance",0,14909.24243952)</f>
        <v>0</v>
      </c>
      <c r="AN176" s="4">
        <f>IF(Base[[#This Row],[Pathologie]]&lt;&gt;"Dépendance",0,1316000)</f>
        <v>0</v>
      </c>
      <c r="AO176" s="4">
        <f>IF(Base[[#This Row],[Pathologie]]&lt;&gt;"Dépendance",0,Base[[#This Row],['[SC']Coût_personne_dépendante]]*Base[[#This Row],['[SC']Nb_personnes_dépendantes]])</f>
        <v>0</v>
      </c>
      <c r="AP176" s="4">
        <f>IF(Base[[#This Row],[Pathologie]]&lt;&gt;"Dépendance",0,Base[[#This Row],['[SC']Coût_total_dépendance]]/Base[[#This Row],[Population_totale]])</f>
        <v>0</v>
      </c>
      <c r="AQ176" s="4">
        <f>IF(Base[[#This Row],[Pathologie]]&lt;&gt;"Dépendance",0,4.5)</f>
        <v>0</v>
      </c>
      <c r="AR176" s="4">
        <v>0.50393265050357905</v>
      </c>
      <c r="AS176" s="4">
        <f>Base[[#This Row],[Espérance_vie]]+Base[[#This Row],['[SC']Hausse_esp_de_vie]]-Base[[#This Row],['[SC']Durée_moyenne_dépendance_avt]]+Base[[#This Row],[Risque]]</f>
        <v>82.925747518401536</v>
      </c>
      <c r="AT1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6" s="4">
        <v>62.9</v>
      </c>
      <c r="AW176" s="4">
        <f t="shared" si="0"/>
        <v>336905600000</v>
      </c>
      <c r="AX176" s="4">
        <v>15049171</v>
      </c>
      <c r="AY176" s="4">
        <f>Base[[#This Row],['[SC']Budget_total_retraites]]/Base[[#This Row],['[SC']Nombre_de_retraités]]</f>
        <v>22386.987296509556</v>
      </c>
      <c r="AZ176" s="4">
        <f>Base[[#This Row],['[SC']Budget_par_retraité]]*Base[[#This Row],['[SC']Nb_personnes_dépendantes]]</f>
        <v>0</v>
      </c>
      <c r="BA176" s="4">
        <f>Base[[#This Row],['[SC']'[Dépendance']Coût_retraite_personnes_dépendantes]]/Base[[#This Row],[Population_totale]]</f>
        <v>0</v>
      </c>
      <c r="BB1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6" s="4">
        <f>Base[[#This Row],['[SC']'[Dépendance']Gains]]-Base[[#This Row],['[SC']'[Dépendance']Coûts]]</f>
        <v>0</v>
      </c>
      <c r="BD176" s="4">
        <f>IF(Base[[#This Row],[Pathologie]]&lt;&gt;"Mort prématurée",0,Base[[#This Row],[Risque]]*Base[[#This Row],[Prévalence]]*Base[[#This Row],[Population_totale]])</f>
        <v>0</v>
      </c>
      <c r="BE176" s="4">
        <v>52.74</v>
      </c>
      <c r="BF176" s="4">
        <f>Base[[#This Row],['[SC']Âge_moyen_retraite]]-Base[[#This Row],['[SC']'[Mort_prématurée']Âge_moyen_mort précoce]]</f>
        <v>10.159999999999997</v>
      </c>
      <c r="BG176" s="4">
        <f>Base[[#This Row],[Espérance_vie]]+Base[[#This Row],['[SC']Hausse_esp_de_vie]]-Base[[#This Row],['[SC']Âge_moyen_retraite]]</f>
        <v>19.90101171382144</v>
      </c>
      <c r="BH176" s="4">
        <v>106583.42676924677</v>
      </c>
      <c r="BI176" s="4">
        <v>97601.789429271477</v>
      </c>
      <c r="BJ176" s="4">
        <v>302038.31496633729</v>
      </c>
      <c r="BK176" s="4">
        <v>117293.58934859755</v>
      </c>
      <c r="BL176" s="4">
        <v>1523999.9999999995</v>
      </c>
      <c r="BM1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6" s="4">
        <v>294804.96027377353</v>
      </c>
      <c r="BO1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6" s="4">
        <f>(Base[[#This Row],['[SC']'[Mort_prématurée']Gains]]-Base[[#This Row],['[SC']'[Mort_prématurée']Coûts]])/Base[[#This Row],[Population_totale]]</f>
        <v>0</v>
      </c>
      <c r="BQ176" s="4">
        <f>IF(Base[[#This Row],[Pathologie]]&lt;&gt;"Mort prématurée",0,Base[[#This Row],[Risque]])</f>
        <v>0</v>
      </c>
      <c r="BR176" s="4">
        <v>2680</v>
      </c>
      <c r="BS1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6" s="4">
        <f>Base[[#This Row],[Prévalence_prod]]*(1-Base[[#This Row],[Risque]])*Base[[#This Row],[Durée_arrêt]]*Base[[#This Row],[Population_emploi]]</f>
        <v>413874.80165367055</v>
      </c>
      <c r="BV176" s="4">
        <f>Base[[#This Row],['[Prod']'[Absentéisme']Total_jours_absence_avant]]-Base[[#This Row],['[Prod']'[Absentéisme']Total_jours_absence_après]]</f>
        <v>58982.198346329387</v>
      </c>
      <c r="BW176" s="4">
        <f>IF(AND(Base[[#This Row],[Pathologie]]&lt;&gt;"Dépendance",Base[[#This Row],[Pathologie]]&lt;&gt;"Mort prématurée",Base[[#This Row],[Pathologie]]&lt;&gt;"Migraine"),0.0619,0)</f>
        <v>6.1899999999999997E-2</v>
      </c>
      <c r="BX176" s="4">
        <v>254</v>
      </c>
      <c r="BY176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6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6" s="4">
        <f>Base[[#This Row],[Prévalence_prod]]*Base[[#This Row],[Présentéisme]]*Base[[#This Row],['[Prod']Jours_ouvrés]]</f>
        <v>0</v>
      </c>
      <c r="CB176" s="4">
        <f>Base[[#This Row],[Prévalence_prod]]*(1-Base[[#This Row],[Risque]])*Base[[#This Row],[Présentéisme]]*Base[[#This Row],['[Prod']Jours_ouvrés]]</f>
        <v>0</v>
      </c>
      <c r="CC176" s="4">
        <f>Base[[#This Row],['[Prod']'[Présentéisme']Jours_avant]]-Base[[#This Row],['[Prod']'[Présentéisme']Jours_après]]</f>
        <v>0</v>
      </c>
      <c r="CD176" s="4">
        <f>Base[[#This Row],['[Prod']'[Présentéisme']Jours_gagnés]]/Base[[#This Row],['[Prod']Jours_ouvrés]]</f>
        <v>0</v>
      </c>
      <c r="CE176">
        <v>5.8333039429220801E-2</v>
      </c>
      <c r="CF176">
        <v>1.4658164114728258E-2</v>
      </c>
      <c r="CG176" s="4">
        <v>11</v>
      </c>
      <c r="CH176" s="4">
        <v>0.99648427619813984</v>
      </c>
      <c r="CI176" s="4">
        <v>0.42377466100567313</v>
      </c>
      <c r="CJ176" s="4">
        <f>IF(Base[[#This Row],[Secteur]]&lt;&gt;"Moyenne",Base[[#This Row],['[Prod']'[Turnover']DMC_initiale]]*(1+Base[[#This Row],['[Prod']'[Turnover']Ecart_accidents]]*Base[[#This Row],['[Prod']Impact_motifs_turnover]]),CJ159*CI159+CJ160*CI160+CJ161*CI161+CJ162*CI162+CJ163*CI163+CJ164*CI164+CJ165*CI165+CJ166*CI166+CJ167*CI167+CJ168*CI168+CJ169*CI169+CJ170*CI170+CJ171*CI171+CJ172*CI172+CJ173*CI173+CJ174*CI174+CJ175*CI175)</f>
        <v>11.160672930640844</v>
      </c>
      <c r="CK176" s="4">
        <f>1/Base[[#This Row],['[Prod']'[Turnover']DMC_initiale]]</f>
        <v>9.0909090909090912E-2</v>
      </c>
      <c r="CL176" s="4">
        <f>1/Base[[#This Row],['[Prod']'[Turnover']DMC_finale]]</f>
        <v>8.9600332006376626E-2</v>
      </c>
    </row>
    <row r="177" spans="2:90" x14ac:dyDescent="0.25">
      <c r="B177" s="4" t="s">
        <v>331</v>
      </c>
      <c r="C177">
        <v>7.5</v>
      </c>
      <c r="D177" t="s">
        <v>84</v>
      </c>
      <c r="E177" t="s">
        <v>10</v>
      </c>
      <c r="F177" s="3">
        <v>0.12473580458009381</v>
      </c>
      <c r="G177" s="3">
        <v>0.17849999999999999</v>
      </c>
      <c r="H177" s="3">
        <v>8.4823104693140794E-4</v>
      </c>
      <c r="I177" s="3">
        <v>0</v>
      </c>
      <c r="J177" s="3">
        <v>1.82</v>
      </c>
      <c r="K177" s="3">
        <v>7.0000000000000007E-2</v>
      </c>
      <c r="L177" s="2">
        <f>Base[[#This Row],[Coût]]*Base[[#This Row],[Part_ménages_dépenses_santé]]</f>
        <v>0.12740000000000001</v>
      </c>
      <c r="M177" s="2">
        <v>0.82690611956969029</v>
      </c>
      <c r="N177" s="6">
        <v>27700000</v>
      </c>
      <c r="O177" s="7">
        <f>Base[[#This Row],[Coût_salarié]]*10^9*Base[[#This Row],[Risque]]*Base[[#This Row],[Prévalence]]*Base[[#This Row],[Part_coûts_salarié]]/Base[[#This Row],[Population_emploi]]</f>
        <v>8.4678902001058889E-2</v>
      </c>
      <c r="P177">
        <v>50</v>
      </c>
      <c r="Q177">
        <v>50</v>
      </c>
      <c r="R177" s="2">
        <v>9.9999999999999978E-2</v>
      </c>
      <c r="S177" s="2">
        <v>0.33340000000000003</v>
      </c>
      <c r="T177" s="4">
        <v>8.4823104693140805E-4</v>
      </c>
      <c r="U177" s="4">
        <f>IF(Bases_annexes!$F$5=0,16.6587111018772,0.77*Bases_annexes!$F$5/(IF(OR(ISBLANK('Données_d''entrée'!$E$44),'Données_d''entrée'!$E$44=0),35,'Données_d''entrée'!$E$44)*52))</f>
        <v>16.658711101877199</v>
      </c>
      <c r="V177" s="4">
        <v>20.125</v>
      </c>
      <c r="W1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7" s="4">
        <v>234.5</v>
      </c>
      <c r="Y177" s="4">
        <f>(Base[[#This Row],['[Maladies']Coûts_évités_par_salarié]]+Base[[#This Row],['[Travail']Coûts_évités_par_salarié]])/Base[[#This Row],[Budget_santé_salarié]]</f>
        <v>6.090478580183438E-4</v>
      </c>
      <c r="Z177" s="4">
        <v>0.8</v>
      </c>
      <c r="AA177" s="4">
        <f>Base[[#This Row],[Coût]]*Base[[#This Row],[Part_société_dépenses_santé]]</f>
        <v>1.4560000000000002</v>
      </c>
      <c r="AB177" s="4">
        <v>67635124</v>
      </c>
      <c r="AC177" s="4">
        <v>82.297079063317852</v>
      </c>
      <c r="AD177" s="4">
        <v>8.4823104693140805E-4</v>
      </c>
      <c r="AE177" s="4">
        <f>Base[[#This Row],['[SC']Prévalence_travail]]*Base[[#This Row],[Population_emploi]]</f>
        <v>23496.000000000004</v>
      </c>
      <c r="AF177" s="4">
        <f>Base[[#This Row],[Risque]]*Base[[#This Row],['[SC']Patients_en_emploi]]</f>
        <v>2930.7924644138848</v>
      </c>
      <c r="AG177" s="4">
        <v>0</v>
      </c>
      <c r="AH177" s="4">
        <f>IFERROR(Base[[#This Row],['[SC']Prestations]]/Base[[#This Row],['[SC']Patients_en_emploi]],0)</f>
        <v>0</v>
      </c>
      <c r="AI177" s="4">
        <v>51.7</v>
      </c>
      <c r="AJ1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7" s="4">
        <f>Base[[#This Row],['[SC']'[Travail']Coûts_évités]]/Base[[#This Row],[Population_emploi]]</f>
        <v>9.3675586399806443E-2</v>
      </c>
      <c r="AL177" s="4">
        <f>Base[[#This Row],[Coût_société]]*10^9*Base[[#This Row],[Risque]]*Base[[#This Row],[Prévalence]]*Base[[#This Row],[Part_coûts_salarié]]/Base[[#This Row],[Population_emploi]]</f>
        <v>0.96775888001210164</v>
      </c>
      <c r="AM177" s="4">
        <f>IF(Base[[#This Row],[Pathologie]]&lt;&gt;"Dépendance",0,14909.24243952)</f>
        <v>0</v>
      </c>
      <c r="AN177" s="4">
        <f>IF(Base[[#This Row],[Pathologie]]&lt;&gt;"Dépendance",0,1316000)</f>
        <v>0</v>
      </c>
      <c r="AO177" s="4">
        <f>IF(Base[[#This Row],[Pathologie]]&lt;&gt;"Dépendance",0,Base[[#This Row],['[SC']Coût_personne_dépendante]]*Base[[#This Row],['[SC']Nb_personnes_dépendantes]])</f>
        <v>0</v>
      </c>
      <c r="AP177" s="4">
        <f>IF(Base[[#This Row],[Pathologie]]&lt;&gt;"Dépendance",0,Base[[#This Row],['[SC']Coût_total_dépendance]]/Base[[#This Row],[Population_totale]])</f>
        <v>0</v>
      </c>
      <c r="AQ177" s="4">
        <f>IF(Base[[#This Row],[Pathologie]]&lt;&gt;"Dépendance",0,4.5)</f>
        <v>0</v>
      </c>
      <c r="AR177" s="4">
        <v>0.50393265050357905</v>
      </c>
      <c r="AS177" s="4">
        <f>Base[[#This Row],[Espérance_vie]]+Base[[#This Row],['[SC']Hausse_esp_de_vie]]-Base[[#This Row],['[SC']Durée_moyenne_dépendance_avt]]+Base[[#This Row],[Risque]]</f>
        <v>82.925747518401536</v>
      </c>
      <c r="AT1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7" s="4">
        <v>62.9</v>
      </c>
      <c r="AW177" s="4">
        <f t="shared" si="0"/>
        <v>336905600000</v>
      </c>
      <c r="AX177" s="4">
        <v>15049171</v>
      </c>
      <c r="AY177" s="4">
        <f>Base[[#This Row],['[SC']Budget_total_retraites]]/Base[[#This Row],['[SC']Nombre_de_retraités]]</f>
        <v>22386.987296509556</v>
      </c>
      <c r="AZ177" s="4">
        <f>Base[[#This Row],['[SC']Budget_par_retraité]]*Base[[#This Row],['[SC']Nb_personnes_dépendantes]]</f>
        <v>0</v>
      </c>
      <c r="BA177" s="4">
        <f>Base[[#This Row],['[SC']'[Dépendance']Coût_retraite_personnes_dépendantes]]/Base[[#This Row],[Population_totale]]</f>
        <v>0</v>
      </c>
      <c r="BB1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7" s="4">
        <f>Base[[#This Row],['[SC']'[Dépendance']Gains]]-Base[[#This Row],['[SC']'[Dépendance']Coûts]]</f>
        <v>0</v>
      </c>
      <c r="BD177" s="4">
        <f>IF(Base[[#This Row],[Pathologie]]&lt;&gt;"Mort prématurée",0,Base[[#This Row],[Risque]]*Base[[#This Row],[Prévalence]]*Base[[#This Row],[Population_totale]])</f>
        <v>0</v>
      </c>
      <c r="BE177" s="4">
        <v>52.74</v>
      </c>
      <c r="BF177" s="4">
        <f>Base[[#This Row],['[SC']Âge_moyen_retraite]]-Base[[#This Row],['[SC']'[Mort_prématurée']Âge_moyen_mort précoce]]</f>
        <v>10.159999999999997</v>
      </c>
      <c r="BG177" s="4">
        <f>Base[[#This Row],[Espérance_vie]]+Base[[#This Row],['[SC']Hausse_esp_de_vie]]-Base[[#This Row],['[SC']Âge_moyen_retraite]]</f>
        <v>19.90101171382144</v>
      </c>
      <c r="BH177" s="4">
        <v>106583.42676924677</v>
      </c>
      <c r="BI177" s="4">
        <v>97601.789429271477</v>
      </c>
      <c r="BJ177" s="4">
        <v>302038.31496633729</v>
      </c>
      <c r="BK177" s="4">
        <v>117293.58934859755</v>
      </c>
      <c r="BL177" s="4">
        <v>1523999.9999999995</v>
      </c>
      <c r="BM1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7" s="4">
        <v>294804.96027377353</v>
      </c>
      <c r="BO1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7" s="4">
        <f>(Base[[#This Row],['[SC']'[Mort_prématurée']Gains]]-Base[[#This Row],['[SC']'[Mort_prématurée']Coûts]])/Base[[#This Row],[Population_totale]]</f>
        <v>0</v>
      </c>
      <c r="BQ177" s="4">
        <f>IF(Base[[#This Row],[Pathologie]]&lt;&gt;"Mort prématurée",0,Base[[#This Row],[Risque]])</f>
        <v>0</v>
      </c>
      <c r="BR177" s="4">
        <v>2680</v>
      </c>
      <c r="BS1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7" s="4">
        <f>Base[[#This Row],[Prévalence_prod]]*(1-Base[[#This Row],[Risque]])*Base[[#This Row],[Durée_arrêt]]*Base[[#This Row],[Population_emploi]]</f>
        <v>413874.80165367055</v>
      </c>
      <c r="BV177" s="4">
        <f>Base[[#This Row],['[Prod']'[Absentéisme']Total_jours_absence_avant]]-Base[[#This Row],['[Prod']'[Absentéisme']Total_jours_absence_après]]</f>
        <v>58982.198346329387</v>
      </c>
      <c r="BW177" s="4">
        <f>IF(AND(Base[[#This Row],[Pathologie]]&lt;&gt;"Dépendance",Base[[#This Row],[Pathologie]]&lt;&gt;"Mort prématurée",Base[[#This Row],[Pathologie]]&lt;&gt;"Migraine"),0.0619,0)</f>
        <v>6.1899999999999997E-2</v>
      </c>
      <c r="BX177" s="4">
        <v>254</v>
      </c>
      <c r="BY17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7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7" s="4">
        <f>Base[[#This Row],[Prévalence_prod]]*Base[[#This Row],[Présentéisme]]*Base[[#This Row],['[Prod']Jours_ouvrés]]</f>
        <v>0</v>
      </c>
      <c r="CB177" s="4">
        <f>Base[[#This Row],[Prévalence_prod]]*(1-Base[[#This Row],[Risque]])*Base[[#This Row],[Présentéisme]]*Base[[#This Row],['[Prod']Jours_ouvrés]]</f>
        <v>0</v>
      </c>
      <c r="CC177" s="4">
        <f>Base[[#This Row],['[Prod']'[Présentéisme']Jours_avant]]-Base[[#This Row],['[Prod']'[Présentéisme']Jours_après]]</f>
        <v>0</v>
      </c>
      <c r="CD177" s="4">
        <f>Base[[#This Row],['[Prod']'[Présentéisme']Jours_gagnés]]/Base[[#This Row],['[Prod']Jours_ouvrés]]</f>
        <v>0</v>
      </c>
      <c r="CE177">
        <v>5.8333039429220801E-2</v>
      </c>
      <c r="CF177">
        <v>1.4658164114728258E-2</v>
      </c>
      <c r="CG177" s="4">
        <v>11</v>
      </c>
      <c r="CH177" s="4">
        <v>1.1593596509901765</v>
      </c>
      <c r="CI177" s="4">
        <v>4.0741311947357597E-2</v>
      </c>
      <c r="CJ177" s="4">
        <f>IF(Base[[#This Row],[Secteur]]&lt;&gt;"Moyenne",Base[[#This Row],['[Prod']'[Turnover']DMC_initiale]]*(1+Base[[#This Row],['[Prod']'[Turnover']Ecart_accidents]]*Base[[#This Row],['[Prod']Impact_motifs_turnover]]),CJ160*CI160+CJ161*CI161+CJ162*CI162+CJ163*CI163+CJ164*CI164+CJ165*CI165+CJ166*CI166+CJ167*CI167+CJ168*CI168+CJ169*CI169+CJ170*CI170+CJ171*CI171+CJ172*CI172+CJ173*CI173+CJ174*CI174+CJ175*CI175+CJ176*CI176)</f>
        <v>11.186934924354288</v>
      </c>
      <c r="CK177" s="4">
        <f>1/Base[[#This Row],['[Prod']'[Turnover']DMC_initiale]]</f>
        <v>9.0909090909090912E-2</v>
      </c>
      <c r="CL177" s="4">
        <f>1/Base[[#This Row],['[Prod']'[Turnover']DMC_finale]]</f>
        <v>8.9389989908940148E-2</v>
      </c>
    </row>
    <row r="178" spans="2:90" x14ac:dyDescent="0.25">
      <c r="B178" s="4" t="s">
        <v>332</v>
      </c>
      <c r="C178">
        <v>7.5</v>
      </c>
      <c r="D178" t="s">
        <v>84</v>
      </c>
      <c r="E178" t="s">
        <v>10</v>
      </c>
      <c r="F178" s="3">
        <v>0.12473580458009381</v>
      </c>
      <c r="G178" s="3">
        <v>0.17849999999999999</v>
      </c>
      <c r="H178" s="3">
        <v>8.4823104693140794E-4</v>
      </c>
      <c r="I178" s="3">
        <v>0</v>
      </c>
      <c r="J178" s="3">
        <v>1.82</v>
      </c>
      <c r="K178" s="3">
        <v>7.0000000000000007E-2</v>
      </c>
      <c r="L178" s="2">
        <f>Base[[#This Row],[Coût]]*Base[[#This Row],[Part_ménages_dépenses_santé]]</f>
        <v>0.12740000000000001</v>
      </c>
      <c r="M178" s="2">
        <v>0.82690611956969029</v>
      </c>
      <c r="N178" s="6">
        <v>27700000</v>
      </c>
      <c r="O178" s="7">
        <f>Base[[#This Row],[Coût_salarié]]*10^9*Base[[#This Row],[Risque]]*Base[[#This Row],[Prévalence]]*Base[[#This Row],[Part_coûts_salarié]]/Base[[#This Row],[Population_emploi]]</f>
        <v>8.4678902001058889E-2</v>
      </c>
      <c r="P178">
        <v>50</v>
      </c>
      <c r="Q178">
        <v>50</v>
      </c>
      <c r="R178" s="2">
        <v>9.9999999999999978E-2</v>
      </c>
      <c r="S178" s="2">
        <v>0.33340000000000003</v>
      </c>
      <c r="T178" s="4">
        <v>8.4823104693140805E-4</v>
      </c>
      <c r="U178" s="4">
        <f>IF(Bases_annexes!$F$5=0,16.6587111018772,0.77*Bases_annexes!$F$5/(IF(OR(ISBLANK('Données_d''entrée'!$E$44),'Données_d''entrée'!$E$44=0),35,'Données_d''entrée'!$E$44)*52))</f>
        <v>16.658711101877199</v>
      </c>
      <c r="V178" s="4">
        <v>20.125</v>
      </c>
      <c r="W1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5.8142820704242752E-2</v>
      </c>
      <c r="X178" s="4">
        <v>234.5</v>
      </c>
      <c r="Y178" s="4">
        <f>(Base[[#This Row],['[Maladies']Coûts_évités_par_salarié]]+Base[[#This Row],['[Travail']Coûts_évités_par_salarié]])/Base[[#This Row],[Budget_santé_salarié]]</f>
        <v>6.090478580183438E-4</v>
      </c>
      <c r="Z178" s="4">
        <v>0.8</v>
      </c>
      <c r="AA178" s="4">
        <f>Base[[#This Row],[Coût]]*Base[[#This Row],[Part_société_dépenses_santé]]</f>
        <v>1.4560000000000002</v>
      </c>
      <c r="AB178" s="4">
        <v>67635124</v>
      </c>
      <c r="AC178" s="4">
        <v>82.297079063317852</v>
      </c>
      <c r="AD178" s="4">
        <v>8.4823104693140805E-4</v>
      </c>
      <c r="AE178" s="4">
        <f>Base[[#This Row],['[SC']Prévalence_travail]]*Base[[#This Row],[Population_emploi]]</f>
        <v>23496.000000000004</v>
      </c>
      <c r="AF178" s="4">
        <f>Base[[#This Row],[Risque]]*Base[[#This Row],['[SC']Patients_en_emploi]]</f>
        <v>2930.7924644138848</v>
      </c>
      <c r="AG178" s="4">
        <v>0</v>
      </c>
      <c r="AH178" s="4">
        <f>IFERROR(Base[[#This Row],['[SC']Prestations]]/Base[[#This Row],['[SC']Patients_en_emploi]],0)</f>
        <v>0</v>
      </c>
      <c r="AI178" s="4">
        <v>51.7</v>
      </c>
      <c r="AJ1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2594813.7432746384</v>
      </c>
      <c r="AK178" s="4">
        <f>Base[[#This Row],['[SC']'[Travail']Coûts_évités]]/Base[[#This Row],[Population_emploi]]</f>
        <v>9.3675586399806443E-2</v>
      </c>
      <c r="AL178" s="4">
        <f>Base[[#This Row],[Coût_société]]*10^9*Base[[#This Row],[Risque]]*Base[[#This Row],[Prévalence]]*Base[[#This Row],[Part_coûts_salarié]]/Base[[#This Row],[Population_emploi]]</f>
        <v>0.96775888001210164</v>
      </c>
      <c r="AM178" s="4">
        <f>IF(Base[[#This Row],[Pathologie]]&lt;&gt;"Dépendance",0,14909.24243952)</f>
        <v>0</v>
      </c>
      <c r="AN178" s="4">
        <f>IF(Base[[#This Row],[Pathologie]]&lt;&gt;"Dépendance",0,1316000)</f>
        <v>0</v>
      </c>
      <c r="AO178" s="4">
        <f>IF(Base[[#This Row],[Pathologie]]&lt;&gt;"Dépendance",0,Base[[#This Row],['[SC']Coût_personne_dépendante]]*Base[[#This Row],['[SC']Nb_personnes_dépendantes]])</f>
        <v>0</v>
      </c>
      <c r="AP178" s="4">
        <f>IF(Base[[#This Row],[Pathologie]]&lt;&gt;"Dépendance",0,Base[[#This Row],['[SC']Coût_total_dépendance]]/Base[[#This Row],[Population_totale]])</f>
        <v>0</v>
      </c>
      <c r="AQ178" s="4">
        <f>IF(Base[[#This Row],[Pathologie]]&lt;&gt;"Dépendance",0,4.5)</f>
        <v>0</v>
      </c>
      <c r="AR178" s="4">
        <v>0.50393265050357905</v>
      </c>
      <c r="AS178" s="4">
        <f>Base[[#This Row],[Espérance_vie]]+Base[[#This Row],['[SC']Hausse_esp_de_vie]]-Base[[#This Row],['[SC']Durée_moyenne_dépendance_avt]]+Base[[#This Row],[Risque]]</f>
        <v>82.925747518401536</v>
      </c>
      <c r="AT1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8" s="4">
        <v>62.9</v>
      </c>
      <c r="AW178" s="4">
        <f t="shared" si="0"/>
        <v>336905600000</v>
      </c>
      <c r="AX178" s="4">
        <v>15049171</v>
      </c>
      <c r="AY178" s="4">
        <f>Base[[#This Row],['[SC']Budget_total_retraites]]/Base[[#This Row],['[SC']Nombre_de_retraités]]</f>
        <v>22386.987296509556</v>
      </c>
      <c r="AZ178" s="4">
        <f>Base[[#This Row],['[SC']Budget_par_retraité]]*Base[[#This Row],['[SC']Nb_personnes_dépendantes]]</f>
        <v>0</v>
      </c>
      <c r="BA178" s="4">
        <f>Base[[#This Row],['[SC']'[Dépendance']Coût_retraite_personnes_dépendantes]]/Base[[#This Row],[Population_totale]]</f>
        <v>0</v>
      </c>
      <c r="BB1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8" s="4">
        <f>Base[[#This Row],['[SC']'[Dépendance']Gains]]-Base[[#This Row],['[SC']'[Dépendance']Coûts]]</f>
        <v>0</v>
      </c>
      <c r="BD178" s="4">
        <f>IF(Base[[#This Row],[Pathologie]]&lt;&gt;"Mort prématurée",0,Base[[#This Row],[Risque]]*Base[[#This Row],[Prévalence]]*Base[[#This Row],[Population_totale]])</f>
        <v>0</v>
      </c>
      <c r="BE178" s="4">
        <v>52.74</v>
      </c>
      <c r="BF178" s="4">
        <f>Base[[#This Row],['[SC']Âge_moyen_retraite]]-Base[[#This Row],['[SC']'[Mort_prématurée']Âge_moyen_mort précoce]]</f>
        <v>10.159999999999997</v>
      </c>
      <c r="BG178" s="4">
        <f>Base[[#This Row],[Espérance_vie]]+Base[[#This Row],['[SC']Hausse_esp_de_vie]]-Base[[#This Row],['[SC']Âge_moyen_retraite]]</f>
        <v>19.90101171382144</v>
      </c>
      <c r="BH178" s="4">
        <v>106583.42676924677</v>
      </c>
      <c r="BI178" s="4">
        <v>97601.789429271477</v>
      </c>
      <c r="BJ178" s="4">
        <v>302038.31496633729</v>
      </c>
      <c r="BK178" s="4">
        <v>117293.58934859755</v>
      </c>
      <c r="BL178" s="4">
        <v>1523999.9999999995</v>
      </c>
      <c r="BM1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8" s="4">
        <v>294804.96027377353</v>
      </c>
      <c r="BO1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8" s="4">
        <f>(Base[[#This Row],['[SC']'[Mort_prématurée']Gains]]-Base[[#This Row],['[SC']'[Mort_prématurée']Coûts]])/Base[[#This Row],[Population_totale]]</f>
        <v>0</v>
      </c>
      <c r="BQ178" s="4">
        <f>IF(Base[[#This Row],[Pathologie]]&lt;&gt;"Mort prématurée",0,Base[[#This Row],[Risque]])</f>
        <v>0</v>
      </c>
      <c r="BR178" s="4">
        <v>2680</v>
      </c>
      <c r="BS1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3.9605763672086121E-4</v>
      </c>
      <c r="BT1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178" s="4">
        <f>Base[[#This Row],[Prévalence_prod]]*(1-Base[[#This Row],[Risque]])*Base[[#This Row],[Durée_arrêt]]*Base[[#This Row],[Population_emploi]]</f>
        <v>413874.80165367055</v>
      </c>
      <c r="BV178" s="4">
        <f>Base[[#This Row],['[Prod']'[Absentéisme']Total_jours_absence_avant]]-Base[[#This Row],['[Prod']'[Absentéisme']Total_jours_absence_après]]</f>
        <v>58982.198346329387</v>
      </c>
      <c r="BW178" s="4">
        <f>IF(AND(Base[[#This Row],[Pathologie]]&lt;&gt;"Dépendance",Base[[#This Row],[Pathologie]]&lt;&gt;"Mort prématurée",Base[[#This Row],[Pathologie]]&lt;&gt;"Migraine"),0.0619,0)</f>
        <v>6.1899999999999997E-2</v>
      </c>
      <c r="BX178" s="4">
        <v>254</v>
      </c>
      <c r="BY17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178" s="4">
        <f>(Base[[#This Row],['[Prod']'[Absentéisme']Jours_théoriques]]-Base[[#This Row],['[Prod']'[Absentéisme']Total_jours_absence_évités]])/(Base[[#This Row],[Population_emploi]]*Base[[#This Row],['[Prod']Jours_ouvrés]])</f>
        <v>1.3030291918713496E-4</v>
      </c>
      <c r="CA178" s="4">
        <f>Base[[#This Row],[Prévalence_prod]]*Base[[#This Row],[Présentéisme]]*Base[[#This Row],['[Prod']Jours_ouvrés]]</f>
        <v>0</v>
      </c>
      <c r="CB178" s="4">
        <f>Base[[#This Row],[Prévalence_prod]]*(1-Base[[#This Row],[Risque]])*Base[[#This Row],[Présentéisme]]*Base[[#This Row],['[Prod']Jours_ouvrés]]</f>
        <v>0</v>
      </c>
      <c r="CC178" s="4">
        <f>Base[[#This Row],['[Prod']'[Présentéisme']Jours_avant]]-Base[[#This Row],['[Prod']'[Présentéisme']Jours_après]]</f>
        <v>0</v>
      </c>
      <c r="CD178" s="4">
        <f>Base[[#This Row],['[Prod']'[Présentéisme']Jours_gagnés]]/Base[[#This Row],['[Prod']Jours_ouvrés]]</f>
        <v>0</v>
      </c>
      <c r="CE178">
        <v>5.8333039429220801E-2</v>
      </c>
      <c r="CF178">
        <v>1.4658164114728258E-2</v>
      </c>
      <c r="CG178" s="4">
        <v>11</v>
      </c>
      <c r="CH178" s="4">
        <v>0.85076983926913452</v>
      </c>
      <c r="CI178" s="4">
        <v>0</v>
      </c>
      <c r="CJ178" s="4">
        <f>IF(Base[[#This Row],[Secteur]]&lt;&gt;"Moyenne",Base[[#This Row],['[Prod']'[Turnover']DMC_initiale]]*(1+Base[[#This Row],['[Prod']'[Turnover']Ecart_accidents]]*Base[[#This Row],['[Prod']Impact_motifs_turnover]]),CJ161*CI161+CJ162*CI162+CJ163*CI163+CJ164*CI164+CJ165*CI165+CJ166*CI166+CJ167*CI167+CJ168*CI168+CJ169*CI169+CJ170*CI170+CJ171*CI171+CJ172*CI172+CJ173*CI173+CJ174*CI174+CJ175*CI175+CJ176*CI176+CJ177*CI177)</f>
        <v>11.137177963206547</v>
      </c>
      <c r="CK178" s="4">
        <f>1/Base[[#This Row],['[Prod']'[Turnover']DMC_initiale]]</f>
        <v>9.0909090909090912E-2</v>
      </c>
      <c r="CL178" s="4">
        <f>1/Base[[#This Row],['[Prod']'[Turnover']DMC_finale]]</f>
        <v>8.9789352680154741E-2</v>
      </c>
    </row>
    <row r="179" spans="2:90" x14ac:dyDescent="0.25">
      <c r="B179" s="4" t="s">
        <v>315</v>
      </c>
      <c r="C179">
        <v>7.5</v>
      </c>
      <c r="D179" t="s">
        <v>84</v>
      </c>
      <c r="E179" t="s">
        <v>12</v>
      </c>
      <c r="F179" s="3">
        <v>0.45626028693033643</v>
      </c>
      <c r="G179" s="3">
        <v>0.1079</v>
      </c>
      <c r="H179" s="3">
        <v>0.1079</v>
      </c>
      <c r="I179" s="3">
        <v>7.6499999999999999E-2</v>
      </c>
      <c r="J179" s="3">
        <v>7.67629534616262</v>
      </c>
      <c r="K179" s="3">
        <v>7.0000000000000007E-2</v>
      </c>
      <c r="L179" s="2">
        <f>Base[[#This Row],[Coût]]*Base[[#This Row],[Part_ménages_dépenses_santé]]</f>
        <v>0.53734067423138343</v>
      </c>
      <c r="M179" s="2">
        <v>0.82690611956969029</v>
      </c>
      <c r="N179" s="6">
        <v>27700000</v>
      </c>
      <c r="O179" s="7">
        <f>Base[[#This Row],[Coût_salarié]]*10^9*Base[[#This Row],[Risque]]*Base[[#This Row],[Prévalence]]*Base[[#This Row],[Part_coûts_salarié]]/Base[[#This Row],[Population_emploi]]</f>
        <v>0.78969659741536868</v>
      </c>
      <c r="P179">
        <v>50</v>
      </c>
      <c r="Q179">
        <v>50</v>
      </c>
      <c r="R179" s="2">
        <v>9.9999999999999978E-2</v>
      </c>
      <c r="S179" s="2">
        <v>0.33340000000000003</v>
      </c>
      <c r="T179" s="4">
        <v>0.1079</v>
      </c>
      <c r="U179" s="4">
        <f>IF(Bases_annexes!$F$5=0,16.6587111018772,0.77*Bases_annexes!$F$5/(IF(OR(ISBLANK('Données_d''entrée'!$E$44),'Données_d''entrée'!$E$44=0),35,'Données_d''entrée'!$E$44)*52))</f>
        <v>16.658711101877199</v>
      </c>
      <c r="V179" s="4">
        <v>4.25</v>
      </c>
      <c r="W1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79" s="4">
        <v>234.5</v>
      </c>
      <c r="Y179" s="4">
        <f>(Base[[#This Row],['[Maladies']Coûts_évités_par_salarié]]+Base[[#This Row],['[Travail']Coûts_évités_par_salarié]])/Base[[#This Row],[Budget_santé_salarié]]</f>
        <v>7.9870974088823307E-2</v>
      </c>
      <c r="Z179" s="4">
        <v>0.8</v>
      </c>
      <c r="AA179" s="4">
        <f>Base[[#This Row],[Coût]]*Base[[#This Row],[Part_société_dépenses_santé]]</f>
        <v>6.1410362769300963</v>
      </c>
      <c r="AB179" s="4">
        <v>67635124</v>
      </c>
      <c r="AC179" s="4">
        <v>82.297079063317852</v>
      </c>
      <c r="AD179" s="4">
        <v>0.1079</v>
      </c>
      <c r="AE179" s="4">
        <f>Base[[#This Row],['[SC']Prévalence_travail]]*Base[[#This Row],[Population_emploi]]</f>
        <v>2988830</v>
      </c>
      <c r="AF179" s="4">
        <f>Base[[#This Row],[Risque]]*Base[[#This Row],['[SC']Patients_en_emploi]]</f>
        <v>1363684.4333859975</v>
      </c>
      <c r="AG179" s="4">
        <v>0</v>
      </c>
      <c r="AH179" s="4">
        <f>IFERROR(Base[[#This Row],['[SC']Prestations]]/Base[[#This Row],['[SC']Patients_en_emploi]],0)</f>
        <v>0</v>
      </c>
      <c r="AI179" s="4">
        <v>51.7</v>
      </c>
      <c r="AJ1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79" s="4">
        <f>Base[[#This Row],['[SC']'[Travail']Coûts_évités]]/Base[[#This Row],[Population_emploi]]</f>
        <v>3.1815200905259964</v>
      </c>
      <c r="AL179" s="4">
        <f>Base[[#This Row],[Coût_société]]*10^9*Base[[#This Row],[Risque]]*Base[[#This Row],[Prévalence]]*Base[[#This Row],[Part_coûts_salarié]]/Base[[#This Row],[Population_emploi]]</f>
        <v>9.0251039704613572</v>
      </c>
      <c r="AM179" s="4">
        <f>IF(Base[[#This Row],[Pathologie]]&lt;&gt;"Dépendance",0,14909.24243952)</f>
        <v>0</v>
      </c>
      <c r="AN179" s="4">
        <f>IF(Base[[#This Row],[Pathologie]]&lt;&gt;"Dépendance",0,1316000)</f>
        <v>0</v>
      </c>
      <c r="AO179" s="4">
        <f>IF(Base[[#This Row],[Pathologie]]&lt;&gt;"Dépendance",0,Base[[#This Row],['[SC']Coût_personne_dépendante]]*Base[[#This Row],['[SC']Nb_personnes_dépendantes]])</f>
        <v>0</v>
      </c>
      <c r="AP179" s="4">
        <f>IF(Base[[#This Row],[Pathologie]]&lt;&gt;"Dépendance",0,Base[[#This Row],['[SC']Coût_total_dépendance]]/Base[[#This Row],[Population_totale]])</f>
        <v>0</v>
      </c>
      <c r="AQ179" s="4">
        <f>IF(Base[[#This Row],[Pathologie]]&lt;&gt;"Dépendance",0,4.5)</f>
        <v>0</v>
      </c>
      <c r="AR179" s="4">
        <v>0.50393265050357905</v>
      </c>
      <c r="AS179" s="4">
        <f>Base[[#This Row],[Espérance_vie]]+Base[[#This Row],['[SC']Hausse_esp_de_vie]]-Base[[#This Row],['[SC']Durée_moyenne_dépendance_avt]]+Base[[#This Row],[Risque]]</f>
        <v>83.257272000751769</v>
      </c>
      <c r="AT1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79" s="4">
        <v>62.9</v>
      </c>
      <c r="AW179" s="4">
        <f t="shared" si="0"/>
        <v>336905600000</v>
      </c>
      <c r="AX179" s="4">
        <v>15049171</v>
      </c>
      <c r="AY179" s="4">
        <f>Base[[#This Row],['[SC']Budget_total_retraites]]/Base[[#This Row],['[SC']Nombre_de_retraités]]</f>
        <v>22386.987296509556</v>
      </c>
      <c r="AZ179" s="4">
        <f>Base[[#This Row],['[SC']Budget_par_retraité]]*Base[[#This Row],['[SC']Nb_personnes_dépendantes]]</f>
        <v>0</v>
      </c>
      <c r="BA179" s="4">
        <f>Base[[#This Row],['[SC']'[Dépendance']Coût_retraite_personnes_dépendantes]]/Base[[#This Row],[Population_totale]]</f>
        <v>0</v>
      </c>
      <c r="BB1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79" s="4">
        <f>Base[[#This Row],['[SC']'[Dépendance']Gains]]-Base[[#This Row],['[SC']'[Dépendance']Coûts]]</f>
        <v>0</v>
      </c>
      <c r="BD179" s="4">
        <f>IF(Base[[#This Row],[Pathologie]]&lt;&gt;"Mort prématurée",0,Base[[#This Row],[Risque]]*Base[[#This Row],[Prévalence]]*Base[[#This Row],[Population_totale]])</f>
        <v>0</v>
      </c>
      <c r="BE179" s="4">
        <v>52.74</v>
      </c>
      <c r="BF179" s="4">
        <f>Base[[#This Row],['[SC']Âge_moyen_retraite]]-Base[[#This Row],['[SC']'[Mort_prématurée']Âge_moyen_mort précoce]]</f>
        <v>10.159999999999997</v>
      </c>
      <c r="BG179" s="4">
        <f>Base[[#This Row],[Espérance_vie]]+Base[[#This Row],['[SC']Hausse_esp_de_vie]]-Base[[#This Row],['[SC']Âge_moyen_retraite]]</f>
        <v>19.90101171382144</v>
      </c>
      <c r="BH179" s="4">
        <v>106583.42676924677</v>
      </c>
      <c r="BI179" s="4">
        <v>97601.789429271477</v>
      </c>
      <c r="BJ179" s="4">
        <v>302038.31496633729</v>
      </c>
      <c r="BK179" s="4">
        <v>117293.58934859755</v>
      </c>
      <c r="BL179" s="4">
        <v>1523999.9999999995</v>
      </c>
      <c r="BM1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79" s="4">
        <v>294804.96027377353</v>
      </c>
      <c r="BO1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79" s="4">
        <f>(Base[[#This Row],['[SC']'[Mort_prématurée']Gains]]-Base[[#This Row],['[SC']'[Mort_prématurée']Coûts]])/Base[[#This Row],[Population_totale]]</f>
        <v>0</v>
      </c>
      <c r="BQ179" s="4">
        <f>IF(Base[[#This Row],[Pathologie]]&lt;&gt;"Mort prématurée",0,Base[[#This Row],[Risque]])</f>
        <v>0</v>
      </c>
      <c r="BR179" s="4">
        <v>2680</v>
      </c>
      <c r="BS1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79" s="4">
        <f>Base[[#This Row],[Prévalence_prod]]*(1-Base[[#This Row],[Risque]])*Base[[#This Row],[Durée_arrêt]]*Base[[#This Row],[Population_emploi]]</f>
        <v>6906868.6581095094</v>
      </c>
      <c r="BV179" s="4">
        <f>Base[[#This Row],['[Prod']'[Absentéisme']Total_jours_absence_avant]]-Base[[#This Row],['[Prod']'[Absentéisme']Total_jours_absence_après]]</f>
        <v>5795658.8418904888</v>
      </c>
      <c r="BW179" s="4">
        <f>IF(AND(Base[[#This Row],[Pathologie]]&lt;&gt;"Dépendance",Base[[#This Row],[Pathologie]]&lt;&gt;"Mort prématurée",Base[[#This Row],[Pathologie]]&lt;&gt;"Migraine"),0.0619,0)</f>
        <v>6.1899999999999997E-2</v>
      </c>
      <c r="BX179" s="4">
        <v>254</v>
      </c>
      <c r="BY179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79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79" s="4">
        <f>Base[[#This Row],[Prévalence_prod]]*Base[[#This Row],[Présentéisme]]*Base[[#This Row],['[Prod']Jours_ouvrés]]</f>
        <v>2.0966048999999995</v>
      </c>
      <c r="CB179" s="4">
        <f>Base[[#This Row],[Prévalence_prod]]*(1-Base[[#This Row],[Risque]])*Base[[#This Row],[Présentéisme]]*Base[[#This Row],['[Prod']Jours_ouvrés]]</f>
        <v>1.1400073467464504</v>
      </c>
      <c r="CC179" s="4">
        <f>Base[[#This Row],['[Prod']'[Présentéisme']Jours_avant]]-Base[[#This Row],['[Prod']'[Présentéisme']Jours_après]]</f>
        <v>0.95659755325354912</v>
      </c>
      <c r="CD179" s="4">
        <f>Base[[#This Row],['[Prod']'[Présentéisme']Jours_gagnés]]/Base[[#This Row],['[Prod']Jours_ouvrés]]</f>
        <v>3.7661320994234219E-3</v>
      </c>
      <c r="CE179">
        <v>5.8333039429220801E-2</v>
      </c>
      <c r="CF179">
        <v>1.4658164114728258E-2</v>
      </c>
      <c r="CG179" s="4">
        <v>11</v>
      </c>
      <c r="CH179" s="4">
        <v>1.3966184516047948</v>
      </c>
      <c r="CI179" s="4">
        <v>1.4392894727292521E-2</v>
      </c>
      <c r="CJ179" s="4">
        <f>IF(Base[[#This Row],[Secteur]]&lt;&gt;"Moyenne",Base[[#This Row],['[Prod']'[Turnover']DMC_initiale]]*(1+Base[[#This Row],['[Prod']'[Turnover']Ecart_accidents]]*Base[[#This Row],['[Prod']Impact_motifs_turnover]]),CJ162*CI162+CJ163*CI163+CJ164*CI164+CJ165*CI165+CJ166*CI166+CJ167*CI167+CJ168*CI168+CJ169*CI169+CJ170*CI170+CJ171*CI171+CJ172*CI172+CJ173*CI173+CJ174*CI174+CJ175*CI175+CJ176*CI176+CJ177*CI177+CJ178*CI178)</f>
        <v>11.225190487162088</v>
      </c>
      <c r="CK179" s="4">
        <f>1/Base[[#This Row],['[Prod']'[Turnover']DMC_initiale]]</f>
        <v>9.0909090909090912E-2</v>
      </c>
      <c r="CL179" s="4">
        <f>1/Base[[#This Row],['[Prod']'[Turnover']DMC_finale]]</f>
        <v>8.9085347918475846E-2</v>
      </c>
    </row>
    <row r="180" spans="2:90" x14ac:dyDescent="0.25">
      <c r="B180" s="4" t="s">
        <v>316</v>
      </c>
      <c r="C180">
        <v>7.5</v>
      </c>
      <c r="D180" t="s">
        <v>84</v>
      </c>
      <c r="E180" t="s">
        <v>12</v>
      </c>
      <c r="F180" s="3">
        <v>0.45626028693033643</v>
      </c>
      <c r="G180" s="3">
        <v>0.1079</v>
      </c>
      <c r="H180" s="3">
        <v>0.1079</v>
      </c>
      <c r="I180" s="3">
        <v>7.6499999999999999E-2</v>
      </c>
      <c r="J180" s="3">
        <v>7.67629534616262</v>
      </c>
      <c r="K180" s="3">
        <v>7.0000000000000007E-2</v>
      </c>
      <c r="L180" s="2">
        <f>Base[[#This Row],[Coût]]*Base[[#This Row],[Part_ménages_dépenses_santé]]</f>
        <v>0.53734067423138343</v>
      </c>
      <c r="M180" s="2">
        <v>0.82690611956969029</v>
      </c>
      <c r="N180" s="6">
        <v>27700000</v>
      </c>
      <c r="O180" s="7">
        <f>Base[[#This Row],[Coût_salarié]]*10^9*Base[[#This Row],[Risque]]*Base[[#This Row],[Prévalence]]*Base[[#This Row],[Part_coûts_salarié]]/Base[[#This Row],[Population_emploi]]</f>
        <v>0.78969659741536868</v>
      </c>
      <c r="P180">
        <v>50</v>
      </c>
      <c r="Q180">
        <v>50</v>
      </c>
      <c r="R180" s="2">
        <v>9.9999999999999978E-2</v>
      </c>
      <c r="S180" s="2">
        <v>0.33340000000000003</v>
      </c>
      <c r="T180" s="4">
        <v>0.1079</v>
      </c>
      <c r="U180" s="4">
        <f>IF(Bases_annexes!$F$5=0,16.6587111018772,0.77*Bases_annexes!$F$5/(IF(OR(ISBLANK('Données_d''entrée'!$E$44),'Données_d''entrée'!$E$44=0),35,'Données_d''entrée'!$E$44)*52))</f>
        <v>16.658711101877199</v>
      </c>
      <c r="V180" s="4">
        <v>4.25</v>
      </c>
      <c r="W1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0" s="4">
        <v>234.5</v>
      </c>
      <c r="Y180" s="4">
        <f>(Base[[#This Row],['[Maladies']Coûts_évités_par_salarié]]+Base[[#This Row],['[Travail']Coûts_évités_par_salarié]])/Base[[#This Row],[Budget_santé_salarié]]</f>
        <v>7.9870974088823307E-2</v>
      </c>
      <c r="Z180" s="4">
        <v>0.8</v>
      </c>
      <c r="AA180" s="4">
        <f>Base[[#This Row],[Coût]]*Base[[#This Row],[Part_société_dépenses_santé]]</f>
        <v>6.1410362769300963</v>
      </c>
      <c r="AB180" s="4">
        <v>67635124</v>
      </c>
      <c r="AC180" s="4">
        <v>82.297079063317852</v>
      </c>
      <c r="AD180" s="4">
        <v>0.1079</v>
      </c>
      <c r="AE180" s="4">
        <f>Base[[#This Row],['[SC']Prévalence_travail]]*Base[[#This Row],[Population_emploi]]</f>
        <v>2988830</v>
      </c>
      <c r="AF180" s="4">
        <f>Base[[#This Row],[Risque]]*Base[[#This Row],['[SC']Patients_en_emploi]]</f>
        <v>1363684.4333859975</v>
      </c>
      <c r="AG180" s="4">
        <v>0</v>
      </c>
      <c r="AH180" s="4">
        <f>IFERROR(Base[[#This Row],['[SC']Prestations]]/Base[[#This Row],['[SC']Patients_en_emploi]],0)</f>
        <v>0</v>
      </c>
      <c r="AI180" s="4">
        <v>51.7</v>
      </c>
      <c r="AJ1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0" s="4">
        <f>Base[[#This Row],['[SC']'[Travail']Coûts_évités]]/Base[[#This Row],[Population_emploi]]</f>
        <v>3.1815200905259964</v>
      </c>
      <c r="AL180" s="4">
        <f>Base[[#This Row],[Coût_société]]*10^9*Base[[#This Row],[Risque]]*Base[[#This Row],[Prévalence]]*Base[[#This Row],[Part_coûts_salarié]]/Base[[#This Row],[Population_emploi]]</f>
        <v>9.0251039704613572</v>
      </c>
      <c r="AM180" s="4">
        <f>IF(Base[[#This Row],[Pathologie]]&lt;&gt;"Dépendance",0,14909.24243952)</f>
        <v>0</v>
      </c>
      <c r="AN180" s="4">
        <f>IF(Base[[#This Row],[Pathologie]]&lt;&gt;"Dépendance",0,1316000)</f>
        <v>0</v>
      </c>
      <c r="AO180" s="4">
        <f>IF(Base[[#This Row],[Pathologie]]&lt;&gt;"Dépendance",0,Base[[#This Row],['[SC']Coût_personne_dépendante]]*Base[[#This Row],['[SC']Nb_personnes_dépendantes]])</f>
        <v>0</v>
      </c>
      <c r="AP180" s="4">
        <f>IF(Base[[#This Row],[Pathologie]]&lt;&gt;"Dépendance",0,Base[[#This Row],['[SC']Coût_total_dépendance]]/Base[[#This Row],[Population_totale]])</f>
        <v>0</v>
      </c>
      <c r="AQ180" s="4">
        <f>IF(Base[[#This Row],[Pathologie]]&lt;&gt;"Dépendance",0,4.5)</f>
        <v>0</v>
      </c>
      <c r="AR180" s="4">
        <v>0.50393265050357905</v>
      </c>
      <c r="AS180" s="4">
        <f>Base[[#This Row],[Espérance_vie]]+Base[[#This Row],['[SC']Hausse_esp_de_vie]]-Base[[#This Row],['[SC']Durée_moyenne_dépendance_avt]]+Base[[#This Row],[Risque]]</f>
        <v>83.257272000751769</v>
      </c>
      <c r="AT1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0" s="4">
        <v>62.9</v>
      </c>
      <c r="AW180" s="4">
        <f t="shared" si="0"/>
        <v>336905600000</v>
      </c>
      <c r="AX180" s="4">
        <v>15049171</v>
      </c>
      <c r="AY180" s="4">
        <f>Base[[#This Row],['[SC']Budget_total_retraites]]/Base[[#This Row],['[SC']Nombre_de_retraités]]</f>
        <v>22386.987296509556</v>
      </c>
      <c r="AZ180" s="4">
        <f>Base[[#This Row],['[SC']Budget_par_retraité]]*Base[[#This Row],['[SC']Nb_personnes_dépendantes]]</f>
        <v>0</v>
      </c>
      <c r="BA180" s="4">
        <f>Base[[#This Row],['[SC']'[Dépendance']Coût_retraite_personnes_dépendantes]]/Base[[#This Row],[Population_totale]]</f>
        <v>0</v>
      </c>
      <c r="BB1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0" s="4">
        <f>Base[[#This Row],['[SC']'[Dépendance']Gains]]-Base[[#This Row],['[SC']'[Dépendance']Coûts]]</f>
        <v>0</v>
      </c>
      <c r="BD180" s="4">
        <f>IF(Base[[#This Row],[Pathologie]]&lt;&gt;"Mort prématurée",0,Base[[#This Row],[Risque]]*Base[[#This Row],[Prévalence]]*Base[[#This Row],[Population_totale]])</f>
        <v>0</v>
      </c>
      <c r="BE180" s="4">
        <v>52.74</v>
      </c>
      <c r="BF180" s="4">
        <f>Base[[#This Row],['[SC']Âge_moyen_retraite]]-Base[[#This Row],['[SC']'[Mort_prématurée']Âge_moyen_mort précoce]]</f>
        <v>10.159999999999997</v>
      </c>
      <c r="BG180" s="4">
        <f>Base[[#This Row],[Espérance_vie]]+Base[[#This Row],['[SC']Hausse_esp_de_vie]]-Base[[#This Row],['[SC']Âge_moyen_retraite]]</f>
        <v>19.90101171382144</v>
      </c>
      <c r="BH180" s="4">
        <v>106583.42676924677</v>
      </c>
      <c r="BI180" s="4">
        <v>97601.789429271477</v>
      </c>
      <c r="BJ180" s="4">
        <v>302038.31496633729</v>
      </c>
      <c r="BK180" s="4">
        <v>117293.58934859755</v>
      </c>
      <c r="BL180" s="4">
        <v>1523999.9999999995</v>
      </c>
      <c r="BM1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0" s="4">
        <v>294804.96027377353</v>
      </c>
      <c r="BO1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0" s="4">
        <f>(Base[[#This Row],['[SC']'[Mort_prématurée']Gains]]-Base[[#This Row],['[SC']'[Mort_prématurée']Coûts]])/Base[[#This Row],[Population_totale]]</f>
        <v>0</v>
      </c>
      <c r="BQ180" s="4">
        <f>IF(Base[[#This Row],[Pathologie]]&lt;&gt;"Mort prématurée",0,Base[[#This Row],[Risque]])</f>
        <v>0</v>
      </c>
      <c r="BR180" s="4">
        <v>2680</v>
      </c>
      <c r="BS1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0" s="4">
        <f>Base[[#This Row],[Prévalence_prod]]*(1-Base[[#This Row],[Risque]])*Base[[#This Row],[Durée_arrêt]]*Base[[#This Row],[Population_emploi]]</f>
        <v>6906868.6581095094</v>
      </c>
      <c r="BV180" s="4">
        <f>Base[[#This Row],['[Prod']'[Absentéisme']Total_jours_absence_avant]]-Base[[#This Row],['[Prod']'[Absentéisme']Total_jours_absence_après]]</f>
        <v>5795658.8418904888</v>
      </c>
      <c r="BW180" s="4">
        <f>IF(AND(Base[[#This Row],[Pathologie]]&lt;&gt;"Dépendance",Base[[#This Row],[Pathologie]]&lt;&gt;"Mort prématurée",Base[[#This Row],[Pathologie]]&lt;&gt;"Migraine"),0.0619,0)</f>
        <v>6.1899999999999997E-2</v>
      </c>
      <c r="BX180" s="4">
        <v>254</v>
      </c>
      <c r="BY180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0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0" s="4">
        <f>Base[[#This Row],[Prévalence_prod]]*Base[[#This Row],[Présentéisme]]*Base[[#This Row],['[Prod']Jours_ouvrés]]</f>
        <v>2.0966048999999995</v>
      </c>
      <c r="CB180" s="4">
        <f>Base[[#This Row],[Prévalence_prod]]*(1-Base[[#This Row],[Risque]])*Base[[#This Row],[Présentéisme]]*Base[[#This Row],['[Prod']Jours_ouvrés]]</f>
        <v>1.1400073467464504</v>
      </c>
      <c r="CC180" s="4">
        <f>Base[[#This Row],['[Prod']'[Présentéisme']Jours_avant]]-Base[[#This Row],['[Prod']'[Présentéisme']Jours_après]]</f>
        <v>0.95659755325354912</v>
      </c>
      <c r="CD180" s="4">
        <f>Base[[#This Row],['[Prod']'[Présentéisme']Jours_gagnés]]/Base[[#This Row],['[Prod']Jours_ouvrés]]</f>
        <v>3.7661320994234219E-3</v>
      </c>
      <c r="CE180">
        <v>5.8333039429220801E-2</v>
      </c>
      <c r="CF180">
        <v>1.4658164114728258E-2</v>
      </c>
      <c r="CG180" s="4">
        <v>11</v>
      </c>
      <c r="CH180" s="4">
        <v>0.68054183762612652</v>
      </c>
      <c r="CI180" s="4">
        <v>1.2135452577082654E-2</v>
      </c>
      <c r="CJ180" s="4">
        <f>IF(Base[[#This Row],[Secteur]]&lt;&gt;"Moyenne",Base[[#This Row],['[Prod']'[Turnover']DMC_initiale]]*(1+Base[[#This Row],['[Prod']'[Turnover']Ecart_accidents]]*Base[[#This Row],['[Prod']Impact_motifs_turnover]]),CJ163*CI163+CJ164*CI164+CJ165*CI165+CJ166*CI166+CJ167*CI167+CJ168*CI168+CJ169*CI169+CJ170*CI170+CJ171*CI171+CJ172*CI172+CJ173*CI173+CJ174*CI174+CJ175*CI175+CJ176*CI176+CJ177*CI177+CJ178*CI178+CJ179*CI179)</f>
        <v>11.109730433371487</v>
      </c>
      <c r="CK180" s="4">
        <f>1/Base[[#This Row],['[Prod']'[Turnover']DMC_initiale]]</f>
        <v>9.0909090909090912E-2</v>
      </c>
      <c r="CL180" s="4">
        <f>1/Base[[#This Row],['[Prod']'[Turnover']DMC_finale]]</f>
        <v>9.001118487953523E-2</v>
      </c>
    </row>
    <row r="181" spans="2:90" x14ac:dyDescent="0.25">
      <c r="B181" s="4" t="s">
        <v>317</v>
      </c>
      <c r="C181">
        <v>7.5</v>
      </c>
      <c r="D181" t="s">
        <v>84</v>
      </c>
      <c r="E181" t="s">
        <v>12</v>
      </c>
      <c r="F181" s="3">
        <v>0.45626028693033643</v>
      </c>
      <c r="G181" s="3">
        <v>0.1079</v>
      </c>
      <c r="H181" s="3">
        <v>0.1079</v>
      </c>
      <c r="I181" s="3">
        <v>7.6499999999999999E-2</v>
      </c>
      <c r="J181" s="3">
        <v>7.67629534616262</v>
      </c>
      <c r="K181" s="3">
        <v>7.0000000000000007E-2</v>
      </c>
      <c r="L181" s="2">
        <f>Base[[#This Row],[Coût]]*Base[[#This Row],[Part_ménages_dépenses_santé]]</f>
        <v>0.53734067423138343</v>
      </c>
      <c r="M181" s="2">
        <v>0.82690611956969029</v>
      </c>
      <c r="N181" s="6">
        <v>27700000</v>
      </c>
      <c r="O181" s="7">
        <f>Base[[#This Row],[Coût_salarié]]*10^9*Base[[#This Row],[Risque]]*Base[[#This Row],[Prévalence]]*Base[[#This Row],[Part_coûts_salarié]]/Base[[#This Row],[Population_emploi]]</f>
        <v>0.78969659741536868</v>
      </c>
      <c r="P181">
        <v>50</v>
      </c>
      <c r="Q181">
        <v>50</v>
      </c>
      <c r="R181" s="2">
        <v>9.9999999999999978E-2</v>
      </c>
      <c r="S181" s="2">
        <v>0.33340000000000003</v>
      </c>
      <c r="T181" s="4">
        <v>0.1079</v>
      </c>
      <c r="U181" s="4">
        <f>IF(Bases_annexes!$F$5=0,16.6587111018772,0.77*Bases_annexes!$F$5/(IF(OR(ISBLANK('Données_d''entrée'!$E$44),'Données_d''entrée'!$E$44=0),35,'Données_d''entrée'!$E$44)*52))</f>
        <v>16.658711101877199</v>
      </c>
      <c r="V181" s="4">
        <v>4.25</v>
      </c>
      <c r="W1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1" s="4">
        <v>234.5</v>
      </c>
      <c r="Y181" s="4">
        <f>(Base[[#This Row],['[Maladies']Coûts_évités_par_salarié]]+Base[[#This Row],['[Travail']Coûts_évités_par_salarié]])/Base[[#This Row],[Budget_santé_salarié]]</f>
        <v>7.9870974088823307E-2</v>
      </c>
      <c r="Z181" s="4">
        <v>0.8</v>
      </c>
      <c r="AA181" s="4">
        <f>Base[[#This Row],[Coût]]*Base[[#This Row],[Part_société_dépenses_santé]]</f>
        <v>6.1410362769300963</v>
      </c>
      <c r="AB181" s="4">
        <v>67635124</v>
      </c>
      <c r="AC181" s="4">
        <v>82.297079063317852</v>
      </c>
      <c r="AD181" s="4">
        <v>0.1079</v>
      </c>
      <c r="AE181" s="4">
        <f>Base[[#This Row],['[SC']Prévalence_travail]]*Base[[#This Row],[Population_emploi]]</f>
        <v>2988830</v>
      </c>
      <c r="AF181" s="4">
        <f>Base[[#This Row],[Risque]]*Base[[#This Row],['[SC']Patients_en_emploi]]</f>
        <v>1363684.4333859975</v>
      </c>
      <c r="AG181" s="4">
        <v>0</v>
      </c>
      <c r="AH181" s="4">
        <f>IFERROR(Base[[#This Row],['[SC']Prestations]]/Base[[#This Row],['[SC']Patients_en_emploi]],0)</f>
        <v>0</v>
      </c>
      <c r="AI181" s="4">
        <v>51.7</v>
      </c>
      <c r="AJ1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1" s="4">
        <f>Base[[#This Row],['[SC']'[Travail']Coûts_évités]]/Base[[#This Row],[Population_emploi]]</f>
        <v>3.1815200905259964</v>
      </c>
      <c r="AL181" s="4">
        <f>Base[[#This Row],[Coût_société]]*10^9*Base[[#This Row],[Risque]]*Base[[#This Row],[Prévalence]]*Base[[#This Row],[Part_coûts_salarié]]/Base[[#This Row],[Population_emploi]]</f>
        <v>9.0251039704613572</v>
      </c>
      <c r="AM181" s="4">
        <f>IF(Base[[#This Row],[Pathologie]]&lt;&gt;"Dépendance",0,14909.24243952)</f>
        <v>0</v>
      </c>
      <c r="AN181" s="4">
        <f>IF(Base[[#This Row],[Pathologie]]&lt;&gt;"Dépendance",0,1316000)</f>
        <v>0</v>
      </c>
      <c r="AO181" s="4">
        <f>IF(Base[[#This Row],[Pathologie]]&lt;&gt;"Dépendance",0,Base[[#This Row],['[SC']Coût_personne_dépendante]]*Base[[#This Row],['[SC']Nb_personnes_dépendantes]])</f>
        <v>0</v>
      </c>
      <c r="AP181" s="4">
        <f>IF(Base[[#This Row],[Pathologie]]&lt;&gt;"Dépendance",0,Base[[#This Row],['[SC']Coût_total_dépendance]]/Base[[#This Row],[Population_totale]])</f>
        <v>0</v>
      </c>
      <c r="AQ181" s="4">
        <f>IF(Base[[#This Row],[Pathologie]]&lt;&gt;"Dépendance",0,4.5)</f>
        <v>0</v>
      </c>
      <c r="AR181" s="4">
        <v>0.50393265050357905</v>
      </c>
      <c r="AS181" s="4">
        <f>Base[[#This Row],[Espérance_vie]]+Base[[#This Row],['[SC']Hausse_esp_de_vie]]-Base[[#This Row],['[SC']Durée_moyenne_dépendance_avt]]+Base[[#This Row],[Risque]]</f>
        <v>83.257272000751769</v>
      </c>
      <c r="AT1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1" s="4">
        <v>62.9</v>
      </c>
      <c r="AW181" s="4">
        <f t="shared" si="0"/>
        <v>336905600000</v>
      </c>
      <c r="AX181" s="4">
        <v>15049171</v>
      </c>
      <c r="AY181" s="4">
        <f>Base[[#This Row],['[SC']Budget_total_retraites]]/Base[[#This Row],['[SC']Nombre_de_retraités]]</f>
        <v>22386.987296509556</v>
      </c>
      <c r="AZ181" s="4">
        <f>Base[[#This Row],['[SC']Budget_par_retraité]]*Base[[#This Row],['[SC']Nb_personnes_dépendantes]]</f>
        <v>0</v>
      </c>
      <c r="BA181" s="4">
        <f>Base[[#This Row],['[SC']'[Dépendance']Coût_retraite_personnes_dépendantes]]/Base[[#This Row],[Population_totale]]</f>
        <v>0</v>
      </c>
      <c r="BB1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1" s="4">
        <f>Base[[#This Row],['[SC']'[Dépendance']Gains]]-Base[[#This Row],['[SC']'[Dépendance']Coûts]]</f>
        <v>0</v>
      </c>
      <c r="BD181" s="4">
        <f>IF(Base[[#This Row],[Pathologie]]&lt;&gt;"Mort prématurée",0,Base[[#This Row],[Risque]]*Base[[#This Row],[Prévalence]]*Base[[#This Row],[Population_totale]])</f>
        <v>0</v>
      </c>
      <c r="BE181" s="4">
        <v>52.74</v>
      </c>
      <c r="BF181" s="4">
        <f>Base[[#This Row],['[SC']Âge_moyen_retraite]]-Base[[#This Row],['[SC']'[Mort_prématurée']Âge_moyen_mort précoce]]</f>
        <v>10.159999999999997</v>
      </c>
      <c r="BG181" s="4">
        <f>Base[[#This Row],[Espérance_vie]]+Base[[#This Row],['[SC']Hausse_esp_de_vie]]-Base[[#This Row],['[SC']Âge_moyen_retraite]]</f>
        <v>19.90101171382144</v>
      </c>
      <c r="BH181" s="4">
        <v>106583.42676924677</v>
      </c>
      <c r="BI181" s="4">
        <v>97601.789429271477</v>
      </c>
      <c r="BJ181" s="4">
        <v>302038.31496633729</v>
      </c>
      <c r="BK181" s="4">
        <v>117293.58934859755</v>
      </c>
      <c r="BL181" s="4">
        <v>1523999.9999999995</v>
      </c>
      <c r="BM1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1" s="4">
        <v>294804.96027377353</v>
      </c>
      <c r="BO1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1" s="4">
        <f>(Base[[#This Row],['[SC']'[Mort_prématurée']Gains]]-Base[[#This Row],['[SC']'[Mort_prématurée']Coûts]])/Base[[#This Row],[Population_totale]]</f>
        <v>0</v>
      </c>
      <c r="BQ181" s="4">
        <f>IF(Base[[#This Row],[Pathologie]]&lt;&gt;"Mort prématurée",0,Base[[#This Row],[Risque]])</f>
        <v>0</v>
      </c>
      <c r="BR181" s="4">
        <v>2680</v>
      </c>
      <c r="BS1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1" s="4">
        <f>Base[[#This Row],[Prévalence_prod]]*(1-Base[[#This Row],[Risque]])*Base[[#This Row],[Durée_arrêt]]*Base[[#This Row],[Population_emploi]]</f>
        <v>6906868.6581095094</v>
      </c>
      <c r="BV181" s="4">
        <f>Base[[#This Row],['[Prod']'[Absentéisme']Total_jours_absence_avant]]-Base[[#This Row],['[Prod']'[Absentéisme']Total_jours_absence_après]]</f>
        <v>5795658.8418904888</v>
      </c>
      <c r="BW181" s="4">
        <f>IF(AND(Base[[#This Row],[Pathologie]]&lt;&gt;"Dépendance",Base[[#This Row],[Pathologie]]&lt;&gt;"Mort prématurée",Base[[#This Row],[Pathologie]]&lt;&gt;"Migraine"),0.0619,0)</f>
        <v>6.1899999999999997E-2</v>
      </c>
      <c r="BX181" s="4">
        <v>254</v>
      </c>
      <c r="BY18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1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1" s="4">
        <f>Base[[#This Row],[Prévalence_prod]]*Base[[#This Row],[Présentéisme]]*Base[[#This Row],['[Prod']Jours_ouvrés]]</f>
        <v>2.0966048999999995</v>
      </c>
      <c r="CB181" s="4">
        <f>Base[[#This Row],[Prévalence_prod]]*(1-Base[[#This Row],[Risque]])*Base[[#This Row],[Présentéisme]]*Base[[#This Row],['[Prod']Jours_ouvrés]]</f>
        <v>1.1400073467464504</v>
      </c>
      <c r="CC181" s="4">
        <f>Base[[#This Row],['[Prod']'[Présentéisme']Jours_avant]]-Base[[#This Row],['[Prod']'[Présentéisme']Jours_après]]</f>
        <v>0.95659755325354912</v>
      </c>
      <c r="CD181" s="4">
        <f>Base[[#This Row],['[Prod']'[Présentéisme']Jours_gagnés]]/Base[[#This Row],['[Prod']Jours_ouvrés]]</f>
        <v>3.7661320994234219E-3</v>
      </c>
      <c r="CE181">
        <v>5.8333039429220801E-2</v>
      </c>
      <c r="CF181">
        <v>1.4658164114728258E-2</v>
      </c>
      <c r="CG181" s="4">
        <v>11</v>
      </c>
      <c r="CH181" s="4">
        <v>0.31563677172153043</v>
      </c>
      <c r="CI181" s="4">
        <v>1.3003350630813707E-4</v>
      </c>
      <c r="CJ181" s="4">
        <f>IF(Base[[#This Row],[Secteur]]&lt;&gt;"Moyenne",Base[[#This Row],['[Prod']'[Turnover']DMC_initiale]]*(1+Base[[#This Row],['[Prod']'[Turnover']Ecart_accidents]]*Base[[#This Row],['[Prod']Impact_motifs_turnover]]),CJ164*CI164+CJ165*CI165+CJ166*CI166+CJ167*CI167+CJ168*CI168+CJ169*CI169+CJ170*CI170+CJ171*CI171+CJ172*CI172+CJ173*CI173+CJ174*CI174+CJ175*CI175+CJ176*CI176+CJ177*CI177+CJ178*CI178+CJ179*CI179+CJ180*CI180)</f>
        <v>11.05089321160591</v>
      </c>
      <c r="CK181" s="4">
        <f>1/Base[[#This Row],['[Prod']'[Turnover']DMC_initiale]]</f>
        <v>9.0909090909090912E-2</v>
      </c>
      <c r="CL181" s="4">
        <f>1/Base[[#This Row],['[Prod']'[Turnover']DMC_finale]]</f>
        <v>9.0490422887244654E-2</v>
      </c>
    </row>
    <row r="182" spans="2:90" x14ac:dyDescent="0.25">
      <c r="B182" s="4" t="s">
        <v>318</v>
      </c>
      <c r="C182">
        <v>7.5</v>
      </c>
      <c r="D182" t="s">
        <v>84</v>
      </c>
      <c r="E182" t="s">
        <v>12</v>
      </c>
      <c r="F182" s="3">
        <v>0.45626028693033643</v>
      </c>
      <c r="G182" s="3">
        <v>0.1079</v>
      </c>
      <c r="H182" s="3">
        <v>0.1079</v>
      </c>
      <c r="I182" s="3">
        <v>7.6499999999999999E-2</v>
      </c>
      <c r="J182" s="3">
        <v>7.67629534616262</v>
      </c>
      <c r="K182" s="3">
        <v>7.0000000000000007E-2</v>
      </c>
      <c r="L182" s="2">
        <f>Base[[#This Row],[Coût]]*Base[[#This Row],[Part_ménages_dépenses_santé]]</f>
        <v>0.53734067423138343</v>
      </c>
      <c r="M182" s="2">
        <v>0.82690611956969029</v>
      </c>
      <c r="N182" s="6">
        <v>27700000</v>
      </c>
      <c r="O182" s="7">
        <f>Base[[#This Row],[Coût_salarié]]*10^9*Base[[#This Row],[Risque]]*Base[[#This Row],[Prévalence]]*Base[[#This Row],[Part_coûts_salarié]]/Base[[#This Row],[Population_emploi]]</f>
        <v>0.78969659741536868</v>
      </c>
      <c r="P182">
        <v>50</v>
      </c>
      <c r="Q182">
        <v>50</v>
      </c>
      <c r="R182" s="2">
        <v>9.9999999999999978E-2</v>
      </c>
      <c r="S182" s="2">
        <v>0.33340000000000003</v>
      </c>
      <c r="T182" s="4">
        <v>0.1079</v>
      </c>
      <c r="U182" s="4">
        <f>IF(Bases_annexes!$F$5=0,16.6587111018772,0.77*Bases_annexes!$F$5/(IF(OR(ISBLANK('Données_d''entrée'!$E$44),'Données_d''entrée'!$E$44=0),35,'Données_d''entrée'!$E$44)*52))</f>
        <v>16.658711101877199</v>
      </c>
      <c r="V182" s="4">
        <v>4.25</v>
      </c>
      <c r="W1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2" s="4">
        <v>234.5</v>
      </c>
      <c r="Y182" s="4">
        <f>(Base[[#This Row],['[Maladies']Coûts_évités_par_salarié]]+Base[[#This Row],['[Travail']Coûts_évités_par_salarié]])/Base[[#This Row],[Budget_santé_salarié]]</f>
        <v>7.9870974088823307E-2</v>
      </c>
      <c r="Z182" s="4">
        <v>0.8</v>
      </c>
      <c r="AA182" s="4">
        <f>Base[[#This Row],[Coût]]*Base[[#This Row],[Part_société_dépenses_santé]]</f>
        <v>6.1410362769300963</v>
      </c>
      <c r="AB182" s="4">
        <v>67635124</v>
      </c>
      <c r="AC182" s="4">
        <v>82.297079063317852</v>
      </c>
      <c r="AD182" s="4">
        <v>0.1079</v>
      </c>
      <c r="AE182" s="4">
        <f>Base[[#This Row],['[SC']Prévalence_travail]]*Base[[#This Row],[Population_emploi]]</f>
        <v>2988830</v>
      </c>
      <c r="AF182" s="4">
        <f>Base[[#This Row],[Risque]]*Base[[#This Row],['[SC']Patients_en_emploi]]</f>
        <v>1363684.4333859975</v>
      </c>
      <c r="AG182" s="4">
        <v>0</v>
      </c>
      <c r="AH182" s="4">
        <f>IFERROR(Base[[#This Row],['[SC']Prestations]]/Base[[#This Row],['[SC']Patients_en_emploi]],0)</f>
        <v>0</v>
      </c>
      <c r="AI182" s="4">
        <v>51.7</v>
      </c>
      <c r="AJ1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2" s="4">
        <f>Base[[#This Row],['[SC']'[Travail']Coûts_évités]]/Base[[#This Row],[Population_emploi]]</f>
        <v>3.1815200905259964</v>
      </c>
      <c r="AL182" s="4">
        <f>Base[[#This Row],[Coût_société]]*10^9*Base[[#This Row],[Risque]]*Base[[#This Row],[Prévalence]]*Base[[#This Row],[Part_coûts_salarié]]/Base[[#This Row],[Population_emploi]]</f>
        <v>9.0251039704613572</v>
      </c>
      <c r="AM182" s="4">
        <f>IF(Base[[#This Row],[Pathologie]]&lt;&gt;"Dépendance",0,14909.24243952)</f>
        <v>0</v>
      </c>
      <c r="AN182" s="4">
        <f>IF(Base[[#This Row],[Pathologie]]&lt;&gt;"Dépendance",0,1316000)</f>
        <v>0</v>
      </c>
      <c r="AO182" s="4">
        <f>IF(Base[[#This Row],[Pathologie]]&lt;&gt;"Dépendance",0,Base[[#This Row],['[SC']Coût_personne_dépendante]]*Base[[#This Row],['[SC']Nb_personnes_dépendantes]])</f>
        <v>0</v>
      </c>
      <c r="AP182" s="4">
        <f>IF(Base[[#This Row],[Pathologie]]&lt;&gt;"Dépendance",0,Base[[#This Row],['[SC']Coût_total_dépendance]]/Base[[#This Row],[Population_totale]])</f>
        <v>0</v>
      </c>
      <c r="AQ182" s="4">
        <f>IF(Base[[#This Row],[Pathologie]]&lt;&gt;"Dépendance",0,4.5)</f>
        <v>0</v>
      </c>
      <c r="AR182" s="4">
        <v>0.50393265050357905</v>
      </c>
      <c r="AS182" s="4">
        <f>Base[[#This Row],[Espérance_vie]]+Base[[#This Row],['[SC']Hausse_esp_de_vie]]-Base[[#This Row],['[SC']Durée_moyenne_dépendance_avt]]+Base[[#This Row],[Risque]]</f>
        <v>83.257272000751769</v>
      </c>
      <c r="AT1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2" s="4">
        <v>62.9</v>
      </c>
      <c r="AW182" s="4">
        <f t="shared" si="0"/>
        <v>336905600000</v>
      </c>
      <c r="AX182" s="4">
        <v>15049171</v>
      </c>
      <c r="AY182" s="4">
        <f>Base[[#This Row],['[SC']Budget_total_retraites]]/Base[[#This Row],['[SC']Nombre_de_retraités]]</f>
        <v>22386.987296509556</v>
      </c>
      <c r="AZ182" s="4">
        <f>Base[[#This Row],['[SC']Budget_par_retraité]]*Base[[#This Row],['[SC']Nb_personnes_dépendantes]]</f>
        <v>0</v>
      </c>
      <c r="BA182" s="4">
        <f>Base[[#This Row],['[SC']'[Dépendance']Coût_retraite_personnes_dépendantes]]/Base[[#This Row],[Population_totale]]</f>
        <v>0</v>
      </c>
      <c r="BB1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2" s="4">
        <f>Base[[#This Row],['[SC']'[Dépendance']Gains]]-Base[[#This Row],['[SC']'[Dépendance']Coûts]]</f>
        <v>0</v>
      </c>
      <c r="BD182" s="4">
        <f>IF(Base[[#This Row],[Pathologie]]&lt;&gt;"Mort prématurée",0,Base[[#This Row],[Risque]]*Base[[#This Row],[Prévalence]]*Base[[#This Row],[Population_totale]])</f>
        <v>0</v>
      </c>
      <c r="BE182" s="4">
        <v>52.74</v>
      </c>
      <c r="BF182" s="4">
        <f>Base[[#This Row],['[SC']Âge_moyen_retraite]]-Base[[#This Row],['[SC']'[Mort_prématurée']Âge_moyen_mort précoce]]</f>
        <v>10.159999999999997</v>
      </c>
      <c r="BG182" s="4">
        <f>Base[[#This Row],[Espérance_vie]]+Base[[#This Row],['[SC']Hausse_esp_de_vie]]-Base[[#This Row],['[SC']Âge_moyen_retraite]]</f>
        <v>19.90101171382144</v>
      </c>
      <c r="BH182" s="4">
        <v>106583.42676924677</v>
      </c>
      <c r="BI182" s="4">
        <v>97601.789429271477</v>
      </c>
      <c r="BJ182" s="4">
        <v>302038.31496633729</v>
      </c>
      <c r="BK182" s="4">
        <v>117293.58934859755</v>
      </c>
      <c r="BL182" s="4">
        <v>1523999.9999999995</v>
      </c>
      <c r="BM1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2" s="4">
        <v>294804.96027377353</v>
      </c>
      <c r="BO1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2" s="4">
        <f>(Base[[#This Row],['[SC']'[Mort_prématurée']Gains]]-Base[[#This Row],['[SC']'[Mort_prématurée']Coûts]])/Base[[#This Row],[Population_totale]]</f>
        <v>0</v>
      </c>
      <c r="BQ182" s="4">
        <f>IF(Base[[#This Row],[Pathologie]]&lt;&gt;"Mort prématurée",0,Base[[#This Row],[Risque]])</f>
        <v>0</v>
      </c>
      <c r="BR182" s="4">
        <v>2680</v>
      </c>
      <c r="BS1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2" s="4">
        <f>Base[[#This Row],[Prévalence_prod]]*(1-Base[[#This Row],[Risque]])*Base[[#This Row],[Durée_arrêt]]*Base[[#This Row],[Population_emploi]]</f>
        <v>6906868.6581095094</v>
      </c>
      <c r="BV182" s="4">
        <f>Base[[#This Row],['[Prod']'[Absentéisme']Total_jours_absence_avant]]-Base[[#This Row],['[Prod']'[Absentéisme']Total_jours_absence_après]]</f>
        <v>5795658.8418904888</v>
      </c>
      <c r="BW182" s="4">
        <f>IF(AND(Base[[#This Row],[Pathologie]]&lt;&gt;"Dépendance",Base[[#This Row],[Pathologie]]&lt;&gt;"Mort prématurée",Base[[#This Row],[Pathologie]]&lt;&gt;"Migraine"),0.0619,0)</f>
        <v>6.1899999999999997E-2</v>
      </c>
      <c r="BX182" s="4">
        <v>254</v>
      </c>
      <c r="BY18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2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2" s="4">
        <f>Base[[#This Row],[Prévalence_prod]]*Base[[#This Row],[Présentéisme]]*Base[[#This Row],['[Prod']Jours_ouvrés]]</f>
        <v>2.0966048999999995</v>
      </c>
      <c r="CB182" s="4">
        <f>Base[[#This Row],[Prévalence_prod]]*(1-Base[[#This Row],[Risque]])*Base[[#This Row],[Présentéisme]]*Base[[#This Row],['[Prod']Jours_ouvrés]]</f>
        <v>1.1400073467464504</v>
      </c>
      <c r="CC182" s="4">
        <f>Base[[#This Row],['[Prod']'[Présentéisme']Jours_avant]]-Base[[#This Row],['[Prod']'[Présentéisme']Jours_après]]</f>
        <v>0.95659755325354912</v>
      </c>
      <c r="CD182" s="4">
        <f>Base[[#This Row],['[Prod']'[Présentéisme']Jours_gagnés]]/Base[[#This Row],['[Prod']Jours_ouvrés]]</f>
        <v>3.7661320994234219E-3</v>
      </c>
      <c r="CE182">
        <v>5.8333039429220801E-2</v>
      </c>
      <c r="CF182">
        <v>1.4658164114728258E-2</v>
      </c>
      <c r="CG182" s="4">
        <v>11</v>
      </c>
      <c r="CH182" s="4">
        <v>1.1688035738877327</v>
      </c>
      <c r="CI182" s="4">
        <v>9.6557438521367826E-3</v>
      </c>
      <c r="CJ182" s="4">
        <f>IF(Base[[#This Row],[Secteur]]&lt;&gt;"Moyenne",Base[[#This Row],['[Prod']'[Turnover']DMC_initiale]]*(1+Base[[#This Row],['[Prod']'[Turnover']Ecart_accidents]]*Base[[#This Row],['[Prod']Impact_motifs_turnover]]),CJ165*CI165+CJ166*CI166+CJ167*CI167+CJ168*CI168+CJ169*CI169+CJ170*CI170+CJ171*CI171+CJ172*CI172+CJ173*CI173+CJ174*CI174+CJ175*CI175+CJ176*CI176+CJ177*CI177+CJ178*CI178+CJ179*CI179+CJ180*CI180+CJ181*CI181)</f>
        <v>11.188457660643202</v>
      </c>
      <c r="CK182" s="4">
        <f>1/Base[[#This Row],['[Prod']'[Turnover']DMC_initiale]]</f>
        <v>9.0909090909090912E-2</v>
      </c>
      <c r="CL182" s="4">
        <f>1/Base[[#This Row],['[Prod']'[Turnover']DMC_finale]]</f>
        <v>8.9377824033568531E-2</v>
      </c>
    </row>
    <row r="183" spans="2:90" x14ac:dyDescent="0.25">
      <c r="B183" s="4" t="s">
        <v>319</v>
      </c>
      <c r="C183">
        <v>7.5</v>
      </c>
      <c r="D183" t="s">
        <v>84</v>
      </c>
      <c r="E183" t="s">
        <v>12</v>
      </c>
      <c r="F183" s="3">
        <v>0.45626028693033643</v>
      </c>
      <c r="G183" s="3">
        <v>0.1079</v>
      </c>
      <c r="H183" s="3">
        <v>0.1079</v>
      </c>
      <c r="I183" s="3">
        <v>7.6499999999999999E-2</v>
      </c>
      <c r="J183" s="3">
        <v>7.67629534616262</v>
      </c>
      <c r="K183" s="3">
        <v>7.0000000000000007E-2</v>
      </c>
      <c r="L183" s="2">
        <f>Base[[#This Row],[Coût]]*Base[[#This Row],[Part_ménages_dépenses_santé]]</f>
        <v>0.53734067423138343</v>
      </c>
      <c r="M183" s="2">
        <v>0.82690611956969029</v>
      </c>
      <c r="N183" s="6">
        <v>27700000</v>
      </c>
      <c r="O183" s="7">
        <f>Base[[#This Row],[Coût_salarié]]*10^9*Base[[#This Row],[Risque]]*Base[[#This Row],[Prévalence]]*Base[[#This Row],[Part_coûts_salarié]]/Base[[#This Row],[Population_emploi]]</f>
        <v>0.78969659741536868</v>
      </c>
      <c r="P183">
        <v>50</v>
      </c>
      <c r="Q183">
        <v>50</v>
      </c>
      <c r="R183" s="2">
        <v>9.9999999999999978E-2</v>
      </c>
      <c r="S183" s="2">
        <v>0.33340000000000003</v>
      </c>
      <c r="T183" s="4">
        <v>0.1079</v>
      </c>
      <c r="U183" s="4">
        <f>IF(Bases_annexes!$F$5=0,16.6587111018772,0.77*Bases_annexes!$F$5/(IF(OR(ISBLANK('Données_d''entrée'!$E$44),'Données_d''entrée'!$E$44=0),35,'Données_d''entrée'!$E$44)*52))</f>
        <v>16.658711101877199</v>
      </c>
      <c r="V183" s="4">
        <v>4.25</v>
      </c>
      <c r="W1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3" s="4">
        <v>234.5</v>
      </c>
      <c r="Y183" s="4">
        <f>(Base[[#This Row],['[Maladies']Coûts_évités_par_salarié]]+Base[[#This Row],['[Travail']Coûts_évités_par_salarié]])/Base[[#This Row],[Budget_santé_salarié]]</f>
        <v>7.9870974088823307E-2</v>
      </c>
      <c r="Z183" s="4">
        <v>0.8</v>
      </c>
      <c r="AA183" s="4">
        <f>Base[[#This Row],[Coût]]*Base[[#This Row],[Part_société_dépenses_santé]]</f>
        <v>6.1410362769300963</v>
      </c>
      <c r="AB183" s="4">
        <v>67635124</v>
      </c>
      <c r="AC183" s="4">
        <v>82.297079063317852</v>
      </c>
      <c r="AD183" s="4">
        <v>0.1079</v>
      </c>
      <c r="AE183" s="4">
        <f>Base[[#This Row],['[SC']Prévalence_travail]]*Base[[#This Row],[Population_emploi]]</f>
        <v>2988830</v>
      </c>
      <c r="AF183" s="4">
        <f>Base[[#This Row],[Risque]]*Base[[#This Row],['[SC']Patients_en_emploi]]</f>
        <v>1363684.4333859975</v>
      </c>
      <c r="AG183" s="4">
        <v>0</v>
      </c>
      <c r="AH183" s="4">
        <f>IFERROR(Base[[#This Row],['[SC']Prestations]]/Base[[#This Row],['[SC']Patients_en_emploi]],0)</f>
        <v>0</v>
      </c>
      <c r="AI183" s="4">
        <v>51.7</v>
      </c>
      <c r="AJ1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3" s="4">
        <f>Base[[#This Row],['[SC']'[Travail']Coûts_évités]]/Base[[#This Row],[Population_emploi]]</f>
        <v>3.1815200905259964</v>
      </c>
      <c r="AL183" s="4">
        <f>Base[[#This Row],[Coût_société]]*10^9*Base[[#This Row],[Risque]]*Base[[#This Row],[Prévalence]]*Base[[#This Row],[Part_coûts_salarié]]/Base[[#This Row],[Population_emploi]]</f>
        <v>9.0251039704613572</v>
      </c>
      <c r="AM183" s="4">
        <f>IF(Base[[#This Row],[Pathologie]]&lt;&gt;"Dépendance",0,14909.24243952)</f>
        <v>0</v>
      </c>
      <c r="AN183" s="4">
        <f>IF(Base[[#This Row],[Pathologie]]&lt;&gt;"Dépendance",0,1316000)</f>
        <v>0</v>
      </c>
      <c r="AO183" s="4">
        <f>IF(Base[[#This Row],[Pathologie]]&lt;&gt;"Dépendance",0,Base[[#This Row],['[SC']Coût_personne_dépendante]]*Base[[#This Row],['[SC']Nb_personnes_dépendantes]])</f>
        <v>0</v>
      </c>
      <c r="AP183" s="4">
        <f>IF(Base[[#This Row],[Pathologie]]&lt;&gt;"Dépendance",0,Base[[#This Row],['[SC']Coût_total_dépendance]]/Base[[#This Row],[Population_totale]])</f>
        <v>0</v>
      </c>
      <c r="AQ183" s="4">
        <f>IF(Base[[#This Row],[Pathologie]]&lt;&gt;"Dépendance",0,4.5)</f>
        <v>0</v>
      </c>
      <c r="AR183" s="4">
        <v>0.50393265050357905</v>
      </c>
      <c r="AS183" s="4">
        <f>Base[[#This Row],[Espérance_vie]]+Base[[#This Row],['[SC']Hausse_esp_de_vie]]-Base[[#This Row],['[SC']Durée_moyenne_dépendance_avt]]+Base[[#This Row],[Risque]]</f>
        <v>83.257272000751769</v>
      </c>
      <c r="AT1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3" s="4">
        <v>62.9</v>
      </c>
      <c r="AW183" s="4">
        <f t="shared" si="0"/>
        <v>336905600000</v>
      </c>
      <c r="AX183" s="4">
        <v>15049171</v>
      </c>
      <c r="AY183" s="4">
        <f>Base[[#This Row],['[SC']Budget_total_retraites]]/Base[[#This Row],['[SC']Nombre_de_retraités]]</f>
        <v>22386.987296509556</v>
      </c>
      <c r="AZ183" s="4">
        <f>Base[[#This Row],['[SC']Budget_par_retraité]]*Base[[#This Row],['[SC']Nb_personnes_dépendantes]]</f>
        <v>0</v>
      </c>
      <c r="BA183" s="4">
        <f>Base[[#This Row],['[SC']'[Dépendance']Coût_retraite_personnes_dépendantes]]/Base[[#This Row],[Population_totale]]</f>
        <v>0</v>
      </c>
      <c r="BB1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3" s="4">
        <f>Base[[#This Row],['[SC']'[Dépendance']Gains]]-Base[[#This Row],['[SC']'[Dépendance']Coûts]]</f>
        <v>0</v>
      </c>
      <c r="BD183" s="4">
        <f>IF(Base[[#This Row],[Pathologie]]&lt;&gt;"Mort prématurée",0,Base[[#This Row],[Risque]]*Base[[#This Row],[Prévalence]]*Base[[#This Row],[Population_totale]])</f>
        <v>0</v>
      </c>
      <c r="BE183" s="4">
        <v>52.74</v>
      </c>
      <c r="BF183" s="4">
        <f>Base[[#This Row],['[SC']Âge_moyen_retraite]]-Base[[#This Row],['[SC']'[Mort_prématurée']Âge_moyen_mort précoce]]</f>
        <v>10.159999999999997</v>
      </c>
      <c r="BG183" s="4">
        <f>Base[[#This Row],[Espérance_vie]]+Base[[#This Row],['[SC']Hausse_esp_de_vie]]-Base[[#This Row],['[SC']Âge_moyen_retraite]]</f>
        <v>19.90101171382144</v>
      </c>
      <c r="BH183" s="4">
        <v>106583.42676924677</v>
      </c>
      <c r="BI183" s="4">
        <v>97601.789429271477</v>
      </c>
      <c r="BJ183" s="4">
        <v>302038.31496633729</v>
      </c>
      <c r="BK183" s="4">
        <v>117293.58934859755</v>
      </c>
      <c r="BL183" s="4">
        <v>1523999.9999999995</v>
      </c>
      <c r="BM1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3" s="4">
        <v>294804.96027377353</v>
      </c>
      <c r="BO1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3" s="4">
        <f>(Base[[#This Row],['[SC']'[Mort_prématurée']Gains]]-Base[[#This Row],['[SC']'[Mort_prématurée']Coûts]])/Base[[#This Row],[Population_totale]]</f>
        <v>0</v>
      </c>
      <c r="BQ183" s="4">
        <f>IF(Base[[#This Row],[Pathologie]]&lt;&gt;"Mort prématurée",0,Base[[#This Row],[Risque]])</f>
        <v>0</v>
      </c>
      <c r="BR183" s="4">
        <v>2680</v>
      </c>
      <c r="BS1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3" s="4">
        <f>Base[[#This Row],[Prévalence_prod]]*(1-Base[[#This Row],[Risque]])*Base[[#This Row],[Durée_arrêt]]*Base[[#This Row],[Population_emploi]]</f>
        <v>6906868.6581095094</v>
      </c>
      <c r="BV183" s="4">
        <f>Base[[#This Row],['[Prod']'[Absentéisme']Total_jours_absence_avant]]-Base[[#This Row],['[Prod']'[Absentéisme']Total_jours_absence_après]]</f>
        <v>5795658.8418904888</v>
      </c>
      <c r="BW183" s="4">
        <f>IF(AND(Base[[#This Row],[Pathologie]]&lt;&gt;"Dépendance",Base[[#This Row],[Pathologie]]&lt;&gt;"Mort prématurée",Base[[#This Row],[Pathologie]]&lt;&gt;"Migraine"),0.0619,0)</f>
        <v>6.1899999999999997E-2</v>
      </c>
      <c r="BX183" s="4">
        <v>254</v>
      </c>
      <c r="BY183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3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3" s="4">
        <f>Base[[#This Row],[Prévalence_prod]]*Base[[#This Row],[Présentéisme]]*Base[[#This Row],['[Prod']Jours_ouvrés]]</f>
        <v>2.0966048999999995</v>
      </c>
      <c r="CB183" s="4">
        <f>Base[[#This Row],[Prévalence_prod]]*(1-Base[[#This Row],[Risque]])*Base[[#This Row],[Présentéisme]]*Base[[#This Row],['[Prod']Jours_ouvrés]]</f>
        <v>1.1400073467464504</v>
      </c>
      <c r="CC183" s="4">
        <f>Base[[#This Row],['[Prod']'[Présentéisme']Jours_avant]]-Base[[#This Row],['[Prod']'[Présentéisme']Jours_après]]</f>
        <v>0.95659755325354912</v>
      </c>
      <c r="CD183" s="4">
        <f>Base[[#This Row],['[Prod']'[Présentéisme']Jours_gagnés]]/Base[[#This Row],['[Prod']Jours_ouvrés]]</f>
        <v>3.7661320994234219E-3</v>
      </c>
      <c r="CE183">
        <v>5.8333039429220801E-2</v>
      </c>
      <c r="CF183">
        <v>1.4658164114728258E-2</v>
      </c>
      <c r="CG183" s="4">
        <v>11</v>
      </c>
      <c r="CH183" s="4">
        <v>0.52204401140486179</v>
      </c>
      <c r="CI183" s="4">
        <v>1.2443904150185675E-2</v>
      </c>
      <c r="CJ183" s="4">
        <f>IF(Base[[#This Row],[Secteur]]&lt;&gt;"Moyenne",Base[[#This Row],['[Prod']'[Turnover']DMC_initiale]]*(1+Base[[#This Row],['[Prod']'[Turnover']Ecart_accidents]]*Base[[#This Row],['[Prod']Impact_motifs_turnover]]),CJ166*CI166+CJ167*CI167+CJ168*CI168+CJ169*CI169+CJ170*CI170+CJ171*CI171+CJ172*CI172+CJ173*CI173+CJ174*CI174+CJ175*CI175+CJ176*CI176+CJ177*CI177+CJ178*CI178+CJ179*CI179+CJ180*CI180+CJ181*CI181+CJ182*CI182)</f>
        <v>11.084174274737117</v>
      </c>
      <c r="CK183" s="4">
        <f>1/Base[[#This Row],['[Prod']'[Turnover']DMC_initiale]]</f>
        <v>9.0909090909090912E-2</v>
      </c>
      <c r="CL183" s="4">
        <f>1/Base[[#This Row],['[Prod']'[Turnover']DMC_finale]]</f>
        <v>9.0218718617514418E-2</v>
      </c>
    </row>
    <row r="184" spans="2:90" x14ac:dyDescent="0.25">
      <c r="B184" s="4" t="s">
        <v>320</v>
      </c>
      <c r="C184">
        <v>7.5</v>
      </c>
      <c r="D184" t="s">
        <v>84</v>
      </c>
      <c r="E184" t="s">
        <v>12</v>
      </c>
      <c r="F184" s="3">
        <v>0.45626028693033643</v>
      </c>
      <c r="G184" s="3">
        <v>0.1079</v>
      </c>
      <c r="H184" s="3">
        <v>0.1079</v>
      </c>
      <c r="I184" s="3">
        <v>7.6499999999999999E-2</v>
      </c>
      <c r="J184" s="3">
        <v>7.67629534616262</v>
      </c>
      <c r="K184" s="3">
        <v>7.0000000000000007E-2</v>
      </c>
      <c r="L184" s="2">
        <f>Base[[#This Row],[Coût]]*Base[[#This Row],[Part_ménages_dépenses_santé]]</f>
        <v>0.53734067423138343</v>
      </c>
      <c r="M184" s="2">
        <v>0.82690611956969029</v>
      </c>
      <c r="N184" s="6">
        <v>27700000</v>
      </c>
      <c r="O184" s="7">
        <f>Base[[#This Row],[Coût_salarié]]*10^9*Base[[#This Row],[Risque]]*Base[[#This Row],[Prévalence]]*Base[[#This Row],[Part_coûts_salarié]]/Base[[#This Row],[Population_emploi]]</f>
        <v>0.78969659741536868</v>
      </c>
      <c r="P184">
        <v>50</v>
      </c>
      <c r="Q184">
        <v>50</v>
      </c>
      <c r="R184" s="2">
        <v>9.9999999999999978E-2</v>
      </c>
      <c r="S184" s="2">
        <v>0.33340000000000003</v>
      </c>
      <c r="T184" s="4">
        <v>0.1079</v>
      </c>
      <c r="U184" s="4">
        <f>IF(Bases_annexes!$F$5=0,16.6587111018772,0.77*Bases_annexes!$F$5/(IF(OR(ISBLANK('Données_d''entrée'!$E$44),'Données_d''entrée'!$E$44=0),35,'Données_d''entrée'!$E$44)*52))</f>
        <v>16.658711101877199</v>
      </c>
      <c r="V184" s="4">
        <v>4.25</v>
      </c>
      <c r="W1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4" s="4">
        <v>234.5</v>
      </c>
      <c r="Y184" s="4">
        <f>(Base[[#This Row],['[Maladies']Coûts_évités_par_salarié]]+Base[[#This Row],['[Travail']Coûts_évités_par_salarié]])/Base[[#This Row],[Budget_santé_salarié]]</f>
        <v>7.9870974088823307E-2</v>
      </c>
      <c r="Z184" s="4">
        <v>0.8</v>
      </c>
      <c r="AA184" s="4">
        <f>Base[[#This Row],[Coût]]*Base[[#This Row],[Part_société_dépenses_santé]]</f>
        <v>6.1410362769300963</v>
      </c>
      <c r="AB184" s="4">
        <v>67635124</v>
      </c>
      <c r="AC184" s="4">
        <v>82.297079063317852</v>
      </c>
      <c r="AD184" s="4">
        <v>0.1079</v>
      </c>
      <c r="AE184" s="4">
        <f>Base[[#This Row],['[SC']Prévalence_travail]]*Base[[#This Row],[Population_emploi]]</f>
        <v>2988830</v>
      </c>
      <c r="AF184" s="4">
        <f>Base[[#This Row],[Risque]]*Base[[#This Row],['[SC']Patients_en_emploi]]</f>
        <v>1363684.4333859975</v>
      </c>
      <c r="AG184" s="4">
        <v>0</v>
      </c>
      <c r="AH184" s="4">
        <f>IFERROR(Base[[#This Row],['[SC']Prestations]]/Base[[#This Row],['[SC']Patients_en_emploi]],0)</f>
        <v>0</v>
      </c>
      <c r="AI184" s="4">
        <v>51.7</v>
      </c>
      <c r="AJ1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4" s="4">
        <f>Base[[#This Row],['[SC']'[Travail']Coûts_évités]]/Base[[#This Row],[Population_emploi]]</f>
        <v>3.1815200905259964</v>
      </c>
      <c r="AL184" s="4">
        <f>Base[[#This Row],[Coût_société]]*10^9*Base[[#This Row],[Risque]]*Base[[#This Row],[Prévalence]]*Base[[#This Row],[Part_coûts_salarié]]/Base[[#This Row],[Population_emploi]]</f>
        <v>9.0251039704613572</v>
      </c>
      <c r="AM184" s="4">
        <f>IF(Base[[#This Row],[Pathologie]]&lt;&gt;"Dépendance",0,14909.24243952)</f>
        <v>0</v>
      </c>
      <c r="AN184" s="4">
        <f>IF(Base[[#This Row],[Pathologie]]&lt;&gt;"Dépendance",0,1316000)</f>
        <v>0</v>
      </c>
      <c r="AO184" s="4">
        <f>IF(Base[[#This Row],[Pathologie]]&lt;&gt;"Dépendance",0,Base[[#This Row],['[SC']Coût_personne_dépendante]]*Base[[#This Row],['[SC']Nb_personnes_dépendantes]])</f>
        <v>0</v>
      </c>
      <c r="AP184" s="4">
        <f>IF(Base[[#This Row],[Pathologie]]&lt;&gt;"Dépendance",0,Base[[#This Row],['[SC']Coût_total_dépendance]]/Base[[#This Row],[Population_totale]])</f>
        <v>0</v>
      </c>
      <c r="AQ184" s="4">
        <f>IF(Base[[#This Row],[Pathologie]]&lt;&gt;"Dépendance",0,4.5)</f>
        <v>0</v>
      </c>
      <c r="AR184" s="4">
        <v>0.50393265050357905</v>
      </c>
      <c r="AS184" s="4">
        <f>Base[[#This Row],[Espérance_vie]]+Base[[#This Row],['[SC']Hausse_esp_de_vie]]-Base[[#This Row],['[SC']Durée_moyenne_dépendance_avt]]+Base[[#This Row],[Risque]]</f>
        <v>83.257272000751769</v>
      </c>
      <c r="AT1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4" s="4">
        <v>62.9</v>
      </c>
      <c r="AW184" s="4">
        <f t="shared" si="0"/>
        <v>336905600000</v>
      </c>
      <c r="AX184" s="4">
        <v>15049171</v>
      </c>
      <c r="AY184" s="4">
        <f>Base[[#This Row],['[SC']Budget_total_retraites]]/Base[[#This Row],['[SC']Nombre_de_retraités]]</f>
        <v>22386.987296509556</v>
      </c>
      <c r="AZ184" s="4">
        <f>Base[[#This Row],['[SC']Budget_par_retraité]]*Base[[#This Row],['[SC']Nb_personnes_dépendantes]]</f>
        <v>0</v>
      </c>
      <c r="BA184" s="4">
        <f>Base[[#This Row],['[SC']'[Dépendance']Coût_retraite_personnes_dépendantes]]/Base[[#This Row],[Population_totale]]</f>
        <v>0</v>
      </c>
      <c r="BB1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4" s="4">
        <f>Base[[#This Row],['[SC']'[Dépendance']Gains]]-Base[[#This Row],['[SC']'[Dépendance']Coûts]]</f>
        <v>0</v>
      </c>
      <c r="BD184" s="4">
        <f>IF(Base[[#This Row],[Pathologie]]&lt;&gt;"Mort prématurée",0,Base[[#This Row],[Risque]]*Base[[#This Row],[Prévalence]]*Base[[#This Row],[Population_totale]])</f>
        <v>0</v>
      </c>
      <c r="BE184" s="4">
        <v>52.74</v>
      </c>
      <c r="BF184" s="4">
        <f>Base[[#This Row],['[SC']Âge_moyen_retraite]]-Base[[#This Row],['[SC']'[Mort_prématurée']Âge_moyen_mort précoce]]</f>
        <v>10.159999999999997</v>
      </c>
      <c r="BG184" s="4">
        <f>Base[[#This Row],[Espérance_vie]]+Base[[#This Row],['[SC']Hausse_esp_de_vie]]-Base[[#This Row],['[SC']Âge_moyen_retraite]]</f>
        <v>19.90101171382144</v>
      </c>
      <c r="BH184" s="4">
        <v>106583.42676924677</v>
      </c>
      <c r="BI184" s="4">
        <v>97601.789429271477</v>
      </c>
      <c r="BJ184" s="4">
        <v>302038.31496633729</v>
      </c>
      <c r="BK184" s="4">
        <v>117293.58934859755</v>
      </c>
      <c r="BL184" s="4">
        <v>1523999.9999999995</v>
      </c>
      <c r="BM1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4" s="4">
        <v>294804.96027377353</v>
      </c>
      <c r="BO1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4" s="4">
        <f>(Base[[#This Row],['[SC']'[Mort_prématurée']Gains]]-Base[[#This Row],['[SC']'[Mort_prématurée']Coûts]])/Base[[#This Row],[Population_totale]]</f>
        <v>0</v>
      </c>
      <c r="BQ184" s="4">
        <f>IF(Base[[#This Row],[Pathologie]]&lt;&gt;"Mort prématurée",0,Base[[#This Row],[Risque]])</f>
        <v>0</v>
      </c>
      <c r="BR184" s="4">
        <v>2680</v>
      </c>
      <c r="BS1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4" s="4">
        <f>Base[[#This Row],[Prévalence_prod]]*(1-Base[[#This Row],[Risque]])*Base[[#This Row],[Durée_arrêt]]*Base[[#This Row],[Population_emploi]]</f>
        <v>6906868.6581095094</v>
      </c>
      <c r="BV184" s="4">
        <f>Base[[#This Row],['[Prod']'[Absentéisme']Total_jours_absence_avant]]-Base[[#This Row],['[Prod']'[Absentéisme']Total_jours_absence_après]]</f>
        <v>5795658.8418904888</v>
      </c>
      <c r="BW184" s="4">
        <f>IF(AND(Base[[#This Row],[Pathologie]]&lt;&gt;"Dépendance",Base[[#This Row],[Pathologie]]&lt;&gt;"Mort prématurée",Base[[#This Row],[Pathologie]]&lt;&gt;"Migraine"),0.0619,0)</f>
        <v>6.1899999999999997E-2</v>
      </c>
      <c r="BX184" s="4">
        <v>254</v>
      </c>
      <c r="BY184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4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4" s="4">
        <f>Base[[#This Row],[Prévalence_prod]]*Base[[#This Row],[Présentéisme]]*Base[[#This Row],['[Prod']Jours_ouvrés]]</f>
        <v>2.0966048999999995</v>
      </c>
      <c r="CB184" s="4">
        <f>Base[[#This Row],[Prévalence_prod]]*(1-Base[[#This Row],[Risque]])*Base[[#This Row],[Présentéisme]]*Base[[#This Row],['[Prod']Jours_ouvrés]]</f>
        <v>1.1400073467464504</v>
      </c>
      <c r="CC184" s="4">
        <f>Base[[#This Row],['[Prod']'[Présentéisme']Jours_avant]]-Base[[#This Row],['[Prod']'[Présentéisme']Jours_après]]</f>
        <v>0.95659755325354912</v>
      </c>
      <c r="CD184" s="4">
        <f>Base[[#This Row],['[Prod']'[Présentéisme']Jours_gagnés]]/Base[[#This Row],['[Prod']Jours_ouvrés]]</f>
        <v>3.7661320994234219E-3</v>
      </c>
      <c r="CE184">
        <v>5.8333039429220801E-2</v>
      </c>
      <c r="CF184">
        <v>1.4658164114728258E-2</v>
      </c>
      <c r="CG184" s="4">
        <v>11</v>
      </c>
      <c r="CH184" s="4">
        <v>0.49446424657188709</v>
      </c>
      <c r="CI184" s="4">
        <v>1.0795805058605798E-2</v>
      </c>
      <c r="CJ184" s="4">
        <f>IF(Base[[#This Row],[Secteur]]&lt;&gt;"Moyenne",Base[[#This Row],['[Prod']'[Turnover']DMC_initiale]]*(1+Base[[#This Row],['[Prod']'[Turnover']Ecart_accidents]]*Base[[#This Row],['[Prod']Impact_motifs_turnover]]),CJ167*CI167+CJ168*CI168+CJ169*CI169+CJ170*CI170+CJ171*CI171+CJ172*CI172+CJ173*CI173+CJ174*CI174+CJ175*CI175+CJ176*CI176+CJ177*CI177+CJ178*CI178+CJ179*CI179+CJ180*CI180+CJ181*CI181+CJ182*CI182+CJ183*CI183)</f>
        <v>11.079727318826279</v>
      </c>
      <c r="CK184" s="4">
        <f>1/Base[[#This Row],['[Prod']'[Turnover']DMC_initiale]]</f>
        <v>9.0909090909090912E-2</v>
      </c>
      <c r="CL184" s="4">
        <f>1/Base[[#This Row],['[Prod']'[Turnover']DMC_finale]]</f>
        <v>9.025492877436031E-2</v>
      </c>
    </row>
    <row r="185" spans="2:90" x14ac:dyDescent="0.25">
      <c r="B185" s="4" t="s">
        <v>321</v>
      </c>
      <c r="C185">
        <v>7.5</v>
      </c>
      <c r="D185" t="s">
        <v>84</v>
      </c>
      <c r="E185" t="s">
        <v>12</v>
      </c>
      <c r="F185" s="3">
        <v>0.45626028693033643</v>
      </c>
      <c r="G185" s="3">
        <v>0.1079</v>
      </c>
      <c r="H185" s="3">
        <v>0.1079</v>
      </c>
      <c r="I185" s="3">
        <v>7.6499999999999999E-2</v>
      </c>
      <c r="J185" s="3">
        <v>7.67629534616262</v>
      </c>
      <c r="K185" s="3">
        <v>7.0000000000000007E-2</v>
      </c>
      <c r="L185" s="2">
        <f>Base[[#This Row],[Coût]]*Base[[#This Row],[Part_ménages_dépenses_santé]]</f>
        <v>0.53734067423138343</v>
      </c>
      <c r="M185" s="2">
        <v>0.82690611956969029</v>
      </c>
      <c r="N185" s="6">
        <v>27700000</v>
      </c>
      <c r="O185" s="7">
        <f>Base[[#This Row],[Coût_salarié]]*10^9*Base[[#This Row],[Risque]]*Base[[#This Row],[Prévalence]]*Base[[#This Row],[Part_coûts_salarié]]/Base[[#This Row],[Population_emploi]]</f>
        <v>0.78969659741536868</v>
      </c>
      <c r="P185">
        <v>50</v>
      </c>
      <c r="Q185">
        <v>50</v>
      </c>
      <c r="R185" s="2">
        <v>9.9999999999999978E-2</v>
      </c>
      <c r="S185" s="2">
        <v>0.33340000000000003</v>
      </c>
      <c r="T185" s="4">
        <v>0.1079</v>
      </c>
      <c r="U185" s="4">
        <f>IF(Bases_annexes!$F$5=0,16.6587111018772,0.77*Bases_annexes!$F$5/(IF(OR(ISBLANK('Données_d''entrée'!$E$44),'Données_d''entrée'!$E$44=0),35,'Données_d''entrée'!$E$44)*52))</f>
        <v>16.658711101877199</v>
      </c>
      <c r="V185" s="4">
        <v>4.25</v>
      </c>
      <c r="W1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5" s="4">
        <v>234.5</v>
      </c>
      <c r="Y185" s="4">
        <f>(Base[[#This Row],['[Maladies']Coûts_évités_par_salarié]]+Base[[#This Row],['[Travail']Coûts_évités_par_salarié]])/Base[[#This Row],[Budget_santé_salarié]]</f>
        <v>7.9870974088823307E-2</v>
      </c>
      <c r="Z185" s="4">
        <v>0.8</v>
      </c>
      <c r="AA185" s="4">
        <f>Base[[#This Row],[Coût]]*Base[[#This Row],[Part_société_dépenses_santé]]</f>
        <v>6.1410362769300963</v>
      </c>
      <c r="AB185" s="4">
        <v>67635124</v>
      </c>
      <c r="AC185" s="4">
        <v>82.297079063317852</v>
      </c>
      <c r="AD185" s="4">
        <v>0.1079</v>
      </c>
      <c r="AE185" s="4">
        <f>Base[[#This Row],['[SC']Prévalence_travail]]*Base[[#This Row],[Population_emploi]]</f>
        <v>2988830</v>
      </c>
      <c r="AF185" s="4">
        <f>Base[[#This Row],[Risque]]*Base[[#This Row],['[SC']Patients_en_emploi]]</f>
        <v>1363684.4333859975</v>
      </c>
      <c r="AG185" s="4">
        <v>0</v>
      </c>
      <c r="AH185" s="4">
        <f>IFERROR(Base[[#This Row],['[SC']Prestations]]/Base[[#This Row],['[SC']Patients_en_emploi]],0)</f>
        <v>0</v>
      </c>
      <c r="AI185" s="4">
        <v>51.7</v>
      </c>
      <c r="AJ1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5" s="4">
        <f>Base[[#This Row],['[SC']'[Travail']Coûts_évités]]/Base[[#This Row],[Population_emploi]]</f>
        <v>3.1815200905259964</v>
      </c>
      <c r="AL185" s="4">
        <f>Base[[#This Row],[Coût_société]]*10^9*Base[[#This Row],[Risque]]*Base[[#This Row],[Prévalence]]*Base[[#This Row],[Part_coûts_salarié]]/Base[[#This Row],[Population_emploi]]</f>
        <v>9.0251039704613572</v>
      </c>
      <c r="AM185" s="4">
        <f>IF(Base[[#This Row],[Pathologie]]&lt;&gt;"Dépendance",0,14909.24243952)</f>
        <v>0</v>
      </c>
      <c r="AN185" s="4">
        <f>IF(Base[[#This Row],[Pathologie]]&lt;&gt;"Dépendance",0,1316000)</f>
        <v>0</v>
      </c>
      <c r="AO185" s="4">
        <f>IF(Base[[#This Row],[Pathologie]]&lt;&gt;"Dépendance",0,Base[[#This Row],['[SC']Coût_personne_dépendante]]*Base[[#This Row],['[SC']Nb_personnes_dépendantes]])</f>
        <v>0</v>
      </c>
      <c r="AP185" s="4">
        <f>IF(Base[[#This Row],[Pathologie]]&lt;&gt;"Dépendance",0,Base[[#This Row],['[SC']Coût_total_dépendance]]/Base[[#This Row],[Population_totale]])</f>
        <v>0</v>
      </c>
      <c r="AQ185" s="4">
        <f>IF(Base[[#This Row],[Pathologie]]&lt;&gt;"Dépendance",0,4.5)</f>
        <v>0</v>
      </c>
      <c r="AR185" s="4">
        <v>0.50393265050357905</v>
      </c>
      <c r="AS185" s="4">
        <f>Base[[#This Row],[Espérance_vie]]+Base[[#This Row],['[SC']Hausse_esp_de_vie]]-Base[[#This Row],['[SC']Durée_moyenne_dépendance_avt]]+Base[[#This Row],[Risque]]</f>
        <v>83.257272000751769</v>
      </c>
      <c r="AT1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5" s="4">
        <v>62.9</v>
      </c>
      <c r="AW185" s="4">
        <f t="shared" si="0"/>
        <v>336905600000</v>
      </c>
      <c r="AX185" s="4">
        <v>15049171</v>
      </c>
      <c r="AY185" s="4">
        <f>Base[[#This Row],['[SC']Budget_total_retraites]]/Base[[#This Row],['[SC']Nombre_de_retraités]]</f>
        <v>22386.987296509556</v>
      </c>
      <c r="AZ185" s="4">
        <f>Base[[#This Row],['[SC']Budget_par_retraité]]*Base[[#This Row],['[SC']Nb_personnes_dépendantes]]</f>
        <v>0</v>
      </c>
      <c r="BA185" s="4">
        <f>Base[[#This Row],['[SC']'[Dépendance']Coût_retraite_personnes_dépendantes]]/Base[[#This Row],[Population_totale]]</f>
        <v>0</v>
      </c>
      <c r="BB1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5" s="4">
        <f>Base[[#This Row],['[SC']'[Dépendance']Gains]]-Base[[#This Row],['[SC']'[Dépendance']Coûts]]</f>
        <v>0</v>
      </c>
      <c r="BD185" s="4">
        <f>IF(Base[[#This Row],[Pathologie]]&lt;&gt;"Mort prématurée",0,Base[[#This Row],[Risque]]*Base[[#This Row],[Prévalence]]*Base[[#This Row],[Population_totale]])</f>
        <v>0</v>
      </c>
      <c r="BE185" s="4">
        <v>52.74</v>
      </c>
      <c r="BF185" s="4">
        <f>Base[[#This Row],['[SC']Âge_moyen_retraite]]-Base[[#This Row],['[SC']'[Mort_prématurée']Âge_moyen_mort précoce]]</f>
        <v>10.159999999999997</v>
      </c>
      <c r="BG185" s="4">
        <f>Base[[#This Row],[Espérance_vie]]+Base[[#This Row],['[SC']Hausse_esp_de_vie]]-Base[[#This Row],['[SC']Âge_moyen_retraite]]</f>
        <v>19.90101171382144</v>
      </c>
      <c r="BH185" s="4">
        <v>106583.42676924677</v>
      </c>
      <c r="BI185" s="4">
        <v>97601.789429271477</v>
      </c>
      <c r="BJ185" s="4">
        <v>302038.31496633729</v>
      </c>
      <c r="BK185" s="4">
        <v>117293.58934859755</v>
      </c>
      <c r="BL185" s="4">
        <v>1523999.9999999995</v>
      </c>
      <c r="BM1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5" s="4">
        <v>294804.96027377353</v>
      </c>
      <c r="BO1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5" s="4">
        <f>(Base[[#This Row],['[SC']'[Mort_prématurée']Gains]]-Base[[#This Row],['[SC']'[Mort_prématurée']Coûts]])/Base[[#This Row],[Population_totale]]</f>
        <v>0</v>
      </c>
      <c r="BQ185" s="4">
        <f>IF(Base[[#This Row],[Pathologie]]&lt;&gt;"Mort prématurée",0,Base[[#This Row],[Risque]])</f>
        <v>0</v>
      </c>
      <c r="BR185" s="4">
        <v>2680</v>
      </c>
      <c r="BS1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5" s="4">
        <f>Base[[#This Row],[Prévalence_prod]]*(1-Base[[#This Row],[Risque]])*Base[[#This Row],[Durée_arrêt]]*Base[[#This Row],[Population_emploi]]</f>
        <v>6906868.6581095094</v>
      </c>
      <c r="BV185" s="4">
        <f>Base[[#This Row],['[Prod']'[Absentéisme']Total_jours_absence_avant]]-Base[[#This Row],['[Prod']'[Absentéisme']Total_jours_absence_après]]</f>
        <v>5795658.8418904888</v>
      </c>
      <c r="BW185" s="4">
        <f>IF(AND(Base[[#This Row],[Pathologie]]&lt;&gt;"Dépendance",Base[[#This Row],[Pathologie]]&lt;&gt;"Mort prématurée",Base[[#This Row],[Pathologie]]&lt;&gt;"Migraine"),0.0619,0)</f>
        <v>6.1899999999999997E-2</v>
      </c>
      <c r="BX185" s="4">
        <v>254</v>
      </c>
      <c r="BY18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5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5" s="4">
        <f>Base[[#This Row],[Prévalence_prod]]*Base[[#This Row],[Présentéisme]]*Base[[#This Row],['[Prod']Jours_ouvrés]]</f>
        <v>2.0966048999999995</v>
      </c>
      <c r="CB185" s="4">
        <f>Base[[#This Row],[Prévalence_prod]]*(1-Base[[#This Row],[Risque]])*Base[[#This Row],[Présentéisme]]*Base[[#This Row],['[Prod']Jours_ouvrés]]</f>
        <v>1.1400073467464504</v>
      </c>
      <c r="CC185" s="4">
        <f>Base[[#This Row],['[Prod']'[Présentéisme']Jours_avant]]-Base[[#This Row],['[Prod']'[Présentéisme']Jours_après]]</f>
        <v>0.95659755325354912</v>
      </c>
      <c r="CD185" s="4">
        <f>Base[[#This Row],['[Prod']'[Présentéisme']Jours_gagnés]]/Base[[#This Row],['[Prod']Jours_ouvrés]]</f>
        <v>3.7661320994234219E-3</v>
      </c>
      <c r="CE185">
        <v>5.8333039429220801E-2</v>
      </c>
      <c r="CF185">
        <v>1.4658164114728258E-2</v>
      </c>
      <c r="CG185" s="4">
        <v>11</v>
      </c>
      <c r="CH185" s="4">
        <v>0.85274500894619554</v>
      </c>
      <c r="CI185" s="4">
        <v>4.2903496994109176E-2</v>
      </c>
      <c r="CJ185" s="4">
        <f>IF(Base[[#This Row],[Secteur]]&lt;&gt;"Moyenne",Base[[#This Row],['[Prod']'[Turnover']DMC_initiale]]*(1+Base[[#This Row],['[Prod']'[Turnover']Ecart_accidents]]*Base[[#This Row],['[Prod']Impact_motifs_turnover]]),CJ168*CI168+CJ169*CI169+CJ170*CI170+CJ171*CI171+CJ172*CI172+CJ173*CI173+CJ174*CI174+CJ175*CI175+CJ176*CI176+CJ177*CI177+CJ178*CI178+CJ179*CI179+CJ180*CI180+CJ181*CI181+CJ182*CI182+CJ183*CI183+CJ184*CI184)</f>
        <v>11.137496439180635</v>
      </c>
      <c r="CK185" s="4">
        <f>1/Base[[#This Row],['[Prod']'[Turnover']DMC_initiale]]</f>
        <v>9.0909090909090912E-2</v>
      </c>
      <c r="CL185" s="4">
        <f>1/Base[[#This Row],['[Prod']'[Turnover']DMC_finale]]</f>
        <v>8.9786785159553156E-2</v>
      </c>
    </row>
    <row r="186" spans="2:90" x14ac:dyDescent="0.25">
      <c r="B186" s="4" t="s">
        <v>322</v>
      </c>
      <c r="C186">
        <v>7.5</v>
      </c>
      <c r="D186" t="s">
        <v>84</v>
      </c>
      <c r="E186" t="s">
        <v>12</v>
      </c>
      <c r="F186" s="3">
        <v>0.45626028693033643</v>
      </c>
      <c r="G186" s="3">
        <v>0.1079</v>
      </c>
      <c r="H186" s="3">
        <v>0.1079</v>
      </c>
      <c r="I186" s="3">
        <v>7.6499999999999999E-2</v>
      </c>
      <c r="J186" s="3">
        <v>7.67629534616262</v>
      </c>
      <c r="K186" s="3">
        <v>7.0000000000000007E-2</v>
      </c>
      <c r="L186" s="2">
        <f>Base[[#This Row],[Coût]]*Base[[#This Row],[Part_ménages_dépenses_santé]]</f>
        <v>0.53734067423138343</v>
      </c>
      <c r="M186" s="2">
        <v>0.82690611956969029</v>
      </c>
      <c r="N186" s="6">
        <v>27700000</v>
      </c>
      <c r="O186" s="7">
        <f>Base[[#This Row],[Coût_salarié]]*10^9*Base[[#This Row],[Risque]]*Base[[#This Row],[Prévalence]]*Base[[#This Row],[Part_coûts_salarié]]/Base[[#This Row],[Population_emploi]]</f>
        <v>0.78969659741536868</v>
      </c>
      <c r="P186">
        <v>50</v>
      </c>
      <c r="Q186">
        <v>50</v>
      </c>
      <c r="R186" s="2">
        <v>9.9999999999999978E-2</v>
      </c>
      <c r="S186" s="2">
        <v>0.33340000000000003</v>
      </c>
      <c r="T186" s="4">
        <v>0.1079</v>
      </c>
      <c r="U186" s="4">
        <f>IF(Bases_annexes!$F$5=0,16.6587111018772,0.77*Bases_annexes!$F$5/(IF(OR(ISBLANK('Données_d''entrée'!$E$44),'Données_d''entrée'!$E$44=0),35,'Données_d''entrée'!$E$44)*52))</f>
        <v>16.658711101877199</v>
      </c>
      <c r="V186" s="4">
        <v>4.25</v>
      </c>
      <c r="W1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6" s="4">
        <v>234.5</v>
      </c>
      <c r="Y186" s="4">
        <f>(Base[[#This Row],['[Maladies']Coûts_évités_par_salarié]]+Base[[#This Row],['[Travail']Coûts_évités_par_salarié]])/Base[[#This Row],[Budget_santé_salarié]]</f>
        <v>7.9870974088823307E-2</v>
      </c>
      <c r="Z186" s="4">
        <v>0.8</v>
      </c>
      <c r="AA186" s="4">
        <f>Base[[#This Row],[Coût]]*Base[[#This Row],[Part_société_dépenses_santé]]</f>
        <v>6.1410362769300963</v>
      </c>
      <c r="AB186" s="4">
        <v>67635124</v>
      </c>
      <c r="AC186" s="4">
        <v>82.297079063317852</v>
      </c>
      <c r="AD186" s="4">
        <v>0.1079</v>
      </c>
      <c r="AE186" s="4">
        <f>Base[[#This Row],['[SC']Prévalence_travail]]*Base[[#This Row],[Population_emploi]]</f>
        <v>2988830</v>
      </c>
      <c r="AF186" s="4">
        <f>Base[[#This Row],[Risque]]*Base[[#This Row],['[SC']Patients_en_emploi]]</f>
        <v>1363684.4333859975</v>
      </c>
      <c r="AG186" s="4">
        <v>0</v>
      </c>
      <c r="AH186" s="4">
        <f>IFERROR(Base[[#This Row],['[SC']Prestations]]/Base[[#This Row],['[SC']Patients_en_emploi]],0)</f>
        <v>0</v>
      </c>
      <c r="AI186" s="4">
        <v>51.7</v>
      </c>
      <c r="AJ1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6" s="4">
        <f>Base[[#This Row],['[SC']'[Travail']Coûts_évités]]/Base[[#This Row],[Population_emploi]]</f>
        <v>3.1815200905259964</v>
      </c>
      <c r="AL186" s="4">
        <f>Base[[#This Row],[Coût_société]]*10^9*Base[[#This Row],[Risque]]*Base[[#This Row],[Prévalence]]*Base[[#This Row],[Part_coûts_salarié]]/Base[[#This Row],[Population_emploi]]</f>
        <v>9.0251039704613572</v>
      </c>
      <c r="AM186" s="4">
        <f>IF(Base[[#This Row],[Pathologie]]&lt;&gt;"Dépendance",0,14909.24243952)</f>
        <v>0</v>
      </c>
      <c r="AN186" s="4">
        <f>IF(Base[[#This Row],[Pathologie]]&lt;&gt;"Dépendance",0,1316000)</f>
        <v>0</v>
      </c>
      <c r="AO186" s="4">
        <f>IF(Base[[#This Row],[Pathologie]]&lt;&gt;"Dépendance",0,Base[[#This Row],['[SC']Coût_personne_dépendante]]*Base[[#This Row],['[SC']Nb_personnes_dépendantes]])</f>
        <v>0</v>
      </c>
      <c r="AP186" s="4">
        <f>IF(Base[[#This Row],[Pathologie]]&lt;&gt;"Dépendance",0,Base[[#This Row],['[SC']Coût_total_dépendance]]/Base[[#This Row],[Population_totale]])</f>
        <v>0</v>
      </c>
      <c r="AQ186" s="4">
        <f>IF(Base[[#This Row],[Pathologie]]&lt;&gt;"Dépendance",0,4.5)</f>
        <v>0</v>
      </c>
      <c r="AR186" s="4">
        <v>0.50393265050357905</v>
      </c>
      <c r="AS186" s="4">
        <f>Base[[#This Row],[Espérance_vie]]+Base[[#This Row],['[SC']Hausse_esp_de_vie]]-Base[[#This Row],['[SC']Durée_moyenne_dépendance_avt]]+Base[[#This Row],[Risque]]</f>
        <v>83.257272000751769</v>
      </c>
      <c r="AT1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6" s="4">
        <v>62.9</v>
      </c>
      <c r="AW186" s="4">
        <f t="shared" si="0"/>
        <v>336905600000</v>
      </c>
      <c r="AX186" s="4">
        <v>15049171</v>
      </c>
      <c r="AY186" s="4">
        <f>Base[[#This Row],['[SC']Budget_total_retraites]]/Base[[#This Row],['[SC']Nombre_de_retraités]]</f>
        <v>22386.987296509556</v>
      </c>
      <c r="AZ186" s="4">
        <f>Base[[#This Row],['[SC']Budget_par_retraité]]*Base[[#This Row],['[SC']Nb_personnes_dépendantes]]</f>
        <v>0</v>
      </c>
      <c r="BA186" s="4">
        <f>Base[[#This Row],['[SC']'[Dépendance']Coût_retraite_personnes_dépendantes]]/Base[[#This Row],[Population_totale]]</f>
        <v>0</v>
      </c>
      <c r="BB1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6" s="4">
        <f>Base[[#This Row],['[SC']'[Dépendance']Gains]]-Base[[#This Row],['[SC']'[Dépendance']Coûts]]</f>
        <v>0</v>
      </c>
      <c r="BD186" s="4">
        <f>IF(Base[[#This Row],[Pathologie]]&lt;&gt;"Mort prématurée",0,Base[[#This Row],[Risque]]*Base[[#This Row],[Prévalence]]*Base[[#This Row],[Population_totale]])</f>
        <v>0</v>
      </c>
      <c r="BE186" s="4">
        <v>52.74</v>
      </c>
      <c r="BF186" s="4">
        <f>Base[[#This Row],['[SC']Âge_moyen_retraite]]-Base[[#This Row],['[SC']'[Mort_prématurée']Âge_moyen_mort précoce]]</f>
        <v>10.159999999999997</v>
      </c>
      <c r="BG186" s="4">
        <f>Base[[#This Row],[Espérance_vie]]+Base[[#This Row],['[SC']Hausse_esp_de_vie]]-Base[[#This Row],['[SC']Âge_moyen_retraite]]</f>
        <v>19.90101171382144</v>
      </c>
      <c r="BH186" s="4">
        <v>106583.42676924677</v>
      </c>
      <c r="BI186" s="4">
        <v>97601.789429271477</v>
      </c>
      <c r="BJ186" s="4">
        <v>302038.31496633729</v>
      </c>
      <c r="BK186" s="4">
        <v>117293.58934859755</v>
      </c>
      <c r="BL186" s="4">
        <v>1523999.9999999995</v>
      </c>
      <c r="BM1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6" s="4">
        <v>294804.96027377353</v>
      </c>
      <c r="BO1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6" s="4">
        <f>(Base[[#This Row],['[SC']'[Mort_prématurée']Gains]]-Base[[#This Row],['[SC']'[Mort_prématurée']Coûts]])/Base[[#This Row],[Population_totale]]</f>
        <v>0</v>
      </c>
      <c r="BQ186" s="4">
        <f>IF(Base[[#This Row],[Pathologie]]&lt;&gt;"Mort prématurée",0,Base[[#This Row],[Risque]])</f>
        <v>0</v>
      </c>
      <c r="BR186" s="4">
        <v>2680</v>
      </c>
      <c r="BS1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6" s="4">
        <f>Base[[#This Row],[Prévalence_prod]]*(1-Base[[#This Row],[Risque]])*Base[[#This Row],[Durée_arrêt]]*Base[[#This Row],[Population_emploi]]</f>
        <v>6906868.6581095094</v>
      </c>
      <c r="BV186" s="4">
        <f>Base[[#This Row],['[Prod']'[Absentéisme']Total_jours_absence_avant]]-Base[[#This Row],['[Prod']'[Absentéisme']Total_jours_absence_après]]</f>
        <v>5795658.8418904888</v>
      </c>
      <c r="BW186" s="4">
        <f>IF(AND(Base[[#This Row],[Pathologie]]&lt;&gt;"Dépendance",Base[[#This Row],[Pathologie]]&lt;&gt;"Mort prématurée",Base[[#This Row],[Pathologie]]&lt;&gt;"Migraine"),0.0619,0)</f>
        <v>6.1899999999999997E-2</v>
      </c>
      <c r="BX186" s="4">
        <v>254</v>
      </c>
      <c r="BY18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6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6" s="4">
        <f>Base[[#This Row],[Prévalence_prod]]*Base[[#This Row],[Présentéisme]]*Base[[#This Row],['[Prod']Jours_ouvrés]]</f>
        <v>2.0966048999999995</v>
      </c>
      <c r="CB186" s="4">
        <f>Base[[#This Row],[Prévalence_prod]]*(1-Base[[#This Row],[Risque]])*Base[[#This Row],[Présentéisme]]*Base[[#This Row],['[Prod']Jours_ouvrés]]</f>
        <v>1.1400073467464504</v>
      </c>
      <c r="CC186" s="4">
        <f>Base[[#This Row],['[Prod']'[Présentéisme']Jours_avant]]-Base[[#This Row],['[Prod']'[Présentéisme']Jours_après]]</f>
        <v>0.95659755325354912</v>
      </c>
      <c r="CD186" s="4">
        <f>Base[[#This Row],['[Prod']'[Présentéisme']Jours_gagnés]]/Base[[#This Row],['[Prod']Jours_ouvrés]]</f>
        <v>3.7661320994234219E-3</v>
      </c>
      <c r="CE186">
        <v>5.8333039429220801E-2</v>
      </c>
      <c r="CF186">
        <v>1.4658164114728258E-2</v>
      </c>
      <c r="CG186" s="4">
        <v>11</v>
      </c>
      <c r="CH186" s="4">
        <v>1.6219398392978641</v>
      </c>
      <c r="CI186" s="4">
        <v>9.628527536862988E-2</v>
      </c>
      <c r="CJ186" s="4">
        <f>IF(Base[[#This Row],[Secteur]]&lt;&gt;"Moyenne",Base[[#This Row],['[Prod']'[Turnover']DMC_initiale]]*(1+Base[[#This Row],['[Prod']'[Turnover']Ecart_accidents]]*Base[[#This Row],['[Prod']Impact_motifs_turnover]]),CJ169*CI169+CJ170*CI170+CJ171*CI171+CJ172*CI172+CJ173*CI173+CJ174*CI174+CJ175*CI175+CJ176*CI176+CJ177*CI177+CJ178*CI178+CJ179*CI179+CJ180*CI180+CJ181*CI181+CJ182*CI182+CJ183*CI183+CJ184*CI184+CJ185*CI185)</f>
        <v>11.261521263835085</v>
      </c>
      <c r="CK186" s="4">
        <f>1/Base[[#This Row],['[Prod']'[Turnover']DMC_initiale]]</f>
        <v>9.0909090909090912E-2</v>
      </c>
      <c r="CL186" s="4">
        <f>1/Base[[#This Row],['[Prod']'[Turnover']DMC_finale]]</f>
        <v>8.8797949812639457E-2</v>
      </c>
    </row>
    <row r="187" spans="2:90" x14ac:dyDescent="0.25">
      <c r="B187" s="4" t="s">
        <v>323</v>
      </c>
      <c r="C187">
        <v>7.5</v>
      </c>
      <c r="D187" t="s">
        <v>84</v>
      </c>
      <c r="E187" t="s">
        <v>12</v>
      </c>
      <c r="F187" s="3">
        <v>0.45626028693033643</v>
      </c>
      <c r="G187" s="3">
        <v>0.1079</v>
      </c>
      <c r="H187" s="3">
        <v>0.1079</v>
      </c>
      <c r="I187" s="3">
        <v>7.6499999999999999E-2</v>
      </c>
      <c r="J187" s="3">
        <v>7.67629534616262</v>
      </c>
      <c r="K187" s="3">
        <v>7.0000000000000007E-2</v>
      </c>
      <c r="L187" s="2">
        <f>Base[[#This Row],[Coût]]*Base[[#This Row],[Part_ménages_dépenses_santé]]</f>
        <v>0.53734067423138343</v>
      </c>
      <c r="M187" s="2">
        <v>0.82690611956969029</v>
      </c>
      <c r="N187" s="6">
        <v>27700000</v>
      </c>
      <c r="O187" s="7">
        <f>Base[[#This Row],[Coût_salarié]]*10^9*Base[[#This Row],[Risque]]*Base[[#This Row],[Prévalence]]*Base[[#This Row],[Part_coûts_salarié]]/Base[[#This Row],[Population_emploi]]</f>
        <v>0.78969659741536868</v>
      </c>
      <c r="P187">
        <v>50</v>
      </c>
      <c r="Q187">
        <v>50</v>
      </c>
      <c r="R187" s="2">
        <v>9.9999999999999978E-2</v>
      </c>
      <c r="S187" s="2">
        <v>0.33340000000000003</v>
      </c>
      <c r="T187" s="4">
        <v>0.1079</v>
      </c>
      <c r="U187" s="4">
        <f>IF(Bases_annexes!$F$5=0,16.6587111018772,0.77*Bases_annexes!$F$5/(IF(OR(ISBLANK('Données_d''entrée'!$E$44),'Données_d''entrée'!$E$44=0),35,'Données_d''entrée'!$E$44)*52))</f>
        <v>16.658711101877199</v>
      </c>
      <c r="V187" s="4">
        <v>4.25</v>
      </c>
      <c r="W1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7" s="4">
        <v>234.5</v>
      </c>
      <c r="Y187" s="4">
        <f>(Base[[#This Row],['[Maladies']Coûts_évités_par_salarié]]+Base[[#This Row],['[Travail']Coûts_évités_par_salarié]])/Base[[#This Row],[Budget_santé_salarié]]</f>
        <v>7.9870974088823307E-2</v>
      </c>
      <c r="Z187" s="4">
        <v>0.8</v>
      </c>
      <c r="AA187" s="4">
        <f>Base[[#This Row],[Coût]]*Base[[#This Row],[Part_société_dépenses_santé]]</f>
        <v>6.1410362769300963</v>
      </c>
      <c r="AB187" s="4">
        <v>67635124</v>
      </c>
      <c r="AC187" s="4">
        <v>82.297079063317852</v>
      </c>
      <c r="AD187" s="4">
        <v>0.1079</v>
      </c>
      <c r="AE187" s="4">
        <f>Base[[#This Row],['[SC']Prévalence_travail]]*Base[[#This Row],[Population_emploi]]</f>
        <v>2988830</v>
      </c>
      <c r="AF187" s="4">
        <f>Base[[#This Row],[Risque]]*Base[[#This Row],['[SC']Patients_en_emploi]]</f>
        <v>1363684.4333859975</v>
      </c>
      <c r="AG187" s="4">
        <v>0</v>
      </c>
      <c r="AH187" s="4">
        <f>IFERROR(Base[[#This Row],['[SC']Prestations]]/Base[[#This Row],['[SC']Patients_en_emploi]],0)</f>
        <v>0</v>
      </c>
      <c r="AI187" s="4">
        <v>51.7</v>
      </c>
      <c r="AJ1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7" s="4">
        <f>Base[[#This Row],['[SC']'[Travail']Coûts_évités]]/Base[[#This Row],[Population_emploi]]</f>
        <v>3.1815200905259964</v>
      </c>
      <c r="AL187" s="4">
        <f>Base[[#This Row],[Coût_société]]*10^9*Base[[#This Row],[Risque]]*Base[[#This Row],[Prévalence]]*Base[[#This Row],[Part_coûts_salarié]]/Base[[#This Row],[Population_emploi]]</f>
        <v>9.0251039704613572</v>
      </c>
      <c r="AM187" s="4">
        <f>IF(Base[[#This Row],[Pathologie]]&lt;&gt;"Dépendance",0,14909.24243952)</f>
        <v>0</v>
      </c>
      <c r="AN187" s="4">
        <f>IF(Base[[#This Row],[Pathologie]]&lt;&gt;"Dépendance",0,1316000)</f>
        <v>0</v>
      </c>
      <c r="AO187" s="4">
        <f>IF(Base[[#This Row],[Pathologie]]&lt;&gt;"Dépendance",0,Base[[#This Row],['[SC']Coût_personne_dépendante]]*Base[[#This Row],['[SC']Nb_personnes_dépendantes]])</f>
        <v>0</v>
      </c>
      <c r="AP187" s="4">
        <f>IF(Base[[#This Row],[Pathologie]]&lt;&gt;"Dépendance",0,Base[[#This Row],['[SC']Coût_total_dépendance]]/Base[[#This Row],[Population_totale]])</f>
        <v>0</v>
      </c>
      <c r="AQ187" s="4">
        <f>IF(Base[[#This Row],[Pathologie]]&lt;&gt;"Dépendance",0,4.5)</f>
        <v>0</v>
      </c>
      <c r="AR187" s="4">
        <v>0.50393265050357905</v>
      </c>
      <c r="AS187" s="4">
        <f>Base[[#This Row],[Espérance_vie]]+Base[[#This Row],['[SC']Hausse_esp_de_vie]]-Base[[#This Row],['[SC']Durée_moyenne_dépendance_avt]]+Base[[#This Row],[Risque]]</f>
        <v>83.257272000751769</v>
      </c>
      <c r="AT1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7" s="4">
        <v>62.9</v>
      </c>
      <c r="AW187" s="4">
        <f t="shared" si="0"/>
        <v>336905600000</v>
      </c>
      <c r="AX187" s="4">
        <v>15049171</v>
      </c>
      <c r="AY187" s="4">
        <f>Base[[#This Row],['[SC']Budget_total_retraites]]/Base[[#This Row],['[SC']Nombre_de_retraités]]</f>
        <v>22386.987296509556</v>
      </c>
      <c r="AZ187" s="4">
        <f>Base[[#This Row],['[SC']Budget_par_retraité]]*Base[[#This Row],['[SC']Nb_personnes_dépendantes]]</f>
        <v>0</v>
      </c>
      <c r="BA187" s="4">
        <f>Base[[#This Row],['[SC']'[Dépendance']Coût_retraite_personnes_dépendantes]]/Base[[#This Row],[Population_totale]]</f>
        <v>0</v>
      </c>
      <c r="BB1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7" s="4">
        <f>Base[[#This Row],['[SC']'[Dépendance']Gains]]-Base[[#This Row],['[SC']'[Dépendance']Coûts]]</f>
        <v>0</v>
      </c>
      <c r="BD187" s="4">
        <f>IF(Base[[#This Row],[Pathologie]]&lt;&gt;"Mort prématurée",0,Base[[#This Row],[Risque]]*Base[[#This Row],[Prévalence]]*Base[[#This Row],[Population_totale]])</f>
        <v>0</v>
      </c>
      <c r="BE187" s="4">
        <v>52.74</v>
      </c>
      <c r="BF187" s="4">
        <f>Base[[#This Row],['[SC']Âge_moyen_retraite]]-Base[[#This Row],['[SC']'[Mort_prématurée']Âge_moyen_mort précoce]]</f>
        <v>10.159999999999997</v>
      </c>
      <c r="BG187" s="4">
        <f>Base[[#This Row],[Espérance_vie]]+Base[[#This Row],['[SC']Hausse_esp_de_vie]]-Base[[#This Row],['[SC']Âge_moyen_retraite]]</f>
        <v>19.90101171382144</v>
      </c>
      <c r="BH187" s="4">
        <v>106583.42676924677</v>
      </c>
      <c r="BI187" s="4">
        <v>97601.789429271477</v>
      </c>
      <c r="BJ187" s="4">
        <v>302038.31496633729</v>
      </c>
      <c r="BK187" s="4">
        <v>117293.58934859755</v>
      </c>
      <c r="BL187" s="4">
        <v>1523999.9999999995</v>
      </c>
      <c r="BM1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7" s="4">
        <v>294804.96027377353</v>
      </c>
      <c r="BO1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7" s="4">
        <f>(Base[[#This Row],['[SC']'[Mort_prématurée']Gains]]-Base[[#This Row],['[SC']'[Mort_prématurée']Coûts]])/Base[[#This Row],[Population_totale]]</f>
        <v>0</v>
      </c>
      <c r="BQ187" s="4">
        <f>IF(Base[[#This Row],[Pathologie]]&lt;&gt;"Mort prématurée",0,Base[[#This Row],[Risque]])</f>
        <v>0</v>
      </c>
      <c r="BR187" s="4">
        <v>2680</v>
      </c>
      <c r="BS1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7" s="4">
        <f>Base[[#This Row],[Prévalence_prod]]*(1-Base[[#This Row],[Risque]])*Base[[#This Row],[Durée_arrêt]]*Base[[#This Row],[Population_emploi]]</f>
        <v>6906868.6581095094</v>
      </c>
      <c r="BV187" s="4">
        <f>Base[[#This Row],['[Prod']'[Absentéisme']Total_jours_absence_avant]]-Base[[#This Row],['[Prod']'[Absentéisme']Total_jours_absence_après]]</f>
        <v>5795658.8418904888</v>
      </c>
      <c r="BW187" s="4">
        <f>IF(AND(Base[[#This Row],[Pathologie]]&lt;&gt;"Dépendance",Base[[#This Row],[Pathologie]]&lt;&gt;"Mort prématurée",Base[[#This Row],[Pathologie]]&lt;&gt;"Migraine"),0.0619,0)</f>
        <v>6.1899999999999997E-2</v>
      </c>
      <c r="BX187" s="4">
        <v>254</v>
      </c>
      <c r="BY187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7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7" s="4">
        <f>Base[[#This Row],[Prévalence_prod]]*Base[[#This Row],[Présentéisme]]*Base[[#This Row],['[Prod']Jours_ouvrés]]</f>
        <v>2.0966048999999995</v>
      </c>
      <c r="CB187" s="4">
        <f>Base[[#This Row],[Prévalence_prod]]*(1-Base[[#This Row],[Risque]])*Base[[#This Row],[Présentéisme]]*Base[[#This Row],['[Prod']Jours_ouvrés]]</f>
        <v>1.1400073467464504</v>
      </c>
      <c r="CC187" s="4">
        <f>Base[[#This Row],['[Prod']'[Présentéisme']Jours_avant]]-Base[[#This Row],['[Prod']'[Présentéisme']Jours_après]]</f>
        <v>0.95659755325354912</v>
      </c>
      <c r="CD187" s="4">
        <f>Base[[#This Row],['[Prod']'[Présentéisme']Jours_gagnés]]/Base[[#This Row],['[Prod']Jours_ouvrés]]</f>
        <v>3.7661320994234219E-3</v>
      </c>
      <c r="CE187">
        <v>5.8333039429220801E-2</v>
      </c>
      <c r="CF187">
        <v>1.4658164114728258E-2</v>
      </c>
      <c r="CG187" s="4">
        <v>11</v>
      </c>
      <c r="CH187" s="4">
        <v>0.96913802401210614</v>
      </c>
      <c r="CI187" s="4">
        <v>0.10293966445307301</v>
      </c>
      <c r="CJ187" s="4">
        <f>IF(Base[[#This Row],[Secteur]]&lt;&gt;"Moyenne",Base[[#This Row],['[Prod']'[Turnover']DMC_initiale]]*(1+Base[[#This Row],['[Prod']'[Turnover']Ecart_accidents]]*Base[[#This Row],['[Prod']Impact_motifs_turnover]]),CJ170*CI170+CJ171*CI171+CJ172*CI172+CJ173*CI173+CJ174*CI174+CJ175*CI175+CJ176*CI176+CJ177*CI177+CJ178*CI178+CJ179*CI179+CJ180*CI180+CJ181*CI181+CJ182*CI182+CJ183*CI183+CJ184*CI184+CJ185*CI185+CJ186*CI186)</f>
        <v>11.156263626263723</v>
      </c>
      <c r="CK187" s="4">
        <f>1/Base[[#This Row],['[Prod']'[Turnover']DMC_initiale]]</f>
        <v>9.0909090909090912E-2</v>
      </c>
      <c r="CL187" s="4">
        <f>1/Base[[#This Row],['[Prod']'[Turnover']DMC_finale]]</f>
        <v>8.9635744860477456E-2</v>
      </c>
    </row>
    <row r="188" spans="2:90" x14ac:dyDescent="0.25">
      <c r="B188" s="4" t="s">
        <v>324</v>
      </c>
      <c r="C188">
        <v>7.5</v>
      </c>
      <c r="D188" t="s">
        <v>84</v>
      </c>
      <c r="E188" t="s">
        <v>12</v>
      </c>
      <c r="F188" s="3">
        <v>0.45626028693033643</v>
      </c>
      <c r="G188" s="3">
        <v>0.1079</v>
      </c>
      <c r="H188" s="3">
        <v>0.1079</v>
      </c>
      <c r="I188" s="3">
        <v>7.6499999999999999E-2</v>
      </c>
      <c r="J188" s="3">
        <v>7.67629534616262</v>
      </c>
      <c r="K188" s="3">
        <v>7.0000000000000007E-2</v>
      </c>
      <c r="L188" s="2">
        <f>Base[[#This Row],[Coût]]*Base[[#This Row],[Part_ménages_dépenses_santé]]</f>
        <v>0.53734067423138343</v>
      </c>
      <c r="M188" s="2">
        <v>0.82690611956969029</v>
      </c>
      <c r="N188" s="6">
        <v>27700000</v>
      </c>
      <c r="O188" s="7">
        <f>Base[[#This Row],[Coût_salarié]]*10^9*Base[[#This Row],[Risque]]*Base[[#This Row],[Prévalence]]*Base[[#This Row],[Part_coûts_salarié]]/Base[[#This Row],[Population_emploi]]</f>
        <v>0.78969659741536868</v>
      </c>
      <c r="P188">
        <v>50</v>
      </c>
      <c r="Q188">
        <v>50</v>
      </c>
      <c r="R188" s="2">
        <v>9.9999999999999978E-2</v>
      </c>
      <c r="S188" s="2">
        <v>0.33340000000000003</v>
      </c>
      <c r="T188" s="4">
        <v>0.1079</v>
      </c>
      <c r="U188" s="4">
        <f>IF(Bases_annexes!$F$5=0,16.6587111018772,0.77*Bases_annexes!$F$5/(IF(OR(ISBLANK('Données_d''entrée'!$E$44),'Données_d''entrée'!$E$44=0),35,'Données_d''entrée'!$E$44)*52))</f>
        <v>16.658711101877199</v>
      </c>
      <c r="V188" s="4">
        <v>4.25</v>
      </c>
      <c r="W1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8" s="4">
        <v>234.5</v>
      </c>
      <c r="Y188" s="4">
        <f>(Base[[#This Row],['[Maladies']Coûts_évités_par_salarié]]+Base[[#This Row],['[Travail']Coûts_évités_par_salarié]])/Base[[#This Row],[Budget_santé_salarié]]</f>
        <v>7.9870974088823307E-2</v>
      </c>
      <c r="Z188" s="4">
        <v>0.8</v>
      </c>
      <c r="AA188" s="4">
        <f>Base[[#This Row],[Coût]]*Base[[#This Row],[Part_société_dépenses_santé]]</f>
        <v>6.1410362769300963</v>
      </c>
      <c r="AB188" s="4">
        <v>67635124</v>
      </c>
      <c r="AC188" s="4">
        <v>82.297079063317852</v>
      </c>
      <c r="AD188" s="4">
        <v>0.1079</v>
      </c>
      <c r="AE188" s="4">
        <f>Base[[#This Row],['[SC']Prévalence_travail]]*Base[[#This Row],[Population_emploi]]</f>
        <v>2988830</v>
      </c>
      <c r="AF188" s="4">
        <f>Base[[#This Row],[Risque]]*Base[[#This Row],['[SC']Patients_en_emploi]]</f>
        <v>1363684.4333859975</v>
      </c>
      <c r="AG188" s="4">
        <v>0</v>
      </c>
      <c r="AH188" s="4">
        <f>IFERROR(Base[[#This Row],['[SC']Prestations]]/Base[[#This Row],['[SC']Patients_en_emploi]],0)</f>
        <v>0</v>
      </c>
      <c r="AI188" s="4">
        <v>51.7</v>
      </c>
      <c r="AJ1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8" s="4">
        <f>Base[[#This Row],['[SC']'[Travail']Coûts_évités]]/Base[[#This Row],[Population_emploi]]</f>
        <v>3.1815200905259964</v>
      </c>
      <c r="AL188" s="4">
        <f>Base[[#This Row],[Coût_société]]*10^9*Base[[#This Row],[Risque]]*Base[[#This Row],[Prévalence]]*Base[[#This Row],[Part_coûts_salarié]]/Base[[#This Row],[Population_emploi]]</f>
        <v>9.0251039704613572</v>
      </c>
      <c r="AM188" s="4">
        <f>IF(Base[[#This Row],[Pathologie]]&lt;&gt;"Dépendance",0,14909.24243952)</f>
        <v>0</v>
      </c>
      <c r="AN188" s="4">
        <f>IF(Base[[#This Row],[Pathologie]]&lt;&gt;"Dépendance",0,1316000)</f>
        <v>0</v>
      </c>
      <c r="AO188" s="4">
        <f>IF(Base[[#This Row],[Pathologie]]&lt;&gt;"Dépendance",0,Base[[#This Row],['[SC']Coût_personne_dépendante]]*Base[[#This Row],['[SC']Nb_personnes_dépendantes]])</f>
        <v>0</v>
      </c>
      <c r="AP188" s="4">
        <f>IF(Base[[#This Row],[Pathologie]]&lt;&gt;"Dépendance",0,Base[[#This Row],['[SC']Coût_total_dépendance]]/Base[[#This Row],[Population_totale]])</f>
        <v>0</v>
      </c>
      <c r="AQ188" s="4">
        <f>IF(Base[[#This Row],[Pathologie]]&lt;&gt;"Dépendance",0,4.5)</f>
        <v>0</v>
      </c>
      <c r="AR188" s="4">
        <v>0.50393265050357905</v>
      </c>
      <c r="AS188" s="4">
        <f>Base[[#This Row],[Espérance_vie]]+Base[[#This Row],['[SC']Hausse_esp_de_vie]]-Base[[#This Row],['[SC']Durée_moyenne_dépendance_avt]]+Base[[#This Row],[Risque]]</f>
        <v>83.257272000751769</v>
      </c>
      <c r="AT1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8" s="4">
        <v>62.9</v>
      </c>
      <c r="AW188" s="4">
        <f t="shared" si="0"/>
        <v>336905600000</v>
      </c>
      <c r="AX188" s="4">
        <v>15049171</v>
      </c>
      <c r="AY188" s="4">
        <f>Base[[#This Row],['[SC']Budget_total_retraites]]/Base[[#This Row],['[SC']Nombre_de_retraités]]</f>
        <v>22386.987296509556</v>
      </c>
      <c r="AZ188" s="4">
        <f>Base[[#This Row],['[SC']Budget_par_retraité]]*Base[[#This Row],['[SC']Nb_personnes_dépendantes]]</f>
        <v>0</v>
      </c>
      <c r="BA188" s="4">
        <f>Base[[#This Row],['[SC']'[Dépendance']Coût_retraite_personnes_dépendantes]]/Base[[#This Row],[Population_totale]]</f>
        <v>0</v>
      </c>
      <c r="BB1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8" s="4">
        <f>Base[[#This Row],['[SC']'[Dépendance']Gains]]-Base[[#This Row],['[SC']'[Dépendance']Coûts]]</f>
        <v>0</v>
      </c>
      <c r="BD188" s="4">
        <f>IF(Base[[#This Row],[Pathologie]]&lt;&gt;"Mort prématurée",0,Base[[#This Row],[Risque]]*Base[[#This Row],[Prévalence]]*Base[[#This Row],[Population_totale]])</f>
        <v>0</v>
      </c>
      <c r="BE188" s="4">
        <v>52.74</v>
      </c>
      <c r="BF188" s="4">
        <f>Base[[#This Row],['[SC']Âge_moyen_retraite]]-Base[[#This Row],['[SC']'[Mort_prématurée']Âge_moyen_mort précoce]]</f>
        <v>10.159999999999997</v>
      </c>
      <c r="BG188" s="4">
        <f>Base[[#This Row],[Espérance_vie]]+Base[[#This Row],['[SC']Hausse_esp_de_vie]]-Base[[#This Row],['[SC']Âge_moyen_retraite]]</f>
        <v>19.90101171382144</v>
      </c>
      <c r="BH188" s="4">
        <v>106583.42676924677</v>
      </c>
      <c r="BI188" s="4">
        <v>97601.789429271477</v>
      </c>
      <c r="BJ188" s="4">
        <v>302038.31496633729</v>
      </c>
      <c r="BK188" s="4">
        <v>117293.58934859755</v>
      </c>
      <c r="BL188" s="4">
        <v>1523999.9999999995</v>
      </c>
      <c r="BM1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8" s="4">
        <v>294804.96027377353</v>
      </c>
      <c r="BO1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8" s="4">
        <f>(Base[[#This Row],['[SC']'[Mort_prématurée']Gains]]-Base[[#This Row],['[SC']'[Mort_prématurée']Coûts]])/Base[[#This Row],[Population_totale]]</f>
        <v>0</v>
      </c>
      <c r="BQ188" s="4">
        <f>IF(Base[[#This Row],[Pathologie]]&lt;&gt;"Mort prématurée",0,Base[[#This Row],[Risque]])</f>
        <v>0</v>
      </c>
      <c r="BR188" s="4">
        <v>2680</v>
      </c>
      <c r="BS1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8" s="4">
        <f>Base[[#This Row],[Prévalence_prod]]*(1-Base[[#This Row],[Risque]])*Base[[#This Row],[Durée_arrêt]]*Base[[#This Row],[Population_emploi]]</f>
        <v>6906868.6581095094</v>
      </c>
      <c r="BV188" s="4">
        <f>Base[[#This Row],['[Prod']'[Absentéisme']Total_jours_absence_avant]]-Base[[#This Row],['[Prod']'[Absentéisme']Total_jours_absence_après]]</f>
        <v>5795658.8418904888</v>
      </c>
      <c r="BW188" s="4">
        <f>IF(AND(Base[[#This Row],[Pathologie]]&lt;&gt;"Dépendance",Base[[#This Row],[Pathologie]]&lt;&gt;"Mort prématurée",Base[[#This Row],[Pathologie]]&lt;&gt;"Migraine"),0.0619,0)</f>
        <v>6.1899999999999997E-2</v>
      </c>
      <c r="BX188" s="4">
        <v>254</v>
      </c>
      <c r="BY188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8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8" s="4">
        <f>Base[[#This Row],[Prévalence_prod]]*Base[[#This Row],[Présentéisme]]*Base[[#This Row],['[Prod']Jours_ouvrés]]</f>
        <v>2.0966048999999995</v>
      </c>
      <c r="CB188" s="4">
        <f>Base[[#This Row],[Prévalence_prod]]*(1-Base[[#This Row],[Risque]])*Base[[#This Row],[Présentéisme]]*Base[[#This Row],['[Prod']Jours_ouvrés]]</f>
        <v>1.1400073467464504</v>
      </c>
      <c r="CC188" s="4">
        <f>Base[[#This Row],['[Prod']'[Présentéisme']Jours_avant]]-Base[[#This Row],['[Prod']'[Présentéisme']Jours_après]]</f>
        <v>0.95659755325354912</v>
      </c>
      <c r="CD188" s="4">
        <f>Base[[#This Row],['[Prod']'[Présentéisme']Jours_gagnés]]/Base[[#This Row],['[Prod']Jours_ouvrés]]</f>
        <v>3.7661320994234219E-3</v>
      </c>
      <c r="CE188">
        <v>5.8333039429220801E-2</v>
      </c>
      <c r="CF188">
        <v>1.4658164114728258E-2</v>
      </c>
      <c r="CG188" s="4">
        <v>11</v>
      </c>
      <c r="CH188" s="4">
        <v>1.3987208237662601</v>
      </c>
      <c r="CI188" s="4">
        <v>2.1768516166491274E-2</v>
      </c>
      <c r="CJ188" s="4">
        <f>IF(Base[[#This Row],[Secteur]]&lt;&gt;"Moyenne",Base[[#This Row],['[Prod']'[Turnover']DMC_initiale]]*(1+Base[[#This Row],['[Prod']'[Turnover']Ecart_accidents]]*Base[[#This Row],['[Prod']Impact_motifs_turnover]]),CJ171*CI171+CJ172*CI172+CJ173*CI173+CJ174*CI174+CJ175*CI175+CJ176*CI176+CJ177*CI177+CJ178*CI178+CJ179*CI179+CJ180*CI180+CJ181*CI181+CJ182*CI182+CJ183*CI183+CJ184*CI184+CJ185*CI185+CJ186*CI186+CJ187*CI187)</f>
        <v>11.225529473239991</v>
      </c>
      <c r="CK188" s="4">
        <f>1/Base[[#This Row],['[Prod']'[Turnover']DMC_initiale]]</f>
        <v>9.0909090909090912E-2</v>
      </c>
      <c r="CL188" s="4">
        <f>1/Base[[#This Row],['[Prod']'[Turnover']DMC_finale]]</f>
        <v>8.9082657738670828E-2</v>
      </c>
    </row>
    <row r="189" spans="2:90" x14ac:dyDescent="0.25">
      <c r="B189" s="4" t="s">
        <v>325</v>
      </c>
      <c r="C189">
        <v>7.5</v>
      </c>
      <c r="D189" t="s">
        <v>84</v>
      </c>
      <c r="E189" t="s">
        <v>12</v>
      </c>
      <c r="F189" s="3">
        <v>0.45626028693033643</v>
      </c>
      <c r="G189" s="3">
        <v>0.1079</v>
      </c>
      <c r="H189" s="3">
        <v>0.1079</v>
      </c>
      <c r="I189" s="3">
        <v>7.6499999999999999E-2</v>
      </c>
      <c r="J189" s="3">
        <v>7.67629534616262</v>
      </c>
      <c r="K189" s="3">
        <v>7.0000000000000007E-2</v>
      </c>
      <c r="L189" s="2">
        <f>Base[[#This Row],[Coût]]*Base[[#This Row],[Part_ménages_dépenses_santé]]</f>
        <v>0.53734067423138343</v>
      </c>
      <c r="M189" s="2">
        <v>0.82690611956969029</v>
      </c>
      <c r="N189" s="6">
        <v>27700000</v>
      </c>
      <c r="O189" s="7">
        <f>Base[[#This Row],[Coût_salarié]]*10^9*Base[[#This Row],[Risque]]*Base[[#This Row],[Prévalence]]*Base[[#This Row],[Part_coûts_salarié]]/Base[[#This Row],[Population_emploi]]</f>
        <v>0.78969659741536868</v>
      </c>
      <c r="P189">
        <v>50</v>
      </c>
      <c r="Q189">
        <v>50</v>
      </c>
      <c r="R189" s="2">
        <v>9.9999999999999978E-2</v>
      </c>
      <c r="S189" s="2">
        <v>0.33340000000000003</v>
      </c>
      <c r="T189" s="4">
        <v>0.1079</v>
      </c>
      <c r="U189" s="4">
        <f>IF(Bases_annexes!$F$5=0,16.6587111018772,0.77*Bases_annexes!$F$5/(IF(OR(ISBLANK('Données_d''entrée'!$E$44),'Données_d''entrée'!$E$44=0),35,'Données_d''entrée'!$E$44)*52))</f>
        <v>16.658711101877199</v>
      </c>
      <c r="V189" s="4">
        <v>4.25</v>
      </c>
      <c r="W1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89" s="4">
        <v>234.5</v>
      </c>
      <c r="Y189" s="4">
        <f>(Base[[#This Row],['[Maladies']Coûts_évités_par_salarié]]+Base[[#This Row],['[Travail']Coûts_évités_par_salarié]])/Base[[#This Row],[Budget_santé_salarié]]</f>
        <v>7.9870974088823307E-2</v>
      </c>
      <c r="Z189" s="4">
        <v>0.8</v>
      </c>
      <c r="AA189" s="4">
        <f>Base[[#This Row],[Coût]]*Base[[#This Row],[Part_société_dépenses_santé]]</f>
        <v>6.1410362769300963</v>
      </c>
      <c r="AB189" s="4">
        <v>67635124</v>
      </c>
      <c r="AC189" s="4">
        <v>82.297079063317852</v>
      </c>
      <c r="AD189" s="4">
        <v>0.1079</v>
      </c>
      <c r="AE189" s="4">
        <f>Base[[#This Row],['[SC']Prévalence_travail]]*Base[[#This Row],[Population_emploi]]</f>
        <v>2988830</v>
      </c>
      <c r="AF189" s="4">
        <f>Base[[#This Row],[Risque]]*Base[[#This Row],['[SC']Patients_en_emploi]]</f>
        <v>1363684.4333859975</v>
      </c>
      <c r="AG189" s="4">
        <v>0</v>
      </c>
      <c r="AH189" s="4">
        <f>IFERROR(Base[[#This Row],['[SC']Prestations]]/Base[[#This Row],['[SC']Patients_en_emploi]],0)</f>
        <v>0</v>
      </c>
      <c r="AI189" s="4">
        <v>51.7</v>
      </c>
      <c r="AJ1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89" s="4">
        <f>Base[[#This Row],['[SC']'[Travail']Coûts_évités]]/Base[[#This Row],[Population_emploi]]</f>
        <v>3.1815200905259964</v>
      </c>
      <c r="AL189" s="4">
        <f>Base[[#This Row],[Coût_société]]*10^9*Base[[#This Row],[Risque]]*Base[[#This Row],[Prévalence]]*Base[[#This Row],[Part_coûts_salarié]]/Base[[#This Row],[Population_emploi]]</f>
        <v>9.0251039704613572</v>
      </c>
      <c r="AM189" s="4">
        <f>IF(Base[[#This Row],[Pathologie]]&lt;&gt;"Dépendance",0,14909.24243952)</f>
        <v>0</v>
      </c>
      <c r="AN189" s="4">
        <f>IF(Base[[#This Row],[Pathologie]]&lt;&gt;"Dépendance",0,1316000)</f>
        <v>0</v>
      </c>
      <c r="AO189" s="4">
        <f>IF(Base[[#This Row],[Pathologie]]&lt;&gt;"Dépendance",0,Base[[#This Row],['[SC']Coût_personne_dépendante]]*Base[[#This Row],['[SC']Nb_personnes_dépendantes]])</f>
        <v>0</v>
      </c>
      <c r="AP189" s="4">
        <f>IF(Base[[#This Row],[Pathologie]]&lt;&gt;"Dépendance",0,Base[[#This Row],['[SC']Coût_total_dépendance]]/Base[[#This Row],[Population_totale]])</f>
        <v>0</v>
      </c>
      <c r="AQ189" s="4">
        <f>IF(Base[[#This Row],[Pathologie]]&lt;&gt;"Dépendance",0,4.5)</f>
        <v>0</v>
      </c>
      <c r="AR189" s="4">
        <v>0.50393265050357905</v>
      </c>
      <c r="AS189" s="4">
        <f>Base[[#This Row],[Espérance_vie]]+Base[[#This Row],['[SC']Hausse_esp_de_vie]]-Base[[#This Row],['[SC']Durée_moyenne_dépendance_avt]]+Base[[#This Row],[Risque]]</f>
        <v>83.257272000751769</v>
      </c>
      <c r="AT1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89" s="4">
        <v>62.9</v>
      </c>
      <c r="AW189" s="4">
        <f t="shared" si="0"/>
        <v>336905600000</v>
      </c>
      <c r="AX189" s="4">
        <v>15049171</v>
      </c>
      <c r="AY189" s="4">
        <f>Base[[#This Row],['[SC']Budget_total_retraites]]/Base[[#This Row],['[SC']Nombre_de_retraités]]</f>
        <v>22386.987296509556</v>
      </c>
      <c r="AZ189" s="4">
        <f>Base[[#This Row],['[SC']Budget_par_retraité]]*Base[[#This Row],['[SC']Nb_personnes_dépendantes]]</f>
        <v>0</v>
      </c>
      <c r="BA189" s="4">
        <f>Base[[#This Row],['[SC']'[Dépendance']Coût_retraite_personnes_dépendantes]]/Base[[#This Row],[Population_totale]]</f>
        <v>0</v>
      </c>
      <c r="BB1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89" s="4">
        <f>Base[[#This Row],['[SC']'[Dépendance']Gains]]-Base[[#This Row],['[SC']'[Dépendance']Coûts]]</f>
        <v>0</v>
      </c>
      <c r="BD189" s="4">
        <f>IF(Base[[#This Row],[Pathologie]]&lt;&gt;"Mort prématurée",0,Base[[#This Row],[Risque]]*Base[[#This Row],[Prévalence]]*Base[[#This Row],[Population_totale]])</f>
        <v>0</v>
      </c>
      <c r="BE189" s="4">
        <v>52.74</v>
      </c>
      <c r="BF189" s="4">
        <f>Base[[#This Row],['[SC']Âge_moyen_retraite]]-Base[[#This Row],['[SC']'[Mort_prématurée']Âge_moyen_mort précoce]]</f>
        <v>10.159999999999997</v>
      </c>
      <c r="BG189" s="4">
        <f>Base[[#This Row],[Espérance_vie]]+Base[[#This Row],['[SC']Hausse_esp_de_vie]]-Base[[#This Row],['[SC']Âge_moyen_retraite]]</f>
        <v>19.90101171382144</v>
      </c>
      <c r="BH189" s="4">
        <v>106583.42676924677</v>
      </c>
      <c r="BI189" s="4">
        <v>97601.789429271477</v>
      </c>
      <c r="BJ189" s="4">
        <v>302038.31496633729</v>
      </c>
      <c r="BK189" s="4">
        <v>117293.58934859755</v>
      </c>
      <c r="BL189" s="4">
        <v>1523999.9999999995</v>
      </c>
      <c r="BM1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89" s="4">
        <v>294804.96027377353</v>
      </c>
      <c r="BO1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89" s="4">
        <f>(Base[[#This Row],['[SC']'[Mort_prématurée']Gains]]-Base[[#This Row],['[SC']'[Mort_prématurée']Coûts]])/Base[[#This Row],[Population_totale]]</f>
        <v>0</v>
      </c>
      <c r="BQ189" s="4">
        <f>IF(Base[[#This Row],[Pathologie]]&lt;&gt;"Mort prématurée",0,Base[[#This Row],[Risque]])</f>
        <v>0</v>
      </c>
      <c r="BR189" s="4">
        <v>2680</v>
      </c>
      <c r="BS1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89" s="4">
        <f>Base[[#This Row],[Prévalence_prod]]*(1-Base[[#This Row],[Risque]])*Base[[#This Row],[Durée_arrêt]]*Base[[#This Row],[Population_emploi]]</f>
        <v>6906868.6581095094</v>
      </c>
      <c r="BV189" s="4">
        <f>Base[[#This Row],['[Prod']'[Absentéisme']Total_jours_absence_avant]]-Base[[#This Row],['[Prod']'[Absentéisme']Total_jours_absence_après]]</f>
        <v>5795658.8418904888</v>
      </c>
      <c r="BW189" s="4">
        <f>IF(AND(Base[[#This Row],[Pathologie]]&lt;&gt;"Dépendance",Base[[#This Row],[Pathologie]]&lt;&gt;"Mort prématurée",Base[[#This Row],[Pathologie]]&lt;&gt;"Migraine"),0.0619,0)</f>
        <v>6.1899999999999997E-2</v>
      </c>
      <c r="BX189" s="4">
        <v>254</v>
      </c>
      <c r="BY189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89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89" s="4">
        <f>Base[[#This Row],[Prévalence_prod]]*Base[[#This Row],[Présentéisme]]*Base[[#This Row],['[Prod']Jours_ouvrés]]</f>
        <v>2.0966048999999995</v>
      </c>
      <c r="CB189" s="4">
        <f>Base[[#This Row],[Prévalence_prod]]*(1-Base[[#This Row],[Risque]])*Base[[#This Row],[Présentéisme]]*Base[[#This Row],['[Prod']Jours_ouvrés]]</f>
        <v>1.1400073467464504</v>
      </c>
      <c r="CC189" s="4">
        <f>Base[[#This Row],['[Prod']'[Présentéisme']Jours_avant]]-Base[[#This Row],['[Prod']'[Présentéisme']Jours_après]]</f>
        <v>0.95659755325354912</v>
      </c>
      <c r="CD189" s="4">
        <f>Base[[#This Row],['[Prod']'[Présentéisme']Jours_gagnés]]/Base[[#This Row],['[Prod']Jours_ouvrés]]</f>
        <v>3.7661320994234219E-3</v>
      </c>
      <c r="CE189">
        <v>5.8333039429220801E-2</v>
      </c>
      <c r="CF189">
        <v>1.4658164114728258E-2</v>
      </c>
      <c r="CG189" s="4">
        <v>11</v>
      </c>
      <c r="CH189" s="4">
        <v>1.1624525375985588</v>
      </c>
      <c r="CI189" s="4">
        <v>3.7953151649308701E-2</v>
      </c>
      <c r="CJ189" s="4">
        <f>IF(Base[[#This Row],[Secteur]]&lt;&gt;"Moyenne",Base[[#This Row],['[Prod']'[Turnover']DMC_initiale]]*(1+Base[[#This Row],['[Prod']'[Turnover']Ecart_accidents]]*Base[[#This Row],['[Prod']Impact_motifs_turnover]]),CJ172*CI172+CJ173*CI173+CJ174*CI174+CJ175*CI175+CJ176*CI176+CJ177*CI177+CJ178*CI178+CJ179*CI179+CJ180*CI180+CJ181*CI181+CJ182*CI182+CJ183*CI183+CJ184*CI184+CJ185*CI185+CJ186*CI186+CJ187*CI187+CJ188*CI188)</f>
        <v>11.18743362078872</v>
      </c>
      <c r="CK189" s="4">
        <f>1/Base[[#This Row],['[Prod']'[Turnover']DMC_initiale]]</f>
        <v>9.0909090909090912E-2</v>
      </c>
      <c r="CL189" s="4">
        <f>1/Base[[#This Row],['[Prod']'[Turnover']DMC_finale]]</f>
        <v>8.9386005217655939E-2</v>
      </c>
    </row>
    <row r="190" spans="2:90" x14ac:dyDescent="0.25">
      <c r="B190" s="4" t="s">
        <v>326</v>
      </c>
      <c r="C190">
        <v>7.5</v>
      </c>
      <c r="D190" t="s">
        <v>84</v>
      </c>
      <c r="E190" t="s">
        <v>12</v>
      </c>
      <c r="F190" s="3">
        <v>0.45626028693033643</v>
      </c>
      <c r="G190" s="3">
        <v>0.1079</v>
      </c>
      <c r="H190" s="3">
        <v>0.1079</v>
      </c>
      <c r="I190" s="3">
        <v>7.6499999999999999E-2</v>
      </c>
      <c r="J190" s="3">
        <v>7.67629534616262</v>
      </c>
      <c r="K190" s="3">
        <v>7.0000000000000007E-2</v>
      </c>
      <c r="L190" s="2">
        <f>Base[[#This Row],[Coût]]*Base[[#This Row],[Part_ménages_dépenses_santé]]</f>
        <v>0.53734067423138343</v>
      </c>
      <c r="M190" s="2">
        <v>0.82690611956969029</v>
      </c>
      <c r="N190" s="6">
        <v>27700000</v>
      </c>
      <c r="O190" s="7">
        <f>Base[[#This Row],[Coût_salarié]]*10^9*Base[[#This Row],[Risque]]*Base[[#This Row],[Prévalence]]*Base[[#This Row],[Part_coûts_salarié]]/Base[[#This Row],[Population_emploi]]</f>
        <v>0.78969659741536868</v>
      </c>
      <c r="P190">
        <v>50</v>
      </c>
      <c r="Q190">
        <v>50</v>
      </c>
      <c r="R190" s="2">
        <v>9.9999999999999978E-2</v>
      </c>
      <c r="S190" s="2">
        <v>0.33340000000000003</v>
      </c>
      <c r="T190" s="4">
        <v>0.1079</v>
      </c>
      <c r="U190" s="4">
        <f>IF(Bases_annexes!$F$5=0,16.6587111018772,0.77*Bases_annexes!$F$5/(IF(OR(ISBLANK('Données_d''entrée'!$E$44),'Données_d''entrée'!$E$44=0),35,'Données_d''entrée'!$E$44)*52))</f>
        <v>16.658711101877199</v>
      </c>
      <c r="V190" s="4">
        <v>4.25</v>
      </c>
      <c r="W1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0" s="4">
        <v>234.5</v>
      </c>
      <c r="Y190" s="4">
        <f>(Base[[#This Row],['[Maladies']Coûts_évités_par_salarié]]+Base[[#This Row],['[Travail']Coûts_évités_par_salarié]])/Base[[#This Row],[Budget_santé_salarié]]</f>
        <v>7.9870974088823307E-2</v>
      </c>
      <c r="Z190" s="4">
        <v>0.8</v>
      </c>
      <c r="AA190" s="4">
        <f>Base[[#This Row],[Coût]]*Base[[#This Row],[Part_société_dépenses_santé]]</f>
        <v>6.1410362769300963</v>
      </c>
      <c r="AB190" s="4">
        <v>67635124</v>
      </c>
      <c r="AC190" s="4">
        <v>82.297079063317852</v>
      </c>
      <c r="AD190" s="4">
        <v>0.1079</v>
      </c>
      <c r="AE190" s="4">
        <f>Base[[#This Row],['[SC']Prévalence_travail]]*Base[[#This Row],[Population_emploi]]</f>
        <v>2988830</v>
      </c>
      <c r="AF190" s="4">
        <f>Base[[#This Row],[Risque]]*Base[[#This Row],['[SC']Patients_en_emploi]]</f>
        <v>1363684.4333859975</v>
      </c>
      <c r="AG190" s="4">
        <v>0</v>
      </c>
      <c r="AH190" s="4">
        <f>IFERROR(Base[[#This Row],['[SC']Prestations]]/Base[[#This Row],['[SC']Patients_en_emploi]],0)</f>
        <v>0</v>
      </c>
      <c r="AI190" s="4">
        <v>51.7</v>
      </c>
      <c r="AJ1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0" s="4">
        <f>Base[[#This Row],['[SC']'[Travail']Coûts_évités]]/Base[[#This Row],[Population_emploi]]</f>
        <v>3.1815200905259964</v>
      </c>
      <c r="AL190" s="4">
        <f>Base[[#This Row],[Coût_société]]*10^9*Base[[#This Row],[Risque]]*Base[[#This Row],[Prévalence]]*Base[[#This Row],[Part_coûts_salarié]]/Base[[#This Row],[Population_emploi]]</f>
        <v>9.0251039704613572</v>
      </c>
      <c r="AM190" s="4">
        <f>IF(Base[[#This Row],[Pathologie]]&lt;&gt;"Dépendance",0,14909.24243952)</f>
        <v>0</v>
      </c>
      <c r="AN190" s="4">
        <f>IF(Base[[#This Row],[Pathologie]]&lt;&gt;"Dépendance",0,1316000)</f>
        <v>0</v>
      </c>
      <c r="AO190" s="4">
        <f>IF(Base[[#This Row],[Pathologie]]&lt;&gt;"Dépendance",0,Base[[#This Row],['[SC']Coût_personne_dépendante]]*Base[[#This Row],['[SC']Nb_personnes_dépendantes]])</f>
        <v>0</v>
      </c>
      <c r="AP190" s="4">
        <f>IF(Base[[#This Row],[Pathologie]]&lt;&gt;"Dépendance",0,Base[[#This Row],['[SC']Coût_total_dépendance]]/Base[[#This Row],[Population_totale]])</f>
        <v>0</v>
      </c>
      <c r="AQ190" s="4">
        <f>IF(Base[[#This Row],[Pathologie]]&lt;&gt;"Dépendance",0,4.5)</f>
        <v>0</v>
      </c>
      <c r="AR190" s="4">
        <v>0.50393265050357905</v>
      </c>
      <c r="AS190" s="4">
        <f>Base[[#This Row],[Espérance_vie]]+Base[[#This Row],['[SC']Hausse_esp_de_vie]]-Base[[#This Row],['[SC']Durée_moyenne_dépendance_avt]]+Base[[#This Row],[Risque]]</f>
        <v>83.257272000751769</v>
      </c>
      <c r="AT1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0" s="4">
        <v>62.9</v>
      </c>
      <c r="AW190" s="4">
        <f t="shared" si="0"/>
        <v>336905600000</v>
      </c>
      <c r="AX190" s="4">
        <v>15049171</v>
      </c>
      <c r="AY190" s="4">
        <f>Base[[#This Row],['[SC']Budget_total_retraites]]/Base[[#This Row],['[SC']Nombre_de_retraités]]</f>
        <v>22386.987296509556</v>
      </c>
      <c r="AZ190" s="4">
        <f>Base[[#This Row],['[SC']Budget_par_retraité]]*Base[[#This Row],['[SC']Nb_personnes_dépendantes]]</f>
        <v>0</v>
      </c>
      <c r="BA190" s="4">
        <f>Base[[#This Row],['[SC']'[Dépendance']Coût_retraite_personnes_dépendantes]]/Base[[#This Row],[Population_totale]]</f>
        <v>0</v>
      </c>
      <c r="BB1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0" s="4">
        <f>Base[[#This Row],['[SC']'[Dépendance']Gains]]-Base[[#This Row],['[SC']'[Dépendance']Coûts]]</f>
        <v>0</v>
      </c>
      <c r="BD190" s="4">
        <f>IF(Base[[#This Row],[Pathologie]]&lt;&gt;"Mort prématurée",0,Base[[#This Row],[Risque]]*Base[[#This Row],[Prévalence]]*Base[[#This Row],[Population_totale]])</f>
        <v>0</v>
      </c>
      <c r="BE190" s="4">
        <v>52.74</v>
      </c>
      <c r="BF190" s="4">
        <f>Base[[#This Row],['[SC']Âge_moyen_retraite]]-Base[[#This Row],['[SC']'[Mort_prématurée']Âge_moyen_mort précoce]]</f>
        <v>10.159999999999997</v>
      </c>
      <c r="BG190" s="4">
        <f>Base[[#This Row],[Espérance_vie]]+Base[[#This Row],['[SC']Hausse_esp_de_vie]]-Base[[#This Row],['[SC']Âge_moyen_retraite]]</f>
        <v>19.90101171382144</v>
      </c>
      <c r="BH190" s="4">
        <v>106583.42676924677</v>
      </c>
      <c r="BI190" s="4">
        <v>97601.789429271477</v>
      </c>
      <c r="BJ190" s="4">
        <v>302038.31496633729</v>
      </c>
      <c r="BK190" s="4">
        <v>117293.58934859755</v>
      </c>
      <c r="BL190" s="4">
        <v>1523999.9999999995</v>
      </c>
      <c r="BM1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0" s="4">
        <v>294804.96027377353</v>
      </c>
      <c r="BO1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0" s="4">
        <f>(Base[[#This Row],['[SC']'[Mort_prématurée']Gains]]-Base[[#This Row],['[SC']'[Mort_prématurée']Coûts]])/Base[[#This Row],[Population_totale]]</f>
        <v>0</v>
      </c>
      <c r="BQ190" s="4">
        <f>IF(Base[[#This Row],[Pathologie]]&lt;&gt;"Mort prématurée",0,Base[[#This Row],[Risque]])</f>
        <v>0</v>
      </c>
      <c r="BR190" s="4">
        <v>2680</v>
      </c>
      <c r="BS1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0" s="4">
        <f>Base[[#This Row],[Prévalence_prod]]*(1-Base[[#This Row],[Risque]])*Base[[#This Row],[Durée_arrêt]]*Base[[#This Row],[Population_emploi]]</f>
        <v>6906868.6581095094</v>
      </c>
      <c r="BV190" s="4">
        <f>Base[[#This Row],['[Prod']'[Absentéisme']Total_jours_absence_avant]]-Base[[#This Row],['[Prod']'[Absentéisme']Total_jours_absence_après]]</f>
        <v>5795658.8418904888</v>
      </c>
      <c r="BW190" s="4">
        <f>IF(AND(Base[[#This Row],[Pathologie]]&lt;&gt;"Dépendance",Base[[#This Row],[Pathologie]]&lt;&gt;"Mort prématurée",Base[[#This Row],[Pathologie]]&lt;&gt;"Migraine"),0.0619,0)</f>
        <v>6.1899999999999997E-2</v>
      </c>
      <c r="BX190" s="4">
        <v>254</v>
      </c>
      <c r="BY190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0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0" s="4">
        <f>Base[[#This Row],[Prévalence_prod]]*Base[[#This Row],[Présentéisme]]*Base[[#This Row],['[Prod']Jours_ouvrés]]</f>
        <v>2.0966048999999995</v>
      </c>
      <c r="CB190" s="4">
        <f>Base[[#This Row],[Prévalence_prod]]*(1-Base[[#This Row],[Risque]])*Base[[#This Row],[Présentéisme]]*Base[[#This Row],['[Prod']Jours_ouvrés]]</f>
        <v>1.1400073467464504</v>
      </c>
      <c r="CC190" s="4">
        <f>Base[[#This Row],['[Prod']'[Présentéisme']Jours_avant]]-Base[[#This Row],['[Prod']'[Présentéisme']Jours_après]]</f>
        <v>0.95659755325354912</v>
      </c>
      <c r="CD190" s="4">
        <f>Base[[#This Row],['[Prod']'[Présentéisme']Jours_gagnés]]/Base[[#This Row],['[Prod']Jours_ouvrés]]</f>
        <v>3.7661320994234219E-3</v>
      </c>
      <c r="CE190">
        <v>5.8333039429220801E-2</v>
      </c>
      <c r="CF190">
        <v>1.4658164114728258E-2</v>
      </c>
      <c r="CG190" s="4">
        <v>11</v>
      </c>
      <c r="CH190" s="4">
        <v>0.19346787829229528</v>
      </c>
      <c r="CI190" s="4">
        <v>2.8126549817953091E-2</v>
      </c>
      <c r="CJ190" s="4">
        <f>IF(Base[[#This Row],[Secteur]]&lt;&gt;"Moyenne",Base[[#This Row],['[Prod']'[Turnover']DMC_initiale]]*(1+Base[[#This Row],['[Prod']'[Turnover']Ecart_accidents]]*Base[[#This Row],['[Prod']Impact_motifs_turnover]]),CJ173*CI173+CJ174*CI174+CJ175*CI175+CJ176*CI176+CJ177*CI177+CJ178*CI178+CJ179*CI179+CJ180*CI180+CJ181*CI181+CJ182*CI182+CJ183*CI183+CJ184*CI184+CJ185*CI185+CJ186*CI186+CJ187*CI187+CJ188*CI188+CJ189*CI189)</f>
        <v>11.031194723020304</v>
      </c>
      <c r="CK190" s="4">
        <f>1/Base[[#This Row],['[Prod']'[Turnover']DMC_initiale]]</f>
        <v>9.0909090909090912E-2</v>
      </c>
      <c r="CL190" s="4">
        <f>1/Base[[#This Row],['[Prod']'[Turnover']DMC_finale]]</f>
        <v>9.065201232584201E-2</v>
      </c>
    </row>
    <row r="191" spans="2:90" x14ac:dyDescent="0.25">
      <c r="B191" s="4" t="s">
        <v>327</v>
      </c>
      <c r="C191">
        <v>7.5</v>
      </c>
      <c r="D191" t="s">
        <v>84</v>
      </c>
      <c r="E191" t="s">
        <v>12</v>
      </c>
      <c r="F191" s="3">
        <v>0.45626028693033643</v>
      </c>
      <c r="G191" s="3">
        <v>0.1079</v>
      </c>
      <c r="H191" s="3">
        <v>0.1079</v>
      </c>
      <c r="I191" s="3">
        <v>7.6499999999999999E-2</v>
      </c>
      <c r="J191" s="3">
        <v>7.67629534616262</v>
      </c>
      <c r="K191" s="3">
        <v>7.0000000000000007E-2</v>
      </c>
      <c r="L191" s="2">
        <f>Base[[#This Row],[Coût]]*Base[[#This Row],[Part_ménages_dépenses_santé]]</f>
        <v>0.53734067423138343</v>
      </c>
      <c r="M191" s="2">
        <v>0.82690611956969029</v>
      </c>
      <c r="N191" s="6">
        <v>27700000</v>
      </c>
      <c r="O191" s="7">
        <f>Base[[#This Row],[Coût_salarié]]*10^9*Base[[#This Row],[Risque]]*Base[[#This Row],[Prévalence]]*Base[[#This Row],[Part_coûts_salarié]]/Base[[#This Row],[Population_emploi]]</f>
        <v>0.78969659741536868</v>
      </c>
      <c r="P191">
        <v>50</v>
      </c>
      <c r="Q191">
        <v>50</v>
      </c>
      <c r="R191" s="2">
        <v>9.9999999999999978E-2</v>
      </c>
      <c r="S191" s="2">
        <v>0.33340000000000003</v>
      </c>
      <c r="T191" s="4">
        <v>0.1079</v>
      </c>
      <c r="U191" s="4">
        <f>IF(Bases_annexes!$F$5=0,16.6587111018772,0.77*Bases_annexes!$F$5/(IF(OR(ISBLANK('Données_d''entrée'!$E$44),'Données_d''entrée'!$E$44=0),35,'Données_d''entrée'!$E$44)*52))</f>
        <v>16.658711101877199</v>
      </c>
      <c r="V191" s="4">
        <v>4.25</v>
      </c>
      <c r="W1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1" s="4">
        <v>234.5</v>
      </c>
      <c r="Y191" s="4">
        <f>(Base[[#This Row],['[Maladies']Coûts_évités_par_salarié]]+Base[[#This Row],['[Travail']Coûts_évités_par_salarié]])/Base[[#This Row],[Budget_santé_salarié]]</f>
        <v>7.9870974088823307E-2</v>
      </c>
      <c r="Z191" s="4">
        <v>0.8</v>
      </c>
      <c r="AA191" s="4">
        <f>Base[[#This Row],[Coût]]*Base[[#This Row],[Part_société_dépenses_santé]]</f>
        <v>6.1410362769300963</v>
      </c>
      <c r="AB191" s="4">
        <v>67635124</v>
      </c>
      <c r="AC191" s="4">
        <v>82.297079063317852</v>
      </c>
      <c r="AD191" s="4">
        <v>0.1079</v>
      </c>
      <c r="AE191" s="4">
        <f>Base[[#This Row],['[SC']Prévalence_travail]]*Base[[#This Row],[Population_emploi]]</f>
        <v>2988830</v>
      </c>
      <c r="AF191" s="4">
        <f>Base[[#This Row],[Risque]]*Base[[#This Row],['[SC']Patients_en_emploi]]</f>
        <v>1363684.4333859975</v>
      </c>
      <c r="AG191" s="4">
        <v>0</v>
      </c>
      <c r="AH191" s="4">
        <f>IFERROR(Base[[#This Row],['[SC']Prestations]]/Base[[#This Row],['[SC']Patients_en_emploi]],0)</f>
        <v>0</v>
      </c>
      <c r="AI191" s="4">
        <v>51.7</v>
      </c>
      <c r="AJ1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1" s="4">
        <f>Base[[#This Row],['[SC']'[Travail']Coûts_évités]]/Base[[#This Row],[Population_emploi]]</f>
        <v>3.1815200905259964</v>
      </c>
      <c r="AL191" s="4">
        <f>Base[[#This Row],[Coût_société]]*10^9*Base[[#This Row],[Risque]]*Base[[#This Row],[Prévalence]]*Base[[#This Row],[Part_coûts_salarié]]/Base[[#This Row],[Population_emploi]]</f>
        <v>9.0251039704613572</v>
      </c>
      <c r="AM191" s="4">
        <f>IF(Base[[#This Row],[Pathologie]]&lt;&gt;"Dépendance",0,14909.24243952)</f>
        <v>0</v>
      </c>
      <c r="AN191" s="4">
        <f>IF(Base[[#This Row],[Pathologie]]&lt;&gt;"Dépendance",0,1316000)</f>
        <v>0</v>
      </c>
      <c r="AO191" s="4">
        <f>IF(Base[[#This Row],[Pathologie]]&lt;&gt;"Dépendance",0,Base[[#This Row],['[SC']Coût_personne_dépendante]]*Base[[#This Row],['[SC']Nb_personnes_dépendantes]])</f>
        <v>0</v>
      </c>
      <c r="AP191" s="4">
        <f>IF(Base[[#This Row],[Pathologie]]&lt;&gt;"Dépendance",0,Base[[#This Row],['[SC']Coût_total_dépendance]]/Base[[#This Row],[Population_totale]])</f>
        <v>0</v>
      </c>
      <c r="AQ191" s="4">
        <f>IF(Base[[#This Row],[Pathologie]]&lt;&gt;"Dépendance",0,4.5)</f>
        <v>0</v>
      </c>
      <c r="AR191" s="4">
        <v>0.50393265050357905</v>
      </c>
      <c r="AS191" s="4">
        <f>Base[[#This Row],[Espérance_vie]]+Base[[#This Row],['[SC']Hausse_esp_de_vie]]-Base[[#This Row],['[SC']Durée_moyenne_dépendance_avt]]+Base[[#This Row],[Risque]]</f>
        <v>83.257272000751769</v>
      </c>
      <c r="AT1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1" s="4">
        <v>62.9</v>
      </c>
      <c r="AW191" s="4">
        <f t="shared" si="0"/>
        <v>336905600000</v>
      </c>
      <c r="AX191" s="4">
        <v>15049171</v>
      </c>
      <c r="AY191" s="4">
        <f>Base[[#This Row],['[SC']Budget_total_retraites]]/Base[[#This Row],['[SC']Nombre_de_retraités]]</f>
        <v>22386.987296509556</v>
      </c>
      <c r="AZ191" s="4">
        <f>Base[[#This Row],['[SC']Budget_par_retraité]]*Base[[#This Row],['[SC']Nb_personnes_dépendantes]]</f>
        <v>0</v>
      </c>
      <c r="BA191" s="4">
        <f>Base[[#This Row],['[SC']'[Dépendance']Coût_retraite_personnes_dépendantes]]/Base[[#This Row],[Population_totale]]</f>
        <v>0</v>
      </c>
      <c r="BB1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1" s="4">
        <f>Base[[#This Row],['[SC']'[Dépendance']Gains]]-Base[[#This Row],['[SC']'[Dépendance']Coûts]]</f>
        <v>0</v>
      </c>
      <c r="BD191" s="4">
        <f>IF(Base[[#This Row],[Pathologie]]&lt;&gt;"Mort prématurée",0,Base[[#This Row],[Risque]]*Base[[#This Row],[Prévalence]]*Base[[#This Row],[Population_totale]])</f>
        <v>0</v>
      </c>
      <c r="BE191" s="4">
        <v>52.74</v>
      </c>
      <c r="BF191" s="4">
        <f>Base[[#This Row],['[SC']Âge_moyen_retraite]]-Base[[#This Row],['[SC']'[Mort_prématurée']Âge_moyen_mort précoce]]</f>
        <v>10.159999999999997</v>
      </c>
      <c r="BG191" s="4">
        <f>Base[[#This Row],[Espérance_vie]]+Base[[#This Row],['[SC']Hausse_esp_de_vie]]-Base[[#This Row],['[SC']Âge_moyen_retraite]]</f>
        <v>19.90101171382144</v>
      </c>
      <c r="BH191" s="4">
        <v>106583.42676924677</v>
      </c>
      <c r="BI191" s="4">
        <v>97601.789429271477</v>
      </c>
      <c r="BJ191" s="4">
        <v>302038.31496633729</v>
      </c>
      <c r="BK191" s="4">
        <v>117293.58934859755</v>
      </c>
      <c r="BL191" s="4">
        <v>1523999.9999999995</v>
      </c>
      <c r="BM1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1" s="4">
        <v>294804.96027377353</v>
      </c>
      <c r="BO1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1" s="4">
        <f>(Base[[#This Row],['[SC']'[Mort_prématurée']Gains]]-Base[[#This Row],['[SC']'[Mort_prématurée']Coûts]])/Base[[#This Row],[Population_totale]]</f>
        <v>0</v>
      </c>
      <c r="BQ191" s="4">
        <f>IF(Base[[#This Row],[Pathologie]]&lt;&gt;"Mort prématurée",0,Base[[#This Row],[Risque]])</f>
        <v>0</v>
      </c>
      <c r="BR191" s="4">
        <v>2680</v>
      </c>
      <c r="BS1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1" s="4">
        <f>Base[[#This Row],[Prévalence_prod]]*(1-Base[[#This Row],[Risque]])*Base[[#This Row],[Durée_arrêt]]*Base[[#This Row],[Population_emploi]]</f>
        <v>6906868.6581095094</v>
      </c>
      <c r="BV191" s="4">
        <f>Base[[#This Row],['[Prod']'[Absentéisme']Total_jours_absence_avant]]-Base[[#This Row],['[Prod']'[Absentéisme']Total_jours_absence_après]]</f>
        <v>5795658.8418904888</v>
      </c>
      <c r="BW191" s="4">
        <f>IF(AND(Base[[#This Row],[Pathologie]]&lt;&gt;"Dépendance",Base[[#This Row],[Pathologie]]&lt;&gt;"Mort prématurée",Base[[#This Row],[Pathologie]]&lt;&gt;"Migraine"),0.0619,0)</f>
        <v>6.1899999999999997E-2</v>
      </c>
      <c r="BX191" s="4">
        <v>254</v>
      </c>
      <c r="BY19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1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1" s="4">
        <f>Base[[#This Row],[Prévalence_prod]]*Base[[#This Row],[Présentéisme]]*Base[[#This Row],['[Prod']Jours_ouvrés]]</f>
        <v>2.0966048999999995</v>
      </c>
      <c r="CB191" s="4">
        <f>Base[[#This Row],[Prévalence_prod]]*(1-Base[[#This Row],[Risque]])*Base[[#This Row],[Présentéisme]]*Base[[#This Row],['[Prod']Jours_ouvrés]]</f>
        <v>1.1400073467464504</v>
      </c>
      <c r="CC191" s="4">
        <f>Base[[#This Row],['[Prod']'[Présentéisme']Jours_avant]]-Base[[#This Row],['[Prod']'[Présentéisme']Jours_après]]</f>
        <v>0.95659755325354912</v>
      </c>
      <c r="CD191" s="4">
        <f>Base[[#This Row],['[Prod']'[Présentéisme']Jours_gagnés]]/Base[[#This Row],['[Prod']Jours_ouvrés]]</f>
        <v>3.7661320994234219E-3</v>
      </c>
      <c r="CE191">
        <v>5.8333039429220801E-2</v>
      </c>
      <c r="CF191">
        <v>1.4658164114728258E-2</v>
      </c>
      <c r="CG191" s="4">
        <v>11</v>
      </c>
      <c r="CH191" s="4">
        <v>0.13729577077682142</v>
      </c>
      <c r="CI191" s="4">
        <v>1.373516710817578E-2</v>
      </c>
      <c r="CJ191" s="4">
        <f>IF(Base[[#This Row],[Secteur]]&lt;&gt;"Moyenne",Base[[#This Row],['[Prod']'[Turnover']DMC_initiale]]*(1+Base[[#This Row],['[Prod']'[Turnover']Ecart_accidents]]*Base[[#This Row],['[Prod']Impact_motifs_turnover]]),CJ174*CI174+CJ175*CI175+CJ176*CI176+CJ177*CI177+CJ178*CI178+CJ179*CI179+CJ180*CI180+CJ181*CI181+CJ182*CI182+CJ183*CI183+CJ184*CI184+CJ185*CI185+CJ186*CI186+CJ187*CI187+CJ188*CI188+CJ189*CI189+CJ190*CI190)</f>
        <v>11.022137543343351</v>
      </c>
      <c r="CK191" s="4">
        <f>1/Base[[#This Row],['[Prod']'[Turnover']DMC_initiale]]</f>
        <v>9.0909090909090912E-2</v>
      </c>
      <c r="CL191" s="4">
        <f>1/Base[[#This Row],['[Prod']'[Turnover']DMC_finale]]</f>
        <v>9.0726503463380792E-2</v>
      </c>
    </row>
    <row r="192" spans="2:90" x14ac:dyDescent="0.25">
      <c r="B192" s="4" t="s">
        <v>328</v>
      </c>
      <c r="C192">
        <v>7.5</v>
      </c>
      <c r="D192" t="s">
        <v>84</v>
      </c>
      <c r="E192" t="s">
        <v>12</v>
      </c>
      <c r="F192" s="3">
        <v>0.45626028693033643</v>
      </c>
      <c r="G192" s="3">
        <v>0.1079</v>
      </c>
      <c r="H192" s="3">
        <v>0.1079</v>
      </c>
      <c r="I192" s="3">
        <v>7.6499999999999999E-2</v>
      </c>
      <c r="J192" s="3">
        <v>7.67629534616262</v>
      </c>
      <c r="K192" s="3">
        <v>7.0000000000000007E-2</v>
      </c>
      <c r="L192" s="2">
        <f>Base[[#This Row],[Coût]]*Base[[#This Row],[Part_ménages_dépenses_santé]]</f>
        <v>0.53734067423138343</v>
      </c>
      <c r="M192" s="2">
        <v>0.82690611956969029</v>
      </c>
      <c r="N192" s="6">
        <v>27700000</v>
      </c>
      <c r="O192" s="7">
        <f>Base[[#This Row],[Coût_salarié]]*10^9*Base[[#This Row],[Risque]]*Base[[#This Row],[Prévalence]]*Base[[#This Row],[Part_coûts_salarié]]/Base[[#This Row],[Population_emploi]]</f>
        <v>0.78969659741536868</v>
      </c>
      <c r="P192">
        <v>50</v>
      </c>
      <c r="Q192">
        <v>50</v>
      </c>
      <c r="R192" s="2">
        <v>9.9999999999999978E-2</v>
      </c>
      <c r="S192" s="2">
        <v>0.33340000000000003</v>
      </c>
      <c r="T192" s="4">
        <v>0.1079</v>
      </c>
      <c r="U192" s="4">
        <f>IF(Bases_annexes!$F$5=0,16.6587111018772,0.77*Bases_annexes!$F$5/(IF(OR(ISBLANK('Données_d''entrée'!$E$44),'Données_d''entrée'!$E$44=0),35,'Données_d''entrée'!$E$44)*52))</f>
        <v>16.658711101877199</v>
      </c>
      <c r="V192" s="4">
        <v>4.25</v>
      </c>
      <c r="W1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2" s="4">
        <v>234.5</v>
      </c>
      <c r="Y192" s="4">
        <f>(Base[[#This Row],['[Maladies']Coûts_évités_par_salarié]]+Base[[#This Row],['[Travail']Coûts_évités_par_salarié]])/Base[[#This Row],[Budget_santé_salarié]]</f>
        <v>7.9870974088823307E-2</v>
      </c>
      <c r="Z192" s="4">
        <v>0.8</v>
      </c>
      <c r="AA192" s="4">
        <f>Base[[#This Row],[Coût]]*Base[[#This Row],[Part_société_dépenses_santé]]</f>
        <v>6.1410362769300963</v>
      </c>
      <c r="AB192" s="4">
        <v>67635124</v>
      </c>
      <c r="AC192" s="4">
        <v>82.297079063317852</v>
      </c>
      <c r="AD192" s="4">
        <v>0.1079</v>
      </c>
      <c r="AE192" s="4">
        <f>Base[[#This Row],['[SC']Prévalence_travail]]*Base[[#This Row],[Population_emploi]]</f>
        <v>2988830</v>
      </c>
      <c r="AF192" s="4">
        <f>Base[[#This Row],[Risque]]*Base[[#This Row],['[SC']Patients_en_emploi]]</f>
        <v>1363684.4333859975</v>
      </c>
      <c r="AG192" s="4">
        <v>0</v>
      </c>
      <c r="AH192" s="4">
        <f>IFERROR(Base[[#This Row],['[SC']Prestations]]/Base[[#This Row],['[SC']Patients_en_emploi]],0)</f>
        <v>0</v>
      </c>
      <c r="AI192" s="4">
        <v>51.7</v>
      </c>
      <c r="AJ1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2" s="4">
        <f>Base[[#This Row],['[SC']'[Travail']Coûts_évités]]/Base[[#This Row],[Population_emploi]]</f>
        <v>3.1815200905259964</v>
      </c>
      <c r="AL192" s="4">
        <f>Base[[#This Row],[Coût_société]]*10^9*Base[[#This Row],[Risque]]*Base[[#This Row],[Prévalence]]*Base[[#This Row],[Part_coûts_salarié]]/Base[[#This Row],[Population_emploi]]</f>
        <v>9.0251039704613572</v>
      </c>
      <c r="AM192" s="4">
        <f>IF(Base[[#This Row],[Pathologie]]&lt;&gt;"Dépendance",0,14909.24243952)</f>
        <v>0</v>
      </c>
      <c r="AN192" s="4">
        <f>IF(Base[[#This Row],[Pathologie]]&lt;&gt;"Dépendance",0,1316000)</f>
        <v>0</v>
      </c>
      <c r="AO192" s="4">
        <f>IF(Base[[#This Row],[Pathologie]]&lt;&gt;"Dépendance",0,Base[[#This Row],['[SC']Coût_personne_dépendante]]*Base[[#This Row],['[SC']Nb_personnes_dépendantes]])</f>
        <v>0</v>
      </c>
      <c r="AP192" s="4">
        <f>IF(Base[[#This Row],[Pathologie]]&lt;&gt;"Dépendance",0,Base[[#This Row],['[SC']Coût_total_dépendance]]/Base[[#This Row],[Population_totale]])</f>
        <v>0</v>
      </c>
      <c r="AQ192" s="4">
        <f>IF(Base[[#This Row],[Pathologie]]&lt;&gt;"Dépendance",0,4.5)</f>
        <v>0</v>
      </c>
      <c r="AR192" s="4">
        <v>0.50393265050357905</v>
      </c>
      <c r="AS192" s="4">
        <f>Base[[#This Row],[Espérance_vie]]+Base[[#This Row],['[SC']Hausse_esp_de_vie]]-Base[[#This Row],['[SC']Durée_moyenne_dépendance_avt]]+Base[[#This Row],[Risque]]</f>
        <v>83.257272000751769</v>
      </c>
      <c r="AT1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2" s="4">
        <v>62.9</v>
      </c>
      <c r="AW192" s="4">
        <f t="shared" si="0"/>
        <v>336905600000</v>
      </c>
      <c r="AX192" s="4">
        <v>15049171</v>
      </c>
      <c r="AY192" s="4">
        <f>Base[[#This Row],['[SC']Budget_total_retraites]]/Base[[#This Row],['[SC']Nombre_de_retraités]]</f>
        <v>22386.987296509556</v>
      </c>
      <c r="AZ192" s="4">
        <f>Base[[#This Row],['[SC']Budget_par_retraité]]*Base[[#This Row],['[SC']Nb_personnes_dépendantes]]</f>
        <v>0</v>
      </c>
      <c r="BA192" s="4">
        <f>Base[[#This Row],['[SC']'[Dépendance']Coût_retraite_personnes_dépendantes]]/Base[[#This Row],[Population_totale]]</f>
        <v>0</v>
      </c>
      <c r="BB1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2" s="4">
        <f>Base[[#This Row],['[SC']'[Dépendance']Gains]]-Base[[#This Row],['[SC']'[Dépendance']Coûts]]</f>
        <v>0</v>
      </c>
      <c r="BD192" s="4">
        <f>IF(Base[[#This Row],[Pathologie]]&lt;&gt;"Mort prématurée",0,Base[[#This Row],[Risque]]*Base[[#This Row],[Prévalence]]*Base[[#This Row],[Population_totale]])</f>
        <v>0</v>
      </c>
      <c r="BE192" s="4">
        <v>52.74</v>
      </c>
      <c r="BF192" s="4">
        <f>Base[[#This Row],['[SC']Âge_moyen_retraite]]-Base[[#This Row],['[SC']'[Mort_prématurée']Âge_moyen_mort précoce]]</f>
        <v>10.159999999999997</v>
      </c>
      <c r="BG192" s="4">
        <f>Base[[#This Row],[Espérance_vie]]+Base[[#This Row],['[SC']Hausse_esp_de_vie]]-Base[[#This Row],['[SC']Âge_moyen_retraite]]</f>
        <v>19.90101171382144</v>
      </c>
      <c r="BH192" s="4">
        <v>106583.42676924677</v>
      </c>
      <c r="BI192" s="4">
        <v>97601.789429271477</v>
      </c>
      <c r="BJ192" s="4">
        <v>302038.31496633729</v>
      </c>
      <c r="BK192" s="4">
        <v>117293.58934859755</v>
      </c>
      <c r="BL192" s="4">
        <v>1523999.9999999995</v>
      </c>
      <c r="BM1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2" s="4">
        <v>294804.96027377353</v>
      </c>
      <c r="BO1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2" s="4">
        <f>(Base[[#This Row],['[SC']'[Mort_prématurée']Gains]]-Base[[#This Row],['[SC']'[Mort_prématurée']Coûts]])/Base[[#This Row],[Population_totale]]</f>
        <v>0</v>
      </c>
      <c r="BQ192" s="4">
        <f>IF(Base[[#This Row],[Pathologie]]&lt;&gt;"Mort prématurée",0,Base[[#This Row],[Risque]])</f>
        <v>0</v>
      </c>
      <c r="BR192" s="4">
        <v>2680</v>
      </c>
      <c r="BS1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2" s="4">
        <f>Base[[#This Row],[Prévalence_prod]]*(1-Base[[#This Row],[Risque]])*Base[[#This Row],[Durée_arrêt]]*Base[[#This Row],[Population_emploi]]</f>
        <v>6906868.6581095094</v>
      </c>
      <c r="BV192" s="4">
        <f>Base[[#This Row],['[Prod']'[Absentéisme']Total_jours_absence_avant]]-Base[[#This Row],['[Prod']'[Absentéisme']Total_jours_absence_après]]</f>
        <v>5795658.8418904888</v>
      </c>
      <c r="BW192" s="4">
        <f>IF(AND(Base[[#This Row],[Pathologie]]&lt;&gt;"Dépendance",Base[[#This Row],[Pathologie]]&lt;&gt;"Mort prématurée",Base[[#This Row],[Pathologie]]&lt;&gt;"Migraine"),0.0619,0)</f>
        <v>6.1899999999999997E-2</v>
      </c>
      <c r="BX192" s="4">
        <v>254</v>
      </c>
      <c r="BY19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2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2" s="4">
        <f>Base[[#This Row],[Prévalence_prod]]*Base[[#This Row],[Présentéisme]]*Base[[#This Row],['[Prod']Jours_ouvrés]]</f>
        <v>2.0966048999999995</v>
      </c>
      <c r="CB192" s="4">
        <f>Base[[#This Row],[Prévalence_prod]]*(1-Base[[#This Row],[Risque]])*Base[[#This Row],[Présentéisme]]*Base[[#This Row],['[Prod']Jours_ouvrés]]</f>
        <v>1.1400073467464504</v>
      </c>
      <c r="CC192" s="4">
        <f>Base[[#This Row],['[Prod']'[Présentéisme']Jours_avant]]-Base[[#This Row],['[Prod']'[Présentéisme']Jours_après]]</f>
        <v>0.95659755325354912</v>
      </c>
      <c r="CD192" s="4">
        <f>Base[[#This Row],['[Prod']'[Présentéisme']Jours_gagnés]]/Base[[#This Row],['[Prod']Jours_ouvrés]]</f>
        <v>3.7661320994234219E-3</v>
      </c>
      <c r="CE192">
        <v>5.8333039429220801E-2</v>
      </c>
      <c r="CF192">
        <v>1.4658164114728258E-2</v>
      </c>
      <c r="CG192" s="4">
        <v>11</v>
      </c>
      <c r="CH192" s="4">
        <v>0.60922528771817497</v>
      </c>
      <c r="CI192" s="4">
        <v>3.8601807163334179E-3</v>
      </c>
      <c r="CJ192" s="4">
        <f>IF(Base[[#This Row],[Secteur]]&lt;&gt;"Moyenne",Base[[#This Row],['[Prod']'[Turnover']DMC_initiale]]*(1+Base[[#This Row],['[Prod']'[Turnover']Ecart_accidents]]*Base[[#This Row],['[Prod']Impact_motifs_turnover]]),CJ175*CI175+CJ176*CI176+CJ177*CI177+CJ178*CI178+CJ179*CI179+CJ180*CI180+CJ181*CI181+CJ182*CI182+CJ183*CI183+CJ184*CI184+CJ185*CI185+CJ186*CI186+CJ187*CI187+CJ188*CI188+CJ189*CI189+CJ190*CI190+CJ191*CI191)</f>
        <v>11.098231366752371</v>
      </c>
      <c r="CK192" s="4">
        <f>1/Base[[#This Row],['[Prod']'[Turnover']DMC_initiale]]</f>
        <v>9.0909090909090912E-2</v>
      </c>
      <c r="CL192" s="4">
        <f>1/Base[[#This Row],['[Prod']'[Turnover']DMC_finale]]</f>
        <v>9.0104447001867274E-2</v>
      </c>
    </row>
    <row r="193" spans="2:90" x14ac:dyDescent="0.25">
      <c r="B193" s="4" t="s">
        <v>329</v>
      </c>
      <c r="C193">
        <v>7.5</v>
      </c>
      <c r="D193" t="s">
        <v>84</v>
      </c>
      <c r="E193" t="s">
        <v>12</v>
      </c>
      <c r="F193" s="3">
        <v>0.45626028693033643</v>
      </c>
      <c r="G193" s="3">
        <v>0.1079</v>
      </c>
      <c r="H193" s="3">
        <v>0.1079</v>
      </c>
      <c r="I193" s="3">
        <v>7.6499999999999999E-2</v>
      </c>
      <c r="J193" s="3">
        <v>7.67629534616262</v>
      </c>
      <c r="K193" s="3">
        <v>7.0000000000000007E-2</v>
      </c>
      <c r="L193" s="2">
        <f>Base[[#This Row],[Coût]]*Base[[#This Row],[Part_ménages_dépenses_santé]]</f>
        <v>0.53734067423138343</v>
      </c>
      <c r="M193" s="2">
        <v>0.82690611956969029</v>
      </c>
      <c r="N193" s="6">
        <v>27700000</v>
      </c>
      <c r="O193" s="7">
        <f>Base[[#This Row],[Coût_salarié]]*10^9*Base[[#This Row],[Risque]]*Base[[#This Row],[Prévalence]]*Base[[#This Row],[Part_coûts_salarié]]/Base[[#This Row],[Population_emploi]]</f>
        <v>0.78969659741536868</v>
      </c>
      <c r="P193">
        <v>50</v>
      </c>
      <c r="Q193">
        <v>50</v>
      </c>
      <c r="R193" s="2">
        <v>9.9999999999999978E-2</v>
      </c>
      <c r="S193" s="2">
        <v>0.33340000000000003</v>
      </c>
      <c r="T193" s="4">
        <v>0.1079</v>
      </c>
      <c r="U193" s="4">
        <f>IF(Bases_annexes!$F$5=0,16.6587111018772,0.77*Bases_annexes!$F$5/(IF(OR(ISBLANK('Données_d''entrée'!$E$44),'Données_d''entrée'!$E$44=0),35,'Données_d''entrée'!$E$44)*52))</f>
        <v>16.658711101877199</v>
      </c>
      <c r="V193" s="4">
        <v>4.25</v>
      </c>
      <c r="W1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3" s="4">
        <v>234.5</v>
      </c>
      <c r="Y193" s="4">
        <f>(Base[[#This Row],['[Maladies']Coûts_évités_par_salarié]]+Base[[#This Row],['[Travail']Coûts_évités_par_salarié]])/Base[[#This Row],[Budget_santé_salarié]]</f>
        <v>7.9870974088823307E-2</v>
      </c>
      <c r="Z193" s="4">
        <v>0.8</v>
      </c>
      <c r="AA193" s="4">
        <f>Base[[#This Row],[Coût]]*Base[[#This Row],[Part_société_dépenses_santé]]</f>
        <v>6.1410362769300963</v>
      </c>
      <c r="AB193" s="4">
        <v>67635124</v>
      </c>
      <c r="AC193" s="4">
        <v>82.297079063317852</v>
      </c>
      <c r="AD193" s="4">
        <v>0.1079</v>
      </c>
      <c r="AE193" s="4">
        <f>Base[[#This Row],['[SC']Prévalence_travail]]*Base[[#This Row],[Population_emploi]]</f>
        <v>2988830</v>
      </c>
      <c r="AF193" s="4">
        <f>Base[[#This Row],[Risque]]*Base[[#This Row],['[SC']Patients_en_emploi]]</f>
        <v>1363684.4333859975</v>
      </c>
      <c r="AG193" s="4">
        <v>0</v>
      </c>
      <c r="AH193" s="4">
        <f>IFERROR(Base[[#This Row],['[SC']Prestations]]/Base[[#This Row],['[SC']Patients_en_emploi]],0)</f>
        <v>0</v>
      </c>
      <c r="AI193" s="4">
        <v>51.7</v>
      </c>
      <c r="AJ1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3" s="4">
        <f>Base[[#This Row],['[SC']'[Travail']Coûts_évités]]/Base[[#This Row],[Population_emploi]]</f>
        <v>3.1815200905259964</v>
      </c>
      <c r="AL193" s="4">
        <f>Base[[#This Row],[Coût_société]]*10^9*Base[[#This Row],[Risque]]*Base[[#This Row],[Prévalence]]*Base[[#This Row],[Part_coûts_salarié]]/Base[[#This Row],[Population_emploi]]</f>
        <v>9.0251039704613572</v>
      </c>
      <c r="AM193" s="4">
        <f>IF(Base[[#This Row],[Pathologie]]&lt;&gt;"Dépendance",0,14909.24243952)</f>
        <v>0</v>
      </c>
      <c r="AN193" s="4">
        <f>IF(Base[[#This Row],[Pathologie]]&lt;&gt;"Dépendance",0,1316000)</f>
        <v>0</v>
      </c>
      <c r="AO193" s="4">
        <f>IF(Base[[#This Row],[Pathologie]]&lt;&gt;"Dépendance",0,Base[[#This Row],['[SC']Coût_personne_dépendante]]*Base[[#This Row],['[SC']Nb_personnes_dépendantes]])</f>
        <v>0</v>
      </c>
      <c r="AP193" s="4">
        <f>IF(Base[[#This Row],[Pathologie]]&lt;&gt;"Dépendance",0,Base[[#This Row],['[SC']Coût_total_dépendance]]/Base[[#This Row],[Population_totale]])</f>
        <v>0</v>
      </c>
      <c r="AQ193" s="4">
        <f>IF(Base[[#This Row],[Pathologie]]&lt;&gt;"Dépendance",0,4.5)</f>
        <v>0</v>
      </c>
      <c r="AR193" s="4">
        <v>0.50393265050357905</v>
      </c>
      <c r="AS193" s="4">
        <f>Base[[#This Row],[Espérance_vie]]+Base[[#This Row],['[SC']Hausse_esp_de_vie]]-Base[[#This Row],['[SC']Durée_moyenne_dépendance_avt]]+Base[[#This Row],[Risque]]</f>
        <v>83.257272000751769</v>
      </c>
      <c r="AT1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3" s="4">
        <v>62.9</v>
      </c>
      <c r="AW193" s="4">
        <f t="shared" si="0"/>
        <v>336905600000</v>
      </c>
      <c r="AX193" s="4">
        <v>15049171</v>
      </c>
      <c r="AY193" s="4">
        <f>Base[[#This Row],['[SC']Budget_total_retraites]]/Base[[#This Row],['[SC']Nombre_de_retraités]]</f>
        <v>22386.987296509556</v>
      </c>
      <c r="AZ193" s="4">
        <f>Base[[#This Row],['[SC']Budget_par_retraité]]*Base[[#This Row],['[SC']Nb_personnes_dépendantes]]</f>
        <v>0</v>
      </c>
      <c r="BA193" s="4">
        <f>Base[[#This Row],['[SC']'[Dépendance']Coût_retraite_personnes_dépendantes]]/Base[[#This Row],[Population_totale]]</f>
        <v>0</v>
      </c>
      <c r="BB1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3" s="4">
        <f>Base[[#This Row],['[SC']'[Dépendance']Gains]]-Base[[#This Row],['[SC']'[Dépendance']Coûts]]</f>
        <v>0</v>
      </c>
      <c r="BD193" s="4">
        <f>IF(Base[[#This Row],[Pathologie]]&lt;&gt;"Mort prématurée",0,Base[[#This Row],[Risque]]*Base[[#This Row],[Prévalence]]*Base[[#This Row],[Population_totale]])</f>
        <v>0</v>
      </c>
      <c r="BE193" s="4">
        <v>52.74</v>
      </c>
      <c r="BF193" s="4">
        <f>Base[[#This Row],['[SC']Âge_moyen_retraite]]-Base[[#This Row],['[SC']'[Mort_prématurée']Âge_moyen_mort précoce]]</f>
        <v>10.159999999999997</v>
      </c>
      <c r="BG193" s="4">
        <f>Base[[#This Row],[Espérance_vie]]+Base[[#This Row],['[SC']Hausse_esp_de_vie]]-Base[[#This Row],['[SC']Âge_moyen_retraite]]</f>
        <v>19.90101171382144</v>
      </c>
      <c r="BH193" s="4">
        <v>106583.42676924677</v>
      </c>
      <c r="BI193" s="4">
        <v>97601.789429271477</v>
      </c>
      <c r="BJ193" s="4">
        <v>302038.31496633729</v>
      </c>
      <c r="BK193" s="4">
        <v>117293.58934859755</v>
      </c>
      <c r="BL193" s="4">
        <v>1523999.9999999995</v>
      </c>
      <c r="BM1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3" s="4">
        <v>294804.96027377353</v>
      </c>
      <c r="BO1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3" s="4">
        <f>(Base[[#This Row],['[SC']'[Mort_prématurée']Gains]]-Base[[#This Row],['[SC']'[Mort_prématurée']Coûts]])/Base[[#This Row],[Population_totale]]</f>
        <v>0</v>
      </c>
      <c r="BQ193" s="4">
        <f>IF(Base[[#This Row],[Pathologie]]&lt;&gt;"Mort prématurée",0,Base[[#This Row],[Risque]])</f>
        <v>0</v>
      </c>
      <c r="BR193" s="4">
        <v>2680</v>
      </c>
      <c r="BS1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3" s="4">
        <f>Base[[#This Row],[Prévalence_prod]]*(1-Base[[#This Row],[Risque]])*Base[[#This Row],[Durée_arrêt]]*Base[[#This Row],[Population_emploi]]</f>
        <v>6906868.6581095094</v>
      </c>
      <c r="BV193" s="4">
        <f>Base[[#This Row],['[Prod']'[Absentéisme']Total_jours_absence_avant]]-Base[[#This Row],['[Prod']'[Absentéisme']Total_jours_absence_après]]</f>
        <v>5795658.8418904888</v>
      </c>
      <c r="BW193" s="4">
        <f>IF(AND(Base[[#This Row],[Pathologie]]&lt;&gt;"Dépendance",Base[[#This Row],[Pathologie]]&lt;&gt;"Mort prématurée",Base[[#This Row],[Pathologie]]&lt;&gt;"Migraine"),0.0619,0)</f>
        <v>6.1899999999999997E-2</v>
      </c>
      <c r="BX193" s="4">
        <v>254</v>
      </c>
      <c r="BY193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3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3" s="4">
        <f>Base[[#This Row],[Prévalence_prod]]*Base[[#This Row],[Présentéisme]]*Base[[#This Row],['[Prod']Jours_ouvrés]]</f>
        <v>2.0966048999999995</v>
      </c>
      <c r="CB193" s="4">
        <f>Base[[#This Row],[Prévalence_prod]]*(1-Base[[#This Row],[Risque]])*Base[[#This Row],[Présentéisme]]*Base[[#This Row],['[Prod']Jours_ouvrés]]</f>
        <v>1.1400073467464504</v>
      </c>
      <c r="CC193" s="4">
        <f>Base[[#This Row],['[Prod']'[Présentéisme']Jours_avant]]-Base[[#This Row],['[Prod']'[Présentéisme']Jours_après]]</f>
        <v>0.95659755325354912</v>
      </c>
      <c r="CD193" s="4">
        <f>Base[[#This Row],['[Prod']'[Présentéisme']Jours_gagnés]]/Base[[#This Row],['[Prod']Jours_ouvrés]]</f>
        <v>3.7661320994234219E-3</v>
      </c>
      <c r="CE193">
        <v>5.8333039429220801E-2</v>
      </c>
      <c r="CF193">
        <v>1.4658164114728258E-2</v>
      </c>
      <c r="CG193" s="4">
        <v>11</v>
      </c>
      <c r="CH193" s="4">
        <v>0.78414927716175975</v>
      </c>
      <c r="CI193" s="4">
        <v>0.12835819090128339</v>
      </c>
      <c r="CJ193" s="4">
        <f>IF(Base[[#This Row],[Secteur]]&lt;&gt;"Moyenne",Base[[#This Row],['[Prod']'[Turnover']DMC_initiale]]*(1+Base[[#This Row],['[Prod']'[Turnover']Ecart_accidents]]*Base[[#This Row],['[Prod']Impact_motifs_turnover]]),CJ176*CI176+CJ177*CI177+CJ178*CI178+CJ179*CI179+CJ180*CI180+CJ181*CI181+CJ182*CI182+CJ183*CI183+CJ184*CI184+CJ185*CI185+CJ186*CI186+CJ187*CI187+CJ188*CI188+CJ189*CI189+CJ190*CI190+CJ191*CI191+CJ192*CI192)</f>
        <v>11.126436076745907</v>
      </c>
      <c r="CK193" s="4">
        <f>1/Base[[#This Row],['[Prod']'[Turnover']DMC_initiale]]</f>
        <v>9.0909090909090912E-2</v>
      </c>
      <c r="CL193" s="4">
        <f>1/Base[[#This Row],['[Prod']'[Turnover']DMC_finale]]</f>
        <v>8.9876038751526707E-2</v>
      </c>
    </row>
    <row r="194" spans="2:90" x14ac:dyDescent="0.25">
      <c r="B194" s="4" t="s">
        <v>330</v>
      </c>
      <c r="C194">
        <v>7.5</v>
      </c>
      <c r="D194" t="s">
        <v>84</v>
      </c>
      <c r="E194" t="s">
        <v>12</v>
      </c>
      <c r="F194" s="3">
        <v>0.45626028693033643</v>
      </c>
      <c r="G194" s="3">
        <v>0.1079</v>
      </c>
      <c r="H194" s="3">
        <v>0.1079</v>
      </c>
      <c r="I194" s="3">
        <v>7.6499999999999999E-2</v>
      </c>
      <c r="J194" s="3">
        <v>7.67629534616262</v>
      </c>
      <c r="K194" s="3">
        <v>7.0000000000000007E-2</v>
      </c>
      <c r="L194" s="2">
        <f>Base[[#This Row],[Coût]]*Base[[#This Row],[Part_ménages_dépenses_santé]]</f>
        <v>0.53734067423138343</v>
      </c>
      <c r="M194" s="2">
        <v>0.82690611956969029</v>
      </c>
      <c r="N194" s="6">
        <v>27700000</v>
      </c>
      <c r="O194" s="7">
        <f>Base[[#This Row],[Coût_salarié]]*10^9*Base[[#This Row],[Risque]]*Base[[#This Row],[Prévalence]]*Base[[#This Row],[Part_coûts_salarié]]/Base[[#This Row],[Population_emploi]]</f>
        <v>0.78969659741536868</v>
      </c>
      <c r="P194">
        <v>50</v>
      </c>
      <c r="Q194">
        <v>50</v>
      </c>
      <c r="R194" s="2">
        <v>9.9999999999999978E-2</v>
      </c>
      <c r="S194" s="2">
        <v>0.33340000000000003</v>
      </c>
      <c r="T194" s="4">
        <v>0.1079</v>
      </c>
      <c r="U194" s="4">
        <f>IF(Bases_annexes!$F$5=0,16.6587111018772,0.77*Bases_annexes!$F$5/(IF(OR(ISBLANK('Données_d''entrée'!$E$44),'Données_d''entrée'!$E$44=0),35,'Données_d''entrée'!$E$44)*52))</f>
        <v>16.658711101877199</v>
      </c>
      <c r="V194" s="4">
        <v>4.25</v>
      </c>
      <c r="W1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4" s="4">
        <v>234.5</v>
      </c>
      <c r="Y194" s="4">
        <f>(Base[[#This Row],['[Maladies']Coûts_évités_par_salarié]]+Base[[#This Row],['[Travail']Coûts_évités_par_salarié]])/Base[[#This Row],[Budget_santé_salarié]]</f>
        <v>7.9870974088823307E-2</v>
      </c>
      <c r="Z194" s="4">
        <v>0.8</v>
      </c>
      <c r="AA194" s="4">
        <f>Base[[#This Row],[Coût]]*Base[[#This Row],[Part_société_dépenses_santé]]</f>
        <v>6.1410362769300963</v>
      </c>
      <c r="AB194" s="4">
        <v>67635124</v>
      </c>
      <c r="AC194" s="4">
        <v>82.297079063317852</v>
      </c>
      <c r="AD194" s="4">
        <v>0.1079</v>
      </c>
      <c r="AE194" s="4">
        <f>Base[[#This Row],['[SC']Prévalence_travail]]*Base[[#This Row],[Population_emploi]]</f>
        <v>2988830</v>
      </c>
      <c r="AF194" s="4">
        <f>Base[[#This Row],[Risque]]*Base[[#This Row],['[SC']Patients_en_emploi]]</f>
        <v>1363684.4333859975</v>
      </c>
      <c r="AG194" s="4">
        <v>0</v>
      </c>
      <c r="AH194" s="4">
        <f>IFERROR(Base[[#This Row],['[SC']Prestations]]/Base[[#This Row],['[SC']Patients_en_emploi]],0)</f>
        <v>0</v>
      </c>
      <c r="AI194" s="4">
        <v>51.7</v>
      </c>
      <c r="AJ1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4" s="4">
        <f>Base[[#This Row],['[SC']'[Travail']Coûts_évités]]/Base[[#This Row],[Population_emploi]]</f>
        <v>3.1815200905259964</v>
      </c>
      <c r="AL194" s="4">
        <f>Base[[#This Row],[Coût_société]]*10^9*Base[[#This Row],[Risque]]*Base[[#This Row],[Prévalence]]*Base[[#This Row],[Part_coûts_salarié]]/Base[[#This Row],[Population_emploi]]</f>
        <v>9.0251039704613572</v>
      </c>
      <c r="AM194" s="4">
        <f>IF(Base[[#This Row],[Pathologie]]&lt;&gt;"Dépendance",0,14909.24243952)</f>
        <v>0</v>
      </c>
      <c r="AN194" s="4">
        <f>IF(Base[[#This Row],[Pathologie]]&lt;&gt;"Dépendance",0,1316000)</f>
        <v>0</v>
      </c>
      <c r="AO194" s="4">
        <f>IF(Base[[#This Row],[Pathologie]]&lt;&gt;"Dépendance",0,Base[[#This Row],['[SC']Coût_personne_dépendante]]*Base[[#This Row],['[SC']Nb_personnes_dépendantes]])</f>
        <v>0</v>
      </c>
      <c r="AP194" s="4">
        <f>IF(Base[[#This Row],[Pathologie]]&lt;&gt;"Dépendance",0,Base[[#This Row],['[SC']Coût_total_dépendance]]/Base[[#This Row],[Population_totale]])</f>
        <v>0</v>
      </c>
      <c r="AQ194" s="4">
        <f>IF(Base[[#This Row],[Pathologie]]&lt;&gt;"Dépendance",0,4.5)</f>
        <v>0</v>
      </c>
      <c r="AR194" s="4">
        <v>0.50393265050357905</v>
      </c>
      <c r="AS194" s="4">
        <f>Base[[#This Row],[Espérance_vie]]+Base[[#This Row],['[SC']Hausse_esp_de_vie]]-Base[[#This Row],['[SC']Durée_moyenne_dépendance_avt]]+Base[[#This Row],[Risque]]</f>
        <v>83.257272000751769</v>
      </c>
      <c r="AT1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4" s="4">
        <v>62.9</v>
      </c>
      <c r="AW194" s="4">
        <f t="shared" si="0"/>
        <v>336905600000</v>
      </c>
      <c r="AX194" s="4">
        <v>15049171</v>
      </c>
      <c r="AY194" s="4">
        <f>Base[[#This Row],['[SC']Budget_total_retraites]]/Base[[#This Row],['[SC']Nombre_de_retraités]]</f>
        <v>22386.987296509556</v>
      </c>
      <c r="AZ194" s="4">
        <f>Base[[#This Row],['[SC']Budget_par_retraité]]*Base[[#This Row],['[SC']Nb_personnes_dépendantes]]</f>
        <v>0</v>
      </c>
      <c r="BA194" s="4">
        <f>Base[[#This Row],['[SC']'[Dépendance']Coût_retraite_personnes_dépendantes]]/Base[[#This Row],[Population_totale]]</f>
        <v>0</v>
      </c>
      <c r="BB1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4" s="4">
        <f>Base[[#This Row],['[SC']'[Dépendance']Gains]]-Base[[#This Row],['[SC']'[Dépendance']Coûts]]</f>
        <v>0</v>
      </c>
      <c r="BD194" s="4">
        <f>IF(Base[[#This Row],[Pathologie]]&lt;&gt;"Mort prématurée",0,Base[[#This Row],[Risque]]*Base[[#This Row],[Prévalence]]*Base[[#This Row],[Population_totale]])</f>
        <v>0</v>
      </c>
      <c r="BE194" s="4">
        <v>52.74</v>
      </c>
      <c r="BF194" s="4">
        <f>Base[[#This Row],['[SC']Âge_moyen_retraite]]-Base[[#This Row],['[SC']'[Mort_prématurée']Âge_moyen_mort précoce]]</f>
        <v>10.159999999999997</v>
      </c>
      <c r="BG194" s="4">
        <f>Base[[#This Row],[Espérance_vie]]+Base[[#This Row],['[SC']Hausse_esp_de_vie]]-Base[[#This Row],['[SC']Âge_moyen_retraite]]</f>
        <v>19.90101171382144</v>
      </c>
      <c r="BH194" s="4">
        <v>106583.42676924677</v>
      </c>
      <c r="BI194" s="4">
        <v>97601.789429271477</v>
      </c>
      <c r="BJ194" s="4">
        <v>302038.31496633729</v>
      </c>
      <c r="BK194" s="4">
        <v>117293.58934859755</v>
      </c>
      <c r="BL194" s="4">
        <v>1523999.9999999995</v>
      </c>
      <c r="BM1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4" s="4">
        <v>294804.96027377353</v>
      </c>
      <c r="BO1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4" s="4">
        <f>(Base[[#This Row],['[SC']'[Mort_prématurée']Gains]]-Base[[#This Row],['[SC']'[Mort_prématurée']Coûts]])/Base[[#This Row],[Population_totale]]</f>
        <v>0</v>
      </c>
      <c r="BQ194" s="4">
        <f>IF(Base[[#This Row],[Pathologie]]&lt;&gt;"Mort prématurée",0,Base[[#This Row],[Risque]])</f>
        <v>0</v>
      </c>
      <c r="BR194" s="4">
        <v>2680</v>
      </c>
      <c r="BS1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4" s="4">
        <f>Base[[#This Row],[Prévalence_prod]]*(1-Base[[#This Row],[Risque]])*Base[[#This Row],[Durée_arrêt]]*Base[[#This Row],[Population_emploi]]</f>
        <v>6906868.6581095094</v>
      </c>
      <c r="BV194" s="4">
        <f>Base[[#This Row],['[Prod']'[Absentéisme']Total_jours_absence_avant]]-Base[[#This Row],['[Prod']'[Absentéisme']Total_jours_absence_après]]</f>
        <v>5795658.8418904888</v>
      </c>
      <c r="BW194" s="4">
        <f>IF(AND(Base[[#This Row],[Pathologie]]&lt;&gt;"Dépendance",Base[[#This Row],[Pathologie]]&lt;&gt;"Mort prématurée",Base[[#This Row],[Pathologie]]&lt;&gt;"Migraine"),0.0619,0)</f>
        <v>6.1899999999999997E-2</v>
      </c>
      <c r="BX194" s="4">
        <v>254</v>
      </c>
      <c r="BY194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4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4" s="4">
        <f>Base[[#This Row],[Prévalence_prod]]*Base[[#This Row],[Présentéisme]]*Base[[#This Row],['[Prod']Jours_ouvrés]]</f>
        <v>2.0966048999999995</v>
      </c>
      <c r="CB194" s="4">
        <f>Base[[#This Row],[Prévalence_prod]]*(1-Base[[#This Row],[Risque]])*Base[[#This Row],[Présentéisme]]*Base[[#This Row],['[Prod']Jours_ouvrés]]</f>
        <v>1.1400073467464504</v>
      </c>
      <c r="CC194" s="4">
        <f>Base[[#This Row],['[Prod']'[Présentéisme']Jours_avant]]-Base[[#This Row],['[Prod']'[Présentéisme']Jours_après]]</f>
        <v>0.95659755325354912</v>
      </c>
      <c r="CD194" s="4">
        <f>Base[[#This Row],['[Prod']'[Présentéisme']Jours_gagnés]]/Base[[#This Row],['[Prod']Jours_ouvrés]]</f>
        <v>3.7661320994234219E-3</v>
      </c>
      <c r="CE194">
        <v>5.8333039429220801E-2</v>
      </c>
      <c r="CF194">
        <v>1.4658164114728258E-2</v>
      </c>
      <c r="CG194" s="4">
        <v>11</v>
      </c>
      <c r="CH194" s="4">
        <v>0.99648427619813984</v>
      </c>
      <c r="CI194" s="4">
        <v>0.42377466100567313</v>
      </c>
      <c r="CJ194" s="4">
        <f>IF(Base[[#This Row],[Secteur]]&lt;&gt;"Moyenne",Base[[#This Row],['[Prod']'[Turnover']DMC_initiale]]*(1+Base[[#This Row],['[Prod']'[Turnover']Ecart_accidents]]*Base[[#This Row],['[Prod']Impact_motifs_turnover]]),CJ177*CI177+CJ178*CI178+CJ179*CI179+CJ180*CI180+CJ181*CI181+CJ182*CI182+CJ183*CI183+CJ184*CI184+CJ185*CI185+CJ186*CI186+CJ187*CI187+CJ188*CI188+CJ189*CI189+CJ190*CI190+CJ191*CI191+CJ192*CI192+CJ193*CI193)</f>
        <v>11.160672930640844</v>
      </c>
      <c r="CK194" s="4">
        <f>1/Base[[#This Row],['[Prod']'[Turnover']DMC_initiale]]</f>
        <v>9.0909090909090912E-2</v>
      </c>
      <c r="CL194" s="4">
        <f>1/Base[[#This Row],['[Prod']'[Turnover']DMC_finale]]</f>
        <v>8.9600332006376626E-2</v>
      </c>
    </row>
    <row r="195" spans="2:90" x14ac:dyDescent="0.25">
      <c r="B195" s="4" t="s">
        <v>331</v>
      </c>
      <c r="C195">
        <v>7.5</v>
      </c>
      <c r="D195" t="s">
        <v>84</v>
      </c>
      <c r="E195" t="s">
        <v>12</v>
      </c>
      <c r="F195" s="3">
        <v>0.45626028693033643</v>
      </c>
      <c r="G195" s="3">
        <v>0.1079</v>
      </c>
      <c r="H195" s="3">
        <v>0.1079</v>
      </c>
      <c r="I195" s="3">
        <v>7.6499999999999999E-2</v>
      </c>
      <c r="J195" s="3">
        <v>7.67629534616262</v>
      </c>
      <c r="K195" s="3">
        <v>7.0000000000000007E-2</v>
      </c>
      <c r="L195" s="2">
        <f>Base[[#This Row],[Coût]]*Base[[#This Row],[Part_ménages_dépenses_santé]]</f>
        <v>0.53734067423138343</v>
      </c>
      <c r="M195" s="2">
        <v>0.82690611956969029</v>
      </c>
      <c r="N195" s="6">
        <v>27700000</v>
      </c>
      <c r="O195" s="7">
        <f>Base[[#This Row],[Coût_salarié]]*10^9*Base[[#This Row],[Risque]]*Base[[#This Row],[Prévalence]]*Base[[#This Row],[Part_coûts_salarié]]/Base[[#This Row],[Population_emploi]]</f>
        <v>0.78969659741536868</v>
      </c>
      <c r="P195">
        <v>50</v>
      </c>
      <c r="Q195">
        <v>50</v>
      </c>
      <c r="R195" s="2">
        <v>9.9999999999999978E-2</v>
      </c>
      <c r="S195" s="2">
        <v>0.33340000000000003</v>
      </c>
      <c r="T195" s="4">
        <v>0.1079</v>
      </c>
      <c r="U195" s="4">
        <f>IF(Bases_annexes!$F$5=0,16.6587111018772,0.77*Bases_annexes!$F$5/(IF(OR(ISBLANK('Données_d''entrée'!$E$44),'Données_d''entrée'!$E$44=0),35,'Données_d''entrée'!$E$44)*52))</f>
        <v>16.658711101877199</v>
      </c>
      <c r="V195" s="4">
        <v>4.25</v>
      </c>
      <c r="W1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5" s="4">
        <v>234.5</v>
      </c>
      <c r="Y195" s="4">
        <f>(Base[[#This Row],['[Maladies']Coûts_évités_par_salarié]]+Base[[#This Row],['[Travail']Coûts_évités_par_salarié]])/Base[[#This Row],[Budget_santé_salarié]]</f>
        <v>7.9870974088823307E-2</v>
      </c>
      <c r="Z195" s="4">
        <v>0.8</v>
      </c>
      <c r="AA195" s="4">
        <f>Base[[#This Row],[Coût]]*Base[[#This Row],[Part_société_dépenses_santé]]</f>
        <v>6.1410362769300963</v>
      </c>
      <c r="AB195" s="4">
        <v>67635124</v>
      </c>
      <c r="AC195" s="4">
        <v>82.297079063317852</v>
      </c>
      <c r="AD195" s="4">
        <v>0.1079</v>
      </c>
      <c r="AE195" s="4">
        <f>Base[[#This Row],['[SC']Prévalence_travail]]*Base[[#This Row],[Population_emploi]]</f>
        <v>2988830</v>
      </c>
      <c r="AF195" s="4">
        <f>Base[[#This Row],[Risque]]*Base[[#This Row],['[SC']Patients_en_emploi]]</f>
        <v>1363684.4333859975</v>
      </c>
      <c r="AG195" s="4">
        <v>0</v>
      </c>
      <c r="AH195" s="4">
        <f>IFERROR(Base[[#This Row],['[SC']Prestations]]/Base[[#This Row],['[SC']Patients_en_emploi]],0)</f>
        <v>0</v>
      </c>
      <c r="AI195" s="4">
        <v>51.7</v>
      </c>
      <c r="AJ1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5" s="4">
        <f>Base[[#This Row],['[SC']'[Travail']Coûts_évités]]/Base[[#This Row],[Population_emploi]]</f>
        <v>3.1815200905259964</v>
      </c>
      <c r="AL195" s="4">
        <f>Base[[#This Row],[Coût_société]]*10^9*Base[[#This Row],[Risque]]*Base[[#This Row],[Prévalence]]*Base[[#This Row],[Part_coûts_salarié]]/Base[[#This Row],[Population_emploi]]</f>
        <v>9.0251039704613572</v>
      </c>
      <c r="AM195" s="4">
        <f>IF(Base[[#This Row],[Pathologie]]&lt;&gt;"Dépendance",0,14909.24243952)</f>
        <v>0</v>
      </c>
      <c r="AN195" s="4">
        <f>IF(Base[[#This Row],[Pathologie]]&lt;&gt;"Dépendance",0,1316000)</f>
        <v>0</v>
      </c>
      <c r="AO195" s="4">
        <f>IF(Base[[#This Row],[Pathologie]]&lt;&gt;"Dépendance",0,Base[[#This Row],['[SC']Coût_personne_dépendante]]*Base[[#This Row],['[SC']Nb_personnes_dépendantes]])</f>
        <v>0</v>
      </c>
      <c r="AP195" s="4">
        <f>IF(Base[[#This Row],[Pathologie]]&lt;&gt;"Dépendance",0,Base[[#This Row],['[SC']Coût_total_dépendance]]/Base[[#This Row],[Population_totale]])</f>
        <v>0</v>
      </c>
      <c r="AQ195" s="4">
        <f>IF(Base[[#This Row],[Pathologie]]&lt;&gt;"Dépendance",0,4.5)</f>
        <v>0</v>
      </c>
      <c r="AR195" s="4">
        <v>0.50393265050357905</v>
      </c>
      <c r="AS195" s="4">
        <f>Base[[#This Row],[Espérance_vie]]+Base[[#This Row],['[SC']Hausse_esp_de_vie]]-Base[[#This Row],['[SC']Durée_moyenne_dépendance_avt]]+Base[[#This Row],[Risque]]</f>
        <v>83.257272000751769</v>
      </c>
      <c r="AT1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5" s="4">
        <v>62.9</v>
      </c>
      <c r="AW195" s="4">
        <f t="shared" si="0"/>
        <v>336905600000</v>
      </c>
      <c r="AX195" s="4">
        <v>15049171</v>
      </c>
      <c r="AY195" s="4">
        <f>Base[[#This Row],['[SC']Budget_total_retraites]]/Base[[#This Row],['[SC']Nombre_de_retraités]]</f>
        <v>22386.987296509556</v>
      </c>
      <c r="AZ195" s="4">
        <f>Base[[#This Row],['[SC']Budget_par_retraité]]*Base[[#This Row],['[SC']Nb_personnes_dépendantes]]</f>
        <v>0</v>
      </c>
      <c r="BA195" s="4">
        <f>Base[[#This Row],['[SC']'[Dépendance']Coût_retraite_personnes_dépendantes]]/Base[[#This Row],[Population_totale]]</f>
        <v>0</v>
      </c>
      <c r="BB1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5" s="4">
        <f>Base[[#This Row],['[SC']'[Dépendance']Gains]]-Base[[#This Row],['[SC']'[Dépendance']Coûts]]</f>
        <v>0</v>
      </c>
      <c r="BD195" s="4">
        <f>IF(Base[[#This Row],[Pathologie]]&lt;&gt;"Mort prématurée",0,Base[[#This Row],[Risque]]*Base[[#This Row],[Prévalence]]*Base[[#This Row],[Population_totale]])</f>
        <v>0</v>
      </c>
      <c r="BE195" s="4">
        <v>52.74</v>
      </c>
      <c r="BF195" s="4">
        <f>Base[[#This Row],['[SC']Âge_moyen_retraite]]-Base[[#This Row],['[SC']'[Mort_prématurée']Âge_moyen_mort précoce]]</f>
        <v>10.159999999999997</v>
      </c>
      <c r="BG195" s="4">
        <f>Base[[#This Row],[Espérance_vie]]+Base[[#This Row],['[SC']Hausse_esp_de_vie]]-Base[[#This Row],['[SC']Âge_moyen_retraite]]</f>
        <v>19.90101171382144</v>
      </c>
      <c r="BH195" s="4">
        <v>106583.42676924677</v>
      </c>
      <c r="BI195" s="4">
        <v>97601.789429271477</v>
      </c>
      <c r="BJ195" s="4">
        <v>302038.31496633729</v>
      </c>
      <c r="BK195" s="4">
        <v>117293.58934859755</v>
      </c>
      <c r="BL195" s="4">
        <v>1523999.9999999995</v>
      </c>
      <c r="BM1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5" s="4">
        <v>294804.96027377353</v>
      </c>
      <c r="BO1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5" s="4">
        <f>(Base[[#This Row],['[SC']'[Mort_prématurée']Gains]]-Base[[#This Row],['[SC']'[Mort_prématurée']Coûts]])/Base[[#This Row],[Population_totale]]</f>
        <v>0</v>
      </c>
      <c r="BQ195" s="4">
        <f>IF(Base[[#This Row],[Pathologie]]&lt;&gt;"Mort prématurée",0,Base[[#This Row],[Risque]])</f>
        <v>0</v>
      </c>
      <c r="BR195" s="4">
        <v>2680</v>
      </c>
      <c r="BS1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5" s="4">
        <f>Base[[#This Row],[Prévalence_prod]]*(1-Base[[#This Row],[Risque]])*Base[[#This Row],[Durée_arrêt]]*Base[[#This Row],[Population_emploi]]</f>
        <v>6906868.6581095094</v>
      </c>
      <c r="BV195" s="4">
        <f>Base[[#This Row],['[Prod']'[Absentéisme']Total_jours_absence_avant]]-Base[[#This Row],['[Prod']'[Absentéisme']Total_jours_absence_après]]</f>
        <v>5795658.8418904888</v>
      </c>
      <c r="BW195" s="4">
        <f>IF(AND(Base[[#This Row],[Pathologie]]&lt;&gt;"Dépendance",Base[[#This Row],[Pathologie]]&lt;&gt;"Mort prématurée",Base[[#This Row],[Pathologie]]&lt;&gt;"Migraine"),0.0619,0)</f>
        <v>6.1899999999999997E-2</v>
      </c>
      <c r="BX195" s="4">
        <v>254</v>
      </c>
      <c r="BY19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5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5" s="4">
        <f>Base[[#This Row],[Prévalence_prod]]*Base[[#This Row],[Présentéisme]]*Base[[#This Row],['[Prod']Jours_ouvrés]]</f>
        <v>2.0966048999999995</v>
      </c>
      <c r="CB195" s="4">
        <f>Base[[#This Row],[Prévalence_prod]]*(1-Base[[#This Row],[Risque]])*Base[[#This Row],[Présentéisme]]*Base[[#This Row],['[Prod']Jours_ouvrés]]</f>
        <v>1.1400073467464504</v>
      </c>
      <c r="CC195" s="4">
        <f>Base[[#This Row],['[Prod']'[Présentéisme']Jours_avant]]-Base[[#This Row],['[Prod']'[Présentéisme']Jours_après]]</f>
        <v>0.95659755325354912</v>
      </c>
      <c r="CD195" s="4">
        <f>Base[[#This Row],['[Prod']'[Présentéisme']Jours_gagnés]]/Base[[#This Row],['[Prod']Jours_ouvrés]]</f>
        <v>3.7661320994234219E-3</v>
      </c>
      <c r="CE195">
        <v>5.8333039429220801E-2</v>
      </c>
      <c r="CF195">
        <v>1.4658164114728258E-2</v>
      </c>
      <c r="CG195" s="4">
        <v>11</v>
      </c>
      <c r="CH195" s="4">
        <v>1.1593596509901765</v>
      </c>
      <c r="CI195" s="4">
        <v>4.0741311947357597E-2</v>
      </c>
      <c r="CJ195" s="4">
        <f>IF(Base[[#This Row],[Secteur]]&lt;&gt;"Moyenne",Base[[#This Row],['[Prod']'[Turnover']DMC_initiale]]*(1+Base[[#This Row],['[Prod']'[Turnover']Ecart_accidents]]*Base[[#This Row],['[Prod']Impact_motifs_turnover]]),CJ178*CI178+CJ179*CI179+CJ180*CI180+CJ181*CI181+CJ182*CI182+CJ183*CI183+CJ184*CI184+CJ185*CI185+CJ186*CI186+CJ187*CI187+CJ188*CI188+CJ189*CI189+CJ190*CI190+CJ191*CI191+CJ192*CI192+CJ193*CI193+CJ194*CI194)</f>
        <v>11.186934924354288</v>
      </c>
      <c r="CK195" s="4">
        <f>1/Base[[#This Row],['[Prod']'[Turnover']DMC_initiale]]</f>
        <v>9.0909090909090912E-2</v>
      </c>
      <c r="CL195" s="4">
        <f>1/Base[[#This Row],['[Prod']'[Turnover']DMC_finale]]</f>
        <v>8.9389989908940148E-2</v>
      </c>
    </row>
    <row r="196" spans="2:90" x14ac:dyDescent="0.25">
      <c r="B196" s="4" t="s">
        <v>332</v>
      </c>
      <c r="C196">
        <v>7.5</v>
      </c>
      <c r="D196" t="s">
        <v>84</v>
      </c>
      <c r="E196" t="s">
        <v>12</v>
      </c>
      <c r="F196" s="3">
        <v>0.45626028693033643</v>
      </c>
      <c r="G196" s="3">
        <v>0.1079</v>
      </c>
      <c r="H196" s="3">
        <v>0.1079</v>
      </c>
      <c r="I196" s="3">
        <v>7.6499999999999999E-2</v>
      </c>
      <c r="J196" s="3">
        <v>7.67629534616262</v>
      </c>
      <c r="K196" s="3">
        <v>7.0000000000000007E-2</v>
      </c>
      <c r="L196" s="2">
        <f>Base[[#This Row],[Coût]]*Base[[#This Row],[Part_ménages_dépenses_santé]]</f>
        <v>0.53734067423138343</v>
      </c>
      <c r="M196" s="2">
        <v>0.82690611956969029</v>
      </c>
      <c r="N196" s="6">
        <v>27700000</v>
      </c>
      <c r="O196" s="7">
        <f>Base[[#This Row],[Coût_salarié]]*10^9*Base[[#This Row],[Risque]]*Base[[#This Row],[Prévalence]]*Base[[#This Row],[Part_coûts_salarié]]/Base[[#This Row],[Population_emploi]]</f>
        <v>0.78969659741536868</v>
      </c>
      <c r="P196">
        <v>50</v>
      </c>
      <c r="Q196">
        <v>50</v>
      </c>
      <c r="R196" s="2">
        <v>9.9999999999999978E-2</v>
      </c>
      <c r="S196" s="2">
        <v>0.33340000000000003</v>
      </c>
      <c r="T196" s="4">
        <v>0.1079</v>
      </c>
      <c r="U196" s="4">
        <f>IF(Bases_annexes!$F$5=0,16.6587111018772,0.77*Bases_annexes!$F$5/(IF(OR(ISBLANK('Données_d''entrée'!$E$44),'Données_d''entrée'!$E$44=0),35,'Données_d''entrée'!$E$44)*52))</f>
        <v>16.658711101877199</v>
      </c>
      <c r="V196" s="4">
        <v>4.25</v>
      </c>
      <c r="W1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17.940046826413699</v>
      </c>
      <c r="X196" s="4">
        <v>234.5</v>
      </c>
      <c r="Y196" s="4">
        <f>(Base[[#This Row],['[Maladies']Coûts_évités_par_salarié]]+Base[[#This Row],['[Travail']Coûts_évités_par_salarié]])/Base[[#This Row],[Budget_santé_salarié]]</f>
        <v>7.9870974088823307E-2</v>
      </c>
      <c r="Z196" s="4">
        <v>0.8</v>
      </c>
      <c r="AA196" s="4">
        <f>Base[[#This Row],[Coût]]*Base[[#This Row],[Part_société_dépenses_santé]]</f>
        <v>6.1410362769300963</v>
      </c>
      <c r="AB196" s="4">
        <v>67635124</v>
      </c>
      <c r="AC196" s="4">
        <v>82.297079063317852</v>
      </c>
      <c r="AD196" s="4">
        <v>0.1079</v>
      </c>
      <c r="AE196" s="4">
        <f>Base[[#This Row],['[SC']Prévalence_travail]]*Base[[#This Row],[Population_emploi]]</f>
        <v>2988830</v>
      </c>
      <c r="AF196" s="4">
        <f>Base[[#This Row],[Risque]]*Base[[#This Row],['[SC']Patients_en_emploi]]</f>
        <v>1363684.4333859975</v>
      </c>
      <c r="AG196" s="4">
        <v>0</v>
      </c>
      <c r="AH196" s="4">
        <f>IFERROR(Base[[#This Row],['[SC']Prestations]]/Base[[#This Row],['[SC']Patients_en_emploi]],0)</f>
        <v>0</v>
      </c>
      <c r="AI196" s="4">
        <v>51.7</v>
      </c>
      <c r="AJ1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88128106.507570103</v>
      </c>
      <c r="AK196" s="4">
        <f>Base[[#This Row],['[SC']'[Travail']Coûts_évités]]/Base[[#This Row],[Population_emploi]]</f>
        <v>3.1815200905259964</v>
      </c>
      <c r="AL196" s="4">
        <f>Base[[#This Row],[Coût_société]]*10^9*Base[[#This Row],[Risque]]*Base[[#This Row],[Prévalence]]*Base[[#This Row],[Part_coûts_salarié]]/Base[[#This Row],[Population_emploi]]</f>
        <v>9.0251039704613572</v>
      </c>
      <c r="AM196" s="4">
        <f>IF(Base[[#This Row],[Pathologie]]&lt;&gt;"Dépendance",0,14909.24243952)</f>
        <v>0</v>
      </c>
      <c r="AN196" s="4">
        <f>IF(Base[[#This Row],[Pathologie]]&lt;&gt;"Dépendance",0,1316000)</f>
        <v>0</v>
      </c>
      <c r="AO196" s="4">
        <f>IF(Base[[#This Row],[Pathologie]]&lt;&gt;"Dépendance",0,Base[[#This Row],['[SC']Coût_personne_dépendante]]*Base[[#This Row],['[SC']Nb_personnes_dépendantes]])</f>
        <v>0</v>
      </c>
      <c r="AP196" s="4">
        <f>IF(Base[[#This Row],[Pathologie]]&lt;&gt;"Dépendance",0,Base[[#This Row],['[SC']Coût_total_dépendance]]/Base[[#This Row],[Population_totale]])</f>
        <v>0</v>
      </c>
      <c r="AQ196" s="4">
        <f>IF(Base[[#This Row],[Pathologie]]&lt;&gt;"Dépendance",0,4.5)</f>
        <v>0</v>
      </c>
      <c r="AR196" s="4">
        <v>0.50393265050357905</v>
      </c>
      <c r="AS196" s="4">
        <f>Base[[#This Row],[Espérance_vie]]+Base[[#This Row],['[SC']Hausse_esp_de_vie]]-Base[[#This Row],['[SC']Durée_moyenne_dépendance_avt]]+Base[[#This Row],[Risque]]</f>
        <v>83.257272000751769</v>
      </c>
      <c r="AT1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1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196" s="4">
        <v>62.9</v>
      </c>
      <c r="AW196" s="4">
        <f t="shared" si="0"/>
        <v>336905600000</v>
      </c>
      <c r="AX196" s="4">
        <v>15049171</v>
      </c>
      <c r="AY196" s="4">
        <f>Base[[#This Row],['[SC']Budget_total_retraites]]/Base[[#This Row],['[SC']Nombre_de_retraités]]</f>
        <v>22386.987296509556</v>
      </c>
      <c r="AZ196" s="4">
        <f>Base[[#This Row],['[SC']Budget_par_retraité]]*Base[[#This Row],['[SC']Nb_personnes_dépendantes]]</f>
        <v>0</v>
      </c>
      <c r="BA196" s="4">
        <f>Base[[#This Row],['[SC']'[Dépendance']Coût_retraite_personnes_dépendantes]]/Base[[#This Row],[Population_totale]]</f>
        <v>0</v>
      </c>
      <c r="BB1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196" s="4">
        <f>Base[[#This Row],['[SC']'[Dépendance']Gains]]-Base[[#This Row],['[SC']'[Dépendance']Coûts]]</f>
        <v>0</v>
      </c>
      <c r="BD196" s="4">
        <f>IF(Base[[#This Row],[Pathologie]]&lt;&gt;"Mort prématurée",0,Base[[#This Row],[Risque]]*Base[[#This Row],[Prévalence]]*Base[[#This Row],[Population_totale]])</f>
        <v>0</v>
      </c>
      <c r="BE196" s="4">
        <v>52.74</v>
      </c>
      <c r="BF196" s="4">
        <f>Base[[#This Row],['[SC']Âge_moyen_retraite]]-Base[[#This Row],['[SC']'[Mort_prématurée']Âge_moyen_mort précoce]]</f>
        <v>10.159999999999997</v>
      </c>
      <c r="BG196" s="4">
        <f>Base[[#This Row],[Espérance_vie]]+Base[[#This Row],['[SC']Hausse_esp_de_vie]]-Base[[#This Row],['[SC']Âge_moyen_retraite]]</f>
        <v>19.90101171382144</v>
      </c>
      <c r="BH196" s="4">
        <v>106583.42676924677</v>
      </c>
      <c r="BI196" s="4">
        <v>97601.789429271477</v>
      </c>
      <c r="BJ196" s="4">
        <v>302038.31496633729</v>
      </c>
      <c r="BK196" s="4">
        <v>117293.58934859755</v>
      </c>
      <c r="BL196" s="4">
        <v>1523999.9999999995</v>
      </c>
      <c r="BM1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6" s="4">
        <v>294804.96027377353</v>
      </c>
      <c r="BO1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6" s="4">
        <f>(Base[[#This Row],['[SC']'[Mort_prématurée']Gains]]-Base[[#This Row],['[SC']'[Mort_prématurée']Coûts]])/Base[[#This Row],[Population_totale]]</f>
        <v>0</v>
      </c>
      <c r="BQ196" s="4">
        <f>IF(Base[[#This Row],[Pathologie]]&lt;&gt;"Mort prématurée",0,Base[[#This Row],[Risque]])</f>
        <v>0</v>
      </c>
      <c r="BR196" s="4">
        <v>2680</v>
      </c>
      <c r="BS1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4.5547104705176691E-3</v>
      </c>
      <c r="BT1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196" s="4">
        <f>Base[[#This Row],[Prévalence_prod]]*(1-Base[[#This Row],[Risque]])*Base[[#This Row],[Durée_arrêt]]*Base[[#This Row],[Population_emploi]]</f>
        <v>6906868.6581095094</v>
      </c>
      <c r="BV196" s="4">
        <f>Base[[#This Row],['[Prod']'[Absentéisme']Total_jours_absence_avant]]-Base[[#This Row],['[Prod']'[Absentéisme']Total_jours_absence_après]]</f>
        <v>5795658.8418904888</v>
      </c>
      <c r="BW196" s="4">
        <f>IF(AND(Base[[#This Row],[Pathologie]]&lt;&gt;"Dépendance",Base[[#This Row],[Pathologie]]&lt;&gt;"Mort prématurée",Base[[#This Row],[Pathologie]]&lt;&gt;"Migraine"),0.0619,0)</f>
        <v>6.1899999999999997E-2</v>
      </c>
      <c r="BX196" s="4">
        <v>254</v>
      </c>
      <c r="BY19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196" s="4">
        <f>(Base[[#This Row],['[Prod']'[Absentéisme']Jours_théoriques]]-Base[[#This Row],['[Prod']'[Absentéisme']Total_jours_absence_évités]])/(Base[[#This Row],[Population_emploi]]*Base[[#This Row],['[Prod']Jours_ouvrés]])</f>
        <v>2.901835400961911E-3</v>
      </c>
      <c r="CA196" s="4">
        <f>Base[[#This Row],[Prévalence_prod]]*Base[[#This Row],[Présentéisme]]*Base[[#This Row],['[Prod']Jours_ouvrés]]</f>
        <v>2.0966048999999995</v>
      </c>
      <c r="CB196" s="4">
        <f>Base[[#This Row],[Prévalence_prod]]*(1-Base[[#This Row],[Risque]])*Base[[#This Row],[Présentéisme]]*Base[[#This Row],['[Prod']Jours_ouvrés]]</f>
        <v>1.1400073467464504</v>
      </c>
      <c r="CC196" s="4">
        <f>Base[[#This Row],['[Prod']'[Présentéisme']Jours_avant]]-Base[[#This Row],['[Prod']'[Présentéisme']Jours_après]]</f>
        <v>0.95659755325354912</v>
      </c>
      <c r="CD196" s="4">
        <f>Base[[#This Row],['[Prod']'[Présentéisme']Jours_gagnés]]/Base[[#This Row],['[Prod']Jours_ouvrés]]</f>
        <v>3.7661320994234219E-3</v>
      </c>
      <c r="CE196">
        <v>5.8333039429220801E-2</v>
      </c>
      <c r="CF196">
        <v>1.4658164114728258E-2</v>
      </c>
      <c r="CG196" s="4">
        <v>11</v>
      </c>
      <c r="CH196" s="4">
        <v>0.85076983926913452</v>
      </c>
      <c r="CI196" s="4">
        <v>0</v>
      </c>
      <c r="CJ196" s="4">
        <f>IF(Base[[#This Row],[Secteur]]&lt;&gt;"Moyenne",Base[[#This Row],['[Prod']'[Turnover']DMC_initiale]]*(1+Base[[#This Row],['[Prod']'[Turnover']Ecart_accidents]]*Base[[#This Row],['[Prod']Impact_motifs_turnover]]),CJ179*CI179+CJ180*CI180+CJ181*CI181+CJ182*CI182+CJ183*CI183+CJ184*CI184+CJ185*CI185+CJ186*CI186+CJ187*CI187+CJ188*CI188+CJ189*CI189+CJ190*CI190+CJ191*CI191+CJ192*CI192+CJ193*CI193+CJ194*CI194+CJ195*CI195)</f>
        <v>11.137177963206547</v>
      </c>
      <c r="CK196" s="4">
        <f>1/Base[[#This Row],['[Prod']'[Turnover']DMC_initiale]]</f>
        <v>9.0909090909090912E-2</v>
      </c>
      <c r="CL196" s="4">
        <f>1/Base[[#This Row],['[Prod']'[Turnover']DMC_finale]]</f>
        <v>8.9789352680154741E-2</v>
      </c>
    </row>
    <row r="197" spans="2:90" x14ac:dyDescent="0.25">
      <c r="B197" s="4" t="s">
        <v>315</v>
      </c>
      <c r="C197">
        <v>7.5</v>
      </c>
      <c r="D197" t="s">
        <v>84</v>
      </c>
      <c r="E197" t="s">
        <v>42</v>
      </c>
      <c r="F197" s="3">
        <v>2.2452444824416888</v>
      </c>
      <c r="G197" s="3">
        <v>0.371</v>
      </c>
      <c r="H197" s="3">
        <v>0.371</v>
      </c>
      <c r="I197" s="3">
        <v>0</v>
      </c>
      <c r="J197" s="3">
        <v>0</v>
      </c>
      <c r="K197" s="3">
        <v>7.0000000000000007E-2</v>
      </c>
      <c r="L197" s="2">
        <f>Base[[#This Row],[Coût]]*Base[[#This Row],[Part_ménages_dépenses_santé]]</f>
        <v>0</v>
      </c>
      <c r="M197" s="2">
        <v>0</v>
      </c>
      <c r="N197" s="6">
        <v>27700000</v>
      </c>
      <c r="O197" s="7">
        <f>Base[[#This Row],[Coût_salarié]]*10^9*Base[[#This Row],[Risque]]*Base[[#This Row],[Prévalence]]*Base[[#This Row],[Part_coûts_salarié]]/Base[[#This Row],[Population_emploi]]</f>
        <v>0</v>
      </c>
      <c r="P197">
        <v>50</v>
      </c>
      <c r="Q197">
        <v>50</v>
      </c>
      <c r="R197" s="2">
        <v>9.9999999999999978E-2</v>
      </c>
      <c r="S197" s="2">
        <v>0.33340000000000003</v>
      </c>
      <c r="T197" s="4">
        <v>0</v>
      </c>
      <c r="U197" s="4">
        <f>IF(Bases_annexes!$F$5=0,16.6587111018772,0.77*Bases_annexes!$F$5/(IF(OR(ISBLANK('Données_d''entrée'!$E$44),'Données_d''entrée'!$E$44=0),35,'Données_d''entrée'!$E$44)*52))</f>
        <v>16.658711101877199</v>
      </c>
      <c r="V197" s="4">
        <v>0</v>
      </c>
      <c r="W1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197" s="4">
        <v>234.5</v>
      </c>
      <c r="Y197" s="4">
        <f>(Base[[#This Row],['[Maladies']Coûts_évités_par_salarié]]+Base[[#This Row],['[Travail']Coûts_évités_par_salarié]])/Base[[#This Row],[Budget_santé_salarié]]</f>
        <v>0</v>
      </c>
      <c r="Z197" s="4">
        <v>0.8</v>
      </c>
      <c r="AA197" s="4">
        <f>Base[[#This Row],[Coût]]*Base[[#This Row],[Part_société_dépenses_santé]]</f>
        <v>0</v>
      </c>
      <c r="AB197" s="4">
        <v>67635124</v>
      </c>
      <c r="AC197" s="4">
        <v>82.297079063317852</v>
      </c>
      <c r="AD197" s="4">
        <v>0</v>
      </c>
      <c r="AE197" s="4">
        <f>Base[[#This Row],['[SC']Prévalence_travail]]*Base[[#This Row],[Population_emploi]]</f>
        <v>0</v>
      </c>
      <c r="AF197" s="4">
        <f>Base[[#This Row],[Risque]]*Base[[#This Row],['[SC']Patients_en_emploi]]</f>
        <v>0</v>
      </c>
      <c r="AG197" s="4">
        <v>0</v>
      </c>
      <c r="AH197" s="4">
        <f>IFERROR(Base[[#This Row],['[SC']Prestations]]/Base[[#This Row],['[SC']Patients_en_emploi]],0)</f>
        <v>0</v>
      </c>
      <c r="AI197" s="4">
        <v>51.7</v>
      </c>
      <c r="AJ1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197" s="4">
        <f>Base[[#This Row],['[SC']'[Travail']Coûts_évités]]/Base[[#This Row],[Population_emploi]]</f>
        <v>0</v>
      </c>
      <c r="AL197" s="4">
        <f>Base[[#This Row],[Coût_société]]*10^9*Base[[#This Row],[Risque]]*Base[[#This Row],[Prévalence]]*Base[[#This Row],[Part_coûts_salarié]]/Base[[#This Row],[Population_emploi]]</f>
        <v>0</v>
      </c>
      <c r="AM197" s="4">
        <f>IF(Base[[#This Row],[Pathologie]]&lt;&gt;"Dépendance",0,14909.24243952)</f>
        <v>14909.24243952</v>
      </c>
      <c r="AN197" s="4">
        <f>IF(Base[[#This Row],[Pathologie]]&lt;&gt;"Dépendance",0,1316000)</f>
        <v>1316000</v>
      </c>
      <c r="AO197" s="4">
        <f>IF(Base[[#This Row],[Pathologie]]&lt;&gt;"Dépendance",0,Base[[#This Row],['[SC']Coût_personne_dépendante]]*Base[[#This Row],['[SC']Nb_personnes_dépendantes]])</f>
        <v>19620563050.408321</v>
      </c>
      <c r="AP197" s="4">
        <f>IF(Base[[#This Row],[Pathologie]]&lt;&gt;"Dépendance",0,Base[[#This Row],['[SC']Coût_total_dépendance]]/Base[[#This Row],[Population_totale]])</f>
        <v>290.09428666691468</v>
      </c>
      <c r="AQ197" s="4">
        <f>IF(Base[[#This Row],[Pathologie]]&lt;&gt;"Dépendance",0,4.5)</f>
        <v>4.5</v>
      </c>
      <c r="AR197" s="4">
        <v>0.50393265050357905</v>
      </c>
      <c r="AS197" s="4">
        <f>Base[[#This Row],[Espérance_vie]]+Base[[#This Row],['[SC']Hausse_esp_de_vie]]-Base[[#This Row],['[SC']Durée_moyenne_dépendance_avt]]+Base[[#This Row],[Risque]]</f>
        <v>80.54625619626313</v>
      </c>
      <c r="AT1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1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197" s="4">
        <v>62.9</v>
      </c>
      <c r="AW197" s="4">
        <f t="shared" si="0"/>
        <v>336905600000</v>
      </c>
      <c r="AX197" s="4">
        <v>15049171</v>
      </c>
      <c r="AY197" s="4">
        <f>Base[[#This Row],['[SC']Budget_total_retraites]]/Base[[#This Row],['[SC']Nombre_de_retraités]]</f>
        <v>22386.987296509556</v>
      </c>
      <c r="AZ197" s="4">
        <f>Base[[#This Row],['[SC']Budget_par_retraité]]*Base[[#This Row],['[SC']Nb_personnes_dépendantes]]</f>
        <v>29461275282.206577</v>
      </c>
      <c r="BA197" s="4">
        <f>Base[[#This Row],['[SC']'[Dépendance']Coût_retraite_personnes_dépendantes]]/Base[[#This Row],[Population_totale]]</f>
        <v>435.59135460750508</v>
      </c>
      <c r="BB197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197" s="4">
        <f>Base[[#This Row],['[SC']'[Dépendance']Gains]]-Base[[#This Row],['[SC']'[Dépendance']Coûts]]</f>
        <v>65.612721833346214</v>
      </c>
      <c r="BD197" s="4">
        <f>IF(Base[[#This Row],[Pathologie]]&lt;&gt;"Mort prématurée",0,Base[[#This Row],[Risque]]*Base[[#This Row],[Prévalence]]*Base[[#This Row],[Population_totale]])</f>
        <v>0</v>
      </c>
      <c r="BE197" s="4">
        <v>52.74</v>
      </c>
      <c r="BF197" s="4">
        <f>Base[[#This Row],['[SC']Âge_moyen_retraite]]-Base[[#This Row],['[SC']'[Mort_prématurée']Âge_moyen_mort précoce]]</f>
        <v>10.159999999999997</v>
      </c>
      <c r="BG197" s="4">
        <f>Base[[#This Row],[Espérance_vie]]+Base[[#This Row],['[SC']Hausse_esp_de_vie]]-Base[[#This Row],['[SC']Âge_moyen_retraite]]</f>
        <v>19.90101171382144</v>
      </c>
      <c r="BH197" s="4">
        <v>106583.42676924677</v>
      </c>
      <c r="BI197" s="4">
        <v>97601.789429271477</v>
      </c>
      <c r="BJ197" s="4">
        <v>302038.31496633729</v>
      </c>
      <c r="BK197" s="4">
        <v>117293.58934859755</v>
      </c>
      <c r="BL197" s="4">
        <v>1523999.9999999995</v>
      </c>
      <c r="BM1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7" s="4">
        <v>294804.96027377353</v>
      </c>
      <c r="BO1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7" s="4">
        <f>(Base[[#This Row],['[SC']'[Mort_prématurée']Gains]]-Base[[#This Row],['[SC']'[Mort_prématurée']Coûts]])/Base[[#This Row],[Population_totale]]</f>
        <v>0</v>
      </c>
      <c r="BQ197" s="4">
        <f>IF(Base[[#This Row],[Pathologie]]&lt;&gt;"Mort prématurée",0,Base[[#This Row],[Risque]])</f>
        <v>0</v>
      </c>
      <c r="BR197" s="4">
        <v>2680</v>
      </c>
      <c r="BS1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1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197" s="4">
        <f>Base[[#This Row],[Prévalence_prod]]*(1-Base[[#This Row],[Risque]])*Base[[#This Row],[Durée_arrêt]]*Base[[#This Row],[Population_emploi]]</f>
        <v>0</v>
      </c>
      <c r="BV197" s="4">
        <f>Base[[#This Row],['[Prod']'[Absentéisme']Total_jours_absence_avant]]-Base[[#This Row],['[Prod']'[Absentéisme']Total_jours_absence_après]]</f>
        <v>0</v>
      </c>
      <c r="BW197" s="4">
        <f>IF(AND(Base[[#This Row],[Pathologie]]&lt;&gt;"Dépendance",Base[[#This Row],[Pathologie]]&lt;&gt;"Mort prématurée",Base[[#This Row],[Pathologie]]&lt;&gt;"Migraine"),0.0619,0)</f>
        <v>0</v>
      </c>
      <c r="BX197" s="4">
        <v>254</v>
      </c>
      <c r="BY19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19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197" s="4">
        <f>Base[[#This Row],[Prévalence_prod]]*Base[[#This Row],[Présentéisme]]*Base[[#This Row],['[Prod']Jours_ouvrés]]</f>
        <v>0</v>
      </c>
      <c r="CB197" s="4">
        <f>Base[[#This Row],[Prévalence_prod]]*(1-Base[[#This Row],[Risque]])*Base[[#This Row],[Présentéisme]]*Base[[#This Row],['[Prod']Jours_ouvrés]]</f>
        <v>0</v>
      </c>
      <c r="CC197" s="4">
        <f>Base[[#This Row],['[Prod']'[Présentéisme']Jours_avant]]-Base[[#This Row],['[Prod']'[Présentéisme']Jours_après]]</f>
        <v>0</v>
      </c>
      <c r="CD197" s="4">
        <f>Base[[#This Row],['[Prod']'[Présentéisme']Jours_gagnés]]/Base[[#This Row],['[Prod']Jours_ouvrés]]</f>
        <v>0</v>
      </c>
      <c r="CE197">
        <v>5.8333039429220801E-2</v>
      </c>
      <c r="CF197">
        <v>1.4658164114728258E-2</v>
      </c>
      <c r="CG197" s="4">
        <v>11</v>
      </c>
      <c r="CH197" s="4">
        <v>1.3966184516047948</v>
      </c>
      <c r="CI197" s="4">
        <v>1.4392894727292521E-2</v>
      </c>
      <c r="CJ197" s="4">
        <f>IF(Base[[#This Row],[Secteur]]&lt;&gt;"Moyenne",Base[[#This Row],['[Prod']'[Turnover']DMC_initiale]]*(1+Base[[#This Row],['[Prod']'[Turnover']Ecart_accidents]]*Base[[#This Row],['[Prod']Impact_motifs_turnover]]),CJ180*CI180+CJ181*CI181+CJ182*CI182+CJ183*CI183+CJ184*CI184+CJ185*CI185+CJ186*CI186+CJ187*CI187+CJ188*CI188+CJ189*CI189+CJ190*CI190+CJ191*CI191+CJ192*CI192+CJ193*CI193+CJ194*CI194+CJ195*CI195+CJ196*CI196)</f>
        <v>11.225190487162088</v>
      </c>
      <c r="CK197" s="4">
        <f>1/Base[[#This Row],['[Prod']'[Turnover']DMC_initiale]]</f>
        <v>9.0909090909090912E-2</v>
      </c>
      <c r="CL197" s="4">
        <f>1/Base[[#This Row],['[Prod']'[Turnover']DMC_finale]]</f>
        <v>8.9085347918475846E-2</v>
      </c>
    </row>
    <row r="198" spans="2:90" x14ac:dyDescent="0.25">
      <c r="B198" s="4" t="s">
        <v>316</v>
      </c>
      <c r="C198">
        <v>7.5</v>
      </c>
      <c r="D198" t="s">
        <v>84</v>
      </c>
      <c r="E198" t="s">
        <v>42</v>
      </c>
      <c r="F198" s="3">
        <v>2.2452444824416888</v>
      </c>
      <c r="G198" s="3">
        <v>0.371</v>
      </c>
      <c r="H198" s="3">
        <v>0.371</v>
      </c>
      <c r="I198" s="3">
        <v>0</v>
      </c>
      <c r="J198" s="3">
        <v>0</v>
      </c>
      <c r="K198" s="3">
        <v>7.0000000000000007E-2</v>
      </c>
      <c r="L198" s="2">
        <f>Base[[#This Row],[Coût]]*Base[[#This Row],[Part_ménages_dépenses_santé]]</f>
        <v>0</v>
      </c>
      <c r="M198" s="2">
        <v>0</v>
      </c>
      <c r="N198" s="6">
        <v>27700000</v>
      </c>
      <c r="O198" s="7">
        <f>Base[[#This Row],[Coût_salarié]]*10^9*Base[[#This Row],[Risque]]*Base[[#This Row],[Prévalence]]*Base[[#This Row],[Part_coûts_salarié]]/Base[[#This Row],[Population_emploi]]</f>
        <v>0</v>
      </c>
      <c r="P198">
        <v>50</v>
      </c>
      <c r="Q198">
        <v>50</v>
      </c>
      <c r="R198" s="2">
        <v>9.9999999999999978E-2</v>
      </c>
      <c r="S198" s="2">
        <v>0.33340000000000003</v>
      </c>
      <c r="T198" s="4">
        <v>0</v>
      </c>
      <c r="U198" s="4">
        <f>IF(Bases_annexes!$F$5=0,16.6587111018772,0.77*Bases_annexes!$F$5/(IF(OR(ISBLANK('Données_d''entrée'!$E$44),'Données_d''entrée'!$E$44=0),35,'Données_d''entrée'!$E$44)*52))</f>
        <v>16.658711101877199</v>
      </c>
      <c r="V198" s="4">
        <v>0</v>
      </c>
      <c r="W1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198" s="4">
        <v>234.5</v>
      </c>
      <c r="Y198" s="4">
        <f>(Base[[#This Row],['[Maladies']Coûts_évités_par_salarié]]+Base[[#This Row],['[Travail']Coûts_évités_par_salarié]])/Base[[#This Row],[Budget_santé_salarié]]</f>
        <v>0</v>
      </c>
      <c r="Z198" s="4">
        <v>0.8</v>
      </c>
      <c r="AA198" s="4">
        <f>Base[[#This Row],[Coût]]*Base[[#This Row],[Part_société_dépenses_santé]]</f>
        <v>0</v>
      </c>
      <c r="AB198" s="4">
        <v>67635124</v>
      </c>
      <c r="AC198" s="4">
        <v>82.297079063317852</v>
      </c>
      <c r="AD198" s="4">
        <v>0</v>
      </c>
      <c r="AE198" s="4">
        <f>Base[[#This Row],['[SC']Prévalence_travail]]*Base[[#This Row],[Population_emploi]]</f>
        <v>0</v>
      </c>
      <c r="AF198" s="4">
        <f>Base[[#This Row],[Risque]]*Base[[#This Row],['[SC']Patients_en_emploi]]</f>
        <v>0</v>
      </c>
      <c r="AG198" s="4">
        <v>0</v>
      </c>
      <c r="AH198" s="4">
        <f>IFERROR(Base[[#This Row],['[SC']Prestations]]/Base[[#This Row],['[SC']Patients_en_emploi]],0)</f>
        <v>0</v>
      </c>
      <c r="AI198" s="4">
        <v>51.7</v>
      </c>
      <c r="AJ1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198" s="4">
        <f>Base[[#This Row],['[SC']'[Travail']Coûts_évités]]/Base[[#This Row],[Population_emploi]]</f>
        <v>0</v>
      </c>
      <c r="AL198" s="4">
        <f>Base[[#This Row],[Coût_société]]*10^9*Base[[#This Row],[Risque]]*Base[[#This Row],[Prévalence]]*Base[[#This Row],[Part_coûts_salarié]]/Base[[#This Row],[Population_emploi]]</f>
        <v>0</v>
      </c>
      <c r="AM198" s="4">
        <f>IF(Base[[#This Row],[Pathologie]]&lt;&gt;"Dépendance",0,14909.24243952)</f>
        <v>14909.24243952</v>
      </c>
      <c r="AN198" s="4">
        <f>IF(Base[[#This Row],[Pathologie]]&lt;&gt;"Dépendance",0,1316000)</f>
        <v>1316000</v>
      </c>
      <c r="AO198" s="4">
        <f>IF(Base[[#This Row],[Pathologie]]&lt;&gt;"Dépendance",0,Base[[#This Row],['[SC']Coût_personne_dépendante]]*Base[[#This Row],['[SC']Nb_personnes_dépendantes]])</f>
        <v>19620563050.408321</v>
      </c>
      <c r="AP198" s="4">
        <f>IF(Base[[#This Row],[Pathologie]]&lt;&gt;"Dépendance",0,Base[[#This Row],['[SC']Coût_total_dépendance]]/Base[[#This Row],[Population_totale]])</f>
        <v>290.09428666691468</v>
      </c>
      <c r="AQ198" s="4">
        <f>IF(Base[[#This Row],[Pathologie]]&lt;&gt;"Dépendance",0,4.5)</f>
        <v>4.5</v>
      </c>
      <c r="AR198" s="4">
        <v>0.50393265050357905</v>
      </c>
      <c r="AS198" s="4">
        <f>Base[[#This Row],[Espérance_vie]]+Base[[#This Row],['[SC']Hausse_esp_de_vie]]-Base[[#This Row],['[SC']Durée_moyenne_dépendance_avt]]+Base[[#This Row],[Risque]]</f>
        <v>80.54625619626313</v>
      </c>
      <c r="AT1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1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198" s="4">
        <v>62.9</v>
      </c>
      <c r="AW198" s="4">
        <f t="shared" si="0"/>
        <v>336905600000</v>
      </c>
      <c r="AX198" s="4">
        <v>15049171</v>
      </c>
      <c r="AY198" s="4">
        <f>Base[[#This Row],['[SC']Budget_total_retraites]]/Base[[#This Row],['[SC']Nombre_de_retraités]]</f>
        <v>22386.987296509556</v>
      </c>
      <c r="AZ198" s="4">
        <f>Base[[#This Row],['[SC']Budget_par_retraité]]*Base[[#This Row],['[SC']Nb_personnes_dépendantes]]</f>
        <v>29461275282.206577</v>
      </c>
      <c r="BA198" s="4">
        <f>Base[[#This Row],['[SC']'[Dépendance']Coût_retraite_personnes_dépendantes]]/Base[[#This Row],[Population_totale]]</f>
        <v>435.59135460750508</v>
      </c>
      <c r="BB198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198" s="4">
        <f>Base[[#This Row],['[SC']'[Dépendance']Gains]]-Base[[#This Row],['[SC']'[Dépendance']Coûts]]</f>
        <v>65.612721833346214</v>
      </c>
      <c r="BD198" s="4">
        <f>IF(Base[[#This Row],[Pathologie]]&lt;&gt;"Mort prématurée",0,Base[[#This Row],[Risque]]*Base[[#This Row],[Prévalence]]*Base[[#This Row],[Population_totale]])</f>
        <v>0</v>
      </c>
      <c r="BE198" s="4">
        <v>52.74</v>
      </c>
      <c r="BF198" s="4">
        <f>Base[[#This Row],['[SC']Âge_moyen_retraite]]-Base[[#This Row],['[SC']'[Mort_prématurée']Âge_moyen_mort précoce]]</f>
        <v>10.159999999999997</v>
      </c>
      <c r="BG198" s="4">
        <f>Base[[#This Row],[Espérance_vie]]+Base[[#This Row],['[SC']Hausse_esp_de_vie]]-Base[[#This Row],['[SC']Âge_moyen_retraite]]</f>
        <v>19.90101171382144</v>
      </c>
      <c r="BH198" s="4">
        <v>106583.42676924677</v>
      </c>
      <c r="BI198" s="4">
        <v>97601.789429271477</v>
      </c>
      <c r="BJ198" s="4">
        <v>302038.31496633729</v>
      </c>
      <c r="BK198" s="4">
        <v>117293.58934859755</v>
      </c>
      <c r="BL198" s="4">
        <v>1523999.9999999995</v>
      </c>
      <c r="BM1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8" s="4">
        <v>294804.96027377353</v>
      </c>
      <c r="BO1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8" s="4">
        <f>(Base[[#This Row],['[SC']'[Mort_prématurée']Gains]]-Base[[#This Row],['[SC']'[Mort_prématurée']Coûts]])/Base[[#This Row],[Population_totale]]</f>
        <v>0</v>
      </c>
      <c r="BQ198" s="4">
        <f>IF(Base[[#This Row],[Pathologie]]&lt;&gt;"Mort prématurée",0,Base[[#This Row],[Risque]])</f>
        <v>0</v>
      </c>
      <c r="BR198" s="4">
        <v>2680</v>
      </c>
      <c r="BS1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1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198" s="4">
        <f>Base[[#This Row],[Prévalence_prod]]*(1-Base[[#This Row],[Risque]])*Base[[#This Row],[Durée_arrêt]]*Base[[#This Row],[Population_emploi]]</f>
        <v>0</v>
      </c>
      <c r="BV198" s="4">
        <f>Base[[#This Row],['[Prod']'[Absentéisme']Total_jours_absence_avant]]-Base[[#This Row],['[Prod']'[Absentéisme']Total_jours_absence_après]]</f>
        <v>0</v>
      </c>
      <c r="BW198" s="4">
        <f>IF(AND(Base[[#This Row],[Pathologie]]&lt;&gt;"Dépendance",Base[[#This Row],[Pathologie]]&lt;&gt;"Mort prématurée",Base[[#This Row],[Pathologie]]&lt;&gt;"Migraine"),0.0619,0)</f>
        <v>0</v>
      </c>
      <c r="BX198" s="4">
        <v>254</v>
      </c>
      <c r="BY19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19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198" s="4">
        <f>Base[[#This Row],[Prévalence_prod]]*Base[[#This Row],[Présentéisme]]*Base[[#This Row],['[Prod']Jours_ouvrés]]</f>
        <v>0</v>
      </c>
      <c r="CB198" s="4">
        <f>Base[[#This Row],[Prévalence_prod]]*(1-Base[[#This Row],[Risque]])*Base[[#This Row],[Présentéisme]]*Base[[#This Row],['[Prod']Jours_ouvrés]]</f>
        <v>0</v>
      </c>
      <c r="CC198" s="4">
        <f>Base[[#This Row],['[Prod']'[Présentéisme']Jours_avant]]-Base[[#This Row],['[Prod']'[Présentéisme']Jours_après]]</f>
        <v>0</v>
      </c>
      <c r="CD198" s="4">
        <f>Base[[#This Row],['[Prod']'[Présentéisme']Jours_gagnés]]/Base[[#This Row],['[Prod']Jours_ouvrés]]</f>
        <v>0</v>
      </c>
      <c r="CE198">
        <v>5.8333039429220801E-2</v>
      </c>
      <c r="CF198">
        <v>1.4658164114728258E-2</v>
      </c>
      <c r="CG198" s="4">
        <v>11</v>
      </c>
      <c r="CH198" s="4">
        <v>0.68054183762612652</v>
      </c>
      <c r="CI198" s="4">
        <v>1.2135452577082654E-2</v>
      </c>
      <c r="CJ198" s="4">
        <f>IF(Base[[#This Row],[Secteur]]&lt;&gt;"Moyenne",Base[[#This Row],['[Prod']'[Turnover']DMC_initiale]]*(1+Base[[#This Row],['[Prod']'[Turnover']Ecart_accidents]]*Base[[#This Row],['[Prod']Impact_motifs_turnover]]),CJ181*CI181+CJ182*CI182+CJ183*CI183+CJ184*CI184+CJ185*CI185+CJ186*CI186+CJ187*CI187+CJ188*CI188+CJ189*CI189+CJ190*CI190+CJ191*CI191+CJ192*CI192+CJ193*CI193+CJ194*CI194+CJ195*CI195+CJ196*CI196+CJ197*CI197)</f>
        <v>11.109730433371487</v>
      </c>
      <c r="CK198" s="4">
        <f>1/Base[[#This Row],['[Prod']'[Turnover']DMC_initiale]]</f>
        <v>9.0909090909090912E-2</v>
      </c>
      <c r="CL198" s="4">
        <f>1/Base[[#This Row],['[Prod']'[Turnover']DMC_finale]]</f>
        <v>9.001118487953523E-2</v>
      </c>
    </row>
    <row r="199" spans="2:90" x14ac:dyDescent="0.25">
      <c r="B199" s="4" t="s">
        <v>317</v>
      </c>
      <c r="C199">
        <v>7.5</v>
      </c>
      <c r="D199" t="s">
        <v>84</v>
      </c>
      <c r="E199" t="s">
        <v>42</v>
      </c>
      <c r="F199" s="3">
        <v>2.2452444824416888</v>
      </c>
      <c r="G199" s="3">
        <v>0.371</v>
      </c>
      <c r="H199" s="3">
        <v>0.371</v>
      </c>
      <c r="I199" s="3">
        <v>0</v>
      </c>
      <c r="J199" s="3">
        <v>0</v>
      </c>
      <c r="K199" s="3">
        <v>7.0000000000000007E-2</v>
      </c>
      <c r="L199" s="2">
        <f>Base[[#This Row],[Coût]]*Base[[#This Row],[Part_ménages_dépenses_santé]]</f>
        <v>0</v>
      </c>
      <c r="M199" s="2">
        <v>0</v>
      </c>
      <c r="N199" s="6">
        <v>27700000</v>
      </c>
      <c r="O199" s="7">
        <f>Base[[#This Row],[Coût_salarié]]*10^9*Base[[#This Row],[Risque]]*Base[[#This Row],[Prévalence]]*Base[[#This Row],[Part_coûts_salarié]]/Base[[#This Row],[Population_emploi]]</f>
        <v>0</v>
      </c>
      <c r="P199">
        <v>50</v>
      </c>
      <c r="Q199">
        <v>50</v>
      </c>
      <c r="R199" s="2">
        <v>9.9999999999999978E-2</v>
      </c>
      <c r="S199" s="2">
        <v>0.33340000000000003</v>
      </c>
      <c r="T199" s="4">
        <v>0</v>
      </c>
      <c r="U199" s="4">
        <f>IF(Bases_annexes!$F$5=0,16.6587111018772,0.77*Bases_annexes!$F$5/(IF(OR(ISBLANK('Données_d''entrée'!$E$44),'Données_d''entrée'!$E$44=0),35,'Données_d''entrée'!$E$44)*52))</f>
        <v>16.658711101877199</v>
      </c>
      <c r="V199" s="4">
        <v>0</v>
      </c>
      <c r="W1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199" s="4">
        <v>234.5</v>
      </c>
      <c r="Y199" s="4">
        <f>(Base[[#This Row],['[Maladies']Coûts_évités_par_salarié]]+Base[[#This Row],['[Travail']Coûts_évités_par_salarié]])/Base[[#This Row],[Budget_santé_salarié]]</f>
        <v>0</v>
      </c>
      <c r="Z199" s="4">
        <v>0.8</v>
      </c>
      <c r="AA199" s="4">
        <f>Base[[#This Row],[Coût]]*Base[[#This Row],[Part_société_dépenses_santé]]</f>
        <v>0</v>
      </c>
      <c r="AB199" s="4">
        <v>67635124</v>
      </c>
      <c r="AC199" s="4">
        <v>82.297079063317852</v>
      </c>
      <c r="AD199" s="4">
        <v>0</v>
      </c>
      <c r="AE199" s="4">
        <f>Base[[#This Row],['[SC']Prévalence_travail]]*Base[[#This Row],[Population_emploi]]</f>
        <v>0</v>
      </c>
      <c r="AF199" s="4">
        <f>Base[[#This Row],[Risque]]*Base[[#This Row],['[SC']Patients_en_emploi]]</f>
        <v>0</v>
      </c>
      <c r="AG199" s="4">
        <v>0</v>
      </c>
      <c r="AH199" s="4">
        <f>IFERROR(Base[[#This Row],['[SC']Prestations]]/Base[[#This Row],['[SC']Patients_en_emploi]],0)</f>
        <v>0</v>
      </c>
      <c r="AI199" s="4">
        <v>51.7</v>
      </c>
      <c r="AJ1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199" s="4">
        <f>Base[[#This Row],['[SC']'[Travail']Coûts_évités]]/Base[[#This Row],[Population_emploi]]</f>
        <v>0</v>
      </c>
      <c r="AL199" s="4">
        <f>Base[[#This Row],[Coût_société]]*10^9*Base[[#This Row],[Risque]]*Base[[#This Row],[Prévalence]]*Base[[#This Row],[Part_coûts_salarié]]/Base[[#This Row],[Population_emploi]]</f>
        <v>0</v>
      </c>
      <c r="AM199" s="4">
        <f>IF(Base[[#This Row],[Pathologie]]&lt;&gt;"Dépendance",0,14909.24243952)</f>
        <v>14909.24243952</v>
      </c>
      <c r="AN199" s="4">
        <f>IF(Base[[#This Row],[Pathologie]]&lt;&gt;"Dépendance",0,1316000)</f>
        <v>1316000</v>
      </c>
      <c r="AO199" s="4">
        <f>IF(Base[[#This Row],[Pathologie]]&lt;&gt;"Dépendance",0,Base[[#This Row],['[SC']Coût_personne_dépendante]]*Base[[#This Row],['[SC']Nb_personnes_dépendantes]])</f>
        <v>19620563050.408321</v>
      </c>
      <c r="AP199" s="4">
        <f>IF(Base[[#This Row],[Pathologie]]&lt;&gt;"Dépendance",0,Base[[#This Row],['[SC']Coût_total_dépendance]]/Base[[#This Row],[Population_totale]])</f>
        <v>290.09428666691468</v>
      </c>
      <c r="AQ199" s="4">
        <f>IF(Base[[#This Row],[Pathologie]]&lt;&gt;"Dépendance",0,4.5)</f>
        <v>4.5</v>
      </c>
      <c r="AR199" s="4">
        <v>0.50393265050357905</v>
      </c>
      <c r="AS199" s="4">
        <f>Base[[#This Row],[Espérance_vie]]+Base[[#This Row],['[SC']Hausse_esp_de_vie]]-Base[[#This Row],['[SC']Durée_moyenne_dépendance_avt]]+Base[[#This Row],[Risque]]</f>
        <v>80.54625619626313</v>
      </c>
      <c r="AT1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1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199" s="4">
        <v>62.9</v>
      </c>
      <c r="AW199" s="4">
        <f t="shared" si="0"/>
        <v>336905600000</v>
      </c>
      <c r="AX199" s="4">
        <v>15049171</v>
      </c>
      <c r="AY199" s="4">
        <f>Base[[#This Row],['[SC']Budget_total_retraites]]/Base[[#This Row],['[SC']Nombre_de_retraités]]</f>
        <v>22386.987296509556</v>
      </c>
      <c r="AZ199" s="4">
        <f>Base[[#This Row],['[SC']Budget_par_retraité]]*Base[[#This Row],['[SC']Nb_personnes_dépendantes]]</f>
        <v>29461275282.206577</v>
      </c>
      <c r="BA199" s="4">
        <f>Base[[#This Row],['[SC']'[Dépendance']Coût_retraite_personnes_dépendantes]]/Base[[#This Row],[Population_totale]]</f>
        <v>435.59135460750508</v>
      </c>
      <c r="BB199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199" s="4">
        <f>Base[[#This Row],['[SC']'[Dépendance']Gains]]-Base[[#This Row],['[SC']'[Dépendance']Coûts]]</f>
        <v>65.612721833346214</v>
      </c>
      <c r="BD199" s="4">
        <f>IF(Base[[#This Row],[Pathologie]]&lt;&gt;"Mort prématurée",0,Base[[#This Row],[Risque]]*Base[[#This Row],[Prévalence]]*Base[[#This Row],[Population_totale]])</f>
        <v>0</v>
      </c>
      <c r="BE199" s="4">
        <v>52.74</v>
      </c>
      <c r="BF199" s="4">
        <f>Base[[#This Row],['[SC']Âge_moyen_retraite]]-Base[[#This Row],['[SC']'[Mort_prématurée']Âge_moyen_mort précoce]]</f>
        <v>10.159999999999997</v>
      </c>
      <c r="BG199" s="4">
        <f>Base[[#This Row],[Espérance_vie]]+Base[[#This Row],['[SC']Hausse_esp_de_vie]]-Base[[#This Row],['[SC']Âge_moyen_retraite]]</f>
        <v>19.90101171382144</v>
      </c>
      <c r="BH199" s="4">
        <v>106583.42676924677</v>
      </c>
      <c r="BI199" s="4">
        <v>97601.789429271477</v>
      </c>
      <c r="BJ199" s="4">
        <v>302038.31496633729</v>
      </c>
      <c r="BK199" s="4">
        <v>117293.58934859755</v>
      </c>
      <c r="BL199" s="4">
        <v>1523999.9999999995</v>
      </c>
      <c r="BM1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199" s="4">
        <v>294804.96027377353</v>
      </c>
      <c r="BO1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199" s="4">
        <f>(Base[[#This Row],['[SC']'[Mort_prématurée']Gains]]-Base[[#This Row],['[SC']'[Mort_prématurée']Coûts]])/Base[[#This Row],[Population_totale]]</f>
        <v>0</v>
      </c>
      <c r="BQ199" s="4">
        <f>IF(Base[[#This Row],[Pathologie]]&lt;&gt;"Mort prématurée",0,Base[[#This Row],[Risque]])</f>
        <v>0</v>
      </c>
      <c r="BR199" s="4">
        <v>2680</v>
      </c>
      <c r="BS1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1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199" s="4">
        <f>Base[[#This Row],[Prévalence_prod]]*(1-Base[[#This Row],[Risque]])*Base[[#This Row],[Durée_arrêt]]*Base[[#This Row],[Population_emploi]]</f>
        <v>0</v>
      </c>
      <c r="BV199" s="4">
        <f>Base[[#This Row],['[Prod']'[Absentéisme']Total_jours_absence_avant]]-Base[[#This Row],['[Prod']'[Absentéisme']Total_jours_absence_après]]</f>
        <v>0</v>
      </c>
      <c r="BW199" s="4">
        <f>IF(AND(Base[[#This Row],[Pathologie]]&lt;&gt;"Dépendance",Base[[#This Row],[Pathologie]]&lt;&gt;"Mort prématurée",Base[[#This Row],[Pathologie]]&lt;&gt;"Migraine"),0.0619,0)</f>
        <v>0</v>
      </c>
      <c r="BX199" s="4">
        <v>254</v>
      </c>
      <c r="BY19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19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199" s="4">
        <f>Base[[#This Row],[Prévalence_prod]]*Base[[#This Row],[Présentéisme]]*Base[[#This Row],['[Prod']Jours_ouvrés]]</f>
        <v>0</v>
      </c>
      <c r="CB199" s="4">
        <f>Base[[#This Row],[Prévalence_prod]]*(1-Base[[#This Row],[Risque]])*Base[[#This Row],[Présentéisme]]*Base[[#This Row],['[Prod']Jours_ouvrés]]</f>
        <v>0</v>
      </c>
      <c r="CC199" s="4">
        <f>Base[[#This Row],['[Prod']'[Présentéisme']Jours_avant]]-Base[[#This Row],['[Prod']'[Présentéisme']Jours_après]]</f>
        <v>0</v>
      </c>
      <c r="CD199" s="4">
        <f>Base[[#This Row],['[Prod']'[Présentéisme']Jours_gagnés]]/Base[[#This Row],['[Prod']Jours_ouvrés]]</f>
        <v>0</v>
      </c>
      <c r="CE199">
        <v>5.8333039429220801E-2</v>
      </c>
      <c r="CF199">
        <v>1.4658164114728258E-2</v>
      </c>
      <c r="CG199" s="4">
        <v>11</v>
      </c>
      <c r="CH199" s="4">
        <v>0.31563677172153043</v>
      </c>
      <c r="CI199" s="4">
        <v>1.3003350630813707E-4</v>
      </c>
      <c r="CJ199" s="4">
        <f>IF(Base[[#This Row],[Secteur]]&lt;&gt;"Moyenne",Base[[#This Row],['[Prod']'[Turnover']DMC_initiale]]*(1+Base[[#This Row],['[Prod']'[Turnover']Ecart_accidents]]*Base[[#This Row],['[Prod']Impact_motifs_turnover]]),CJ182*CI182+CJ183*CI183+CJ184*CI184+CJ185*CI185+CJ186*CI186+CJ187*CI187+CJ188*CI188+CJ189*CI189+CJ190*CI190+CJ191*CI191+CJ192*CI192+CJ193*CI193+CJ194*CI194+CJ195*CI195+CJ196*CI196+CJ197*CI197+CJ198*CI198)</f>
        <v>11.05089321160591</v>
      </c>
      <c r="CK199" s="4">
        <f>1/Base[[#This Row],['[Prod']'[Turnover']DMC_initiale]]</f>
        <v>9.0909090909090912E-2</v>
      </c>
      <c r="CL199" s="4">
        <f>1/Base[[#This Row],['[Prod']'[Turnover']DMC_finale]]</f>
        <v>9.0490422887244654E-2</v>
      </c>
    </row>
    <row r="200" spans="2:90" x14ac:dyDescent="0.25">
      <c r="B200" s="4" t="s">
        <v>318</v>
      </c>
      <c r="C200">
        <v>7.5</v>
      </c>
      <c r="D200" t="s">
        <v>84</v>
      </c>
      <c r="E200" t="s">
        <v>42</v>
      </c>
      <c r="F200" s="3">
        <v>2.2452444824416888</v>
      </c>
      <c r="G200" s="3">
        <v>0.371</v>
      </c>
      <c r="H200" s="3">
        <v>0.371</v>
      </c>
      <c r="I200" s="3">
        <v>0</v>
      </c>
      <c r="J200" s="3">
        <v>0</v>
      </c>
      <c r="K200" s="3">
        <v>7.0000000000000007E-2</v>
      </c>
      <c r="L200" s="2">
        <f>Base[[#This Row],[Coût]]*Base[[#This Row],[Part_ménages_dépenses_santé]]</f>
        <v>0</v>
      </c>
      <c r="M200" s="2">
        <v>0</v>
      </c>
      <c r="N200" s="6">
        <v>27700000</v>
      </c>
      <c r="O200" s="7">
        <f>Base[[#This Row],[Coût_salarié]]*10^9*Base[[#This Row],[Risque]]*Base[[#This Row],[Prévalence]]*Base[[#This Row],[Part_coûts_salarié]]/Base[[#This Row],[Population_emploi]]</f>
        <v>0</v>
      </c>
      <c r="P200">
        <v>50</v>
      </c>
      <c r="Q200">
        <v>50</v>
      </c>
      <c r="R200" s="2">
        <v>9.9999999999999978E-2</v>
      </c>
      <c r="S200" s="2">
        <v>0.33340000000000003</v>
      </c>
      <c r="T200" s="4">
        <v>0</v>
      </c>
      <c r="U200" s="4">
        <f>IF(Bases_annexes!$F$5=0,16.6587111018772,0.77*Bases_annexes!$F$5/(IF(OR(ISBLANK('Données_d''entrée'!$E$44),'Données_d''entrée'!$E$44=0),35,'Données_d''entrée'!$E$44)*52))</f>
        <v>16.658711101877199</v>
      </c>
      <c r="V200" s="4">
        <v>0</v>
      </c>
      <c r="W2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0" s="4">
        <v>234.5</v>
      </c>
      <c r="Y200" s="4">
        <f>(Base[[#This Row],['[Maladies']Coûts_évités_par_salarié]]+Base[[#This Row],['[Travail']Coûts_évités_par_salarié]])/Base[[#This Row],[Budget_santé_salarié]]</f>
        <v>0</v>
      </c>
      <c r="Z200" s="4">
        <v>0.8</v>
      </c>
      <c r="AA200" s="4">
        <f>Base[[#This Row],[Coût]]*Base[[#This Row],[Part_société_dépenses_santé]]</f>
        <v>0</v>
      </c>
      <c r="AB200" s="4">
        <v>67635124</v>
      </c>
      <c r="AC200" s="4">
        <v>82.297079063317852</v>
      </c>
      <c r="AD200" s="4">
        <v>0</v>
      </c>
      <c r="AE200" s="4">
        <f>Base[[#This Row],['[SC']Prévalence_travail]]*Base[[#This Row],[Population_emploi]]</f>
        <v>0</v>
      </c>
      <c r="AF200" s="4">
        <f>Base[[#This Row],[Risque]]*Base[[#This Row],['[SC']Patients_en_emploi]]</f>
        <v>0</v>
      </c>
      <c r="AG200" s="4">
        <v>0</v>
      </c>
      <c r="AH200" s="4">
        <f>IFERROR(Base[[#This Row],['[SC']Prestations]]/Base[[#This Row],['[SC']Patients_en_emploi]],0)</f>
        <v>0</v>
      </c>
      <c r="AI200" s="4">
        <v>51.7</v>
      </c>
      <c r="AJ2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0" s="4">
        <f>Base[[#This Row],['[SC']'[Travail']Coûts_évités]]/Base[[#This Row],[Population_emploi]]</f>
        <v>0</v>
      </c>
      <c r="AL200" s="4">
        <f>Base[[#This Row],[Coût_société]]*10^9*Base[[#This Row],[Risque]]*Base[[#This Row],[Prévalence]]*Base[[#This Row],[Part_coûts_salarié]]/Base[[#This Row],[Population_emploi]]</f>
        <v>0</v>
      </c>
      <c r="AM200" s="4">
        <f>IF(Base[[#This Row],[Pathologie]]&lt;&gt;"Dépendance",0,14909.24243952)</f>
        <v>14909.24243952</v>
      </c>
      <c r="AN200" s="4">
        <f>IF(Base[[#This Row],[Pathologie]]&lt;&gt;"Dépendance",0,1316000)</f>
        <v>1316000</v>
      </c>
      <c r="AO200" s="4">
        <f>IF(Base[[#This Row],[Pathologie]]&lt;&gt;"Dépendance",0,Base[[#This Row],['[SC']Coût_personne_dépendante]]*Base[[#This Row],['[SC']Nb_personnes_dépendantes]])</f>
        <v>19620563050.408321</v>
      </c>
      <c r="AP200" s="4">
        <f>IF(Base[[#This Row],[Pathologie]]&lt;&gt;"Dépendance",0,Base[[#This Row],['[SC']Coût_total_dépendance]]/Base[[#This Row],[Population_totale]])</f>
        <v>290.09428666691468</v>
      </c>
      <c r="AQ200" s="4">
        <f>IF(Base[[#This Row],[Pathologie]]&lt;&gt;"Dépendance",0,4.5)</f>
        <v>4.5</v>
      </c>
      <c r="AR200" s="4">
        <v>0.50393265050357905</v>
      </c>
      <c r="AS200" s="4">
        <f>Base[[#This Row],[Espérance_vie]]+Base[[#This Row],['[SC']Hausse_esp_de_vie]]-Base[[#This Row],['[SC']Durée_moyenne_dépendance_avt]]+Base[[#This Row],[Risque]]</f>
        <v>80.54625619626313</v>
      </c>
      <c r="AT2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0" s="4">
        <v>62.9</v>
      </c>
      <c r="AW200" s="4">
        <f t="shared" si="0"/>
        <v>336905600000</v>
      </c>
      <c r="AX200" s="4">
        <v>15049171</v>
      </c>
      <c r="AY200" s="4">
        <f>Base[[#This Row],['[SC']Budget_total_retraites]]/Base[[#This Row],['[SC']Nombre_de_retraités]]</f>
        <v>22386.987296509556</v>
      </c>
      <c r="AZ200" s="4">
        <f>Base[[#This Row],['[SC']Budget_par_retraité]]*Base[[#This Row],['[SC']Nb_personnes_dépendantes]]</f>
        <v>29461275282.206577</v>
      </c>
      <c r="BA200" s="4">
        <f>Base[[#This Row],['[SC']'[Dépendance']Coût_retraite_personnes_dépendantes]]/Base[[#This Row],[Population_totale]]</f>
        <v>435.59135460750508</v>
      </c>
      <c r="BB200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0" s="4">
        <f>Base[[#This Row],['[SC']'[Dépendance']Gains]]-Base[[#This Row],['[SC']'[Dépendance']Coûts]]</f>
        <v>65.612721833346214</v>
      </c>
      <c r="BD200" s="4">
        <f>IF(Base[[#This Row],[Pathologie]]&lt;&gt;"Mort prématurée",0,Base[[#This Row],[Risque]]*Base[[#This Row],[Prévalence]]*Base[[#This Row],[Population_totale]])</f>
        <v>0</v>
      </c>
      <c r="BE200" s="4">
        <v>52.74</v>
      </c>
      <c r="BF200" s="4">
        <f>Base[[#This Row],['[SC']Âge_moyen_retraite]]-Base[[#This Row],['[SC']'[Mort_prématurée']Âge_moyen_mort précoce]]</f>
        <v>10.159999999999997</v>
      </c>
      <c r="BG200" s="4">
        <f>Base[[#This Row],[Espérance_vie]]+Base[[#This Row],['[SC']Hausse_esp_de_vie]]-Base[[#This Row],['[SC']Âge_moyen_retraite]]</f>
        <v>19.90101171382144</v>
      </c>
      <c r="BH200" s="4">
        <v>106583.42676924677</v>
      </c>
      <c r="BI200" s="4">
        <v>97601.789429271477</v>
      </c>
      <c r="BJ200" s="4">
        <v>302038.31496633729</v>
      </c>
      <c r="BK200" s="4">
        <v>117293.58934859755</v>
      </c>
      <c r="BL200" s="4">
        <v>1523999.9999999995</v>
      </c>
      <c r="BM2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0" s="4">
        <v>294804.96027377353</v>
      </c>
      <c r="BO2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0" s="4">
        <f>(Base[[#This Row],['[SC']'[Mort_prématurée']Gains]]-Base[[#This Row],['[SC']'[Mort_prématurée']Coûts]])/Base[[#This Row],[Population_totale]]</f>
        <v>0</v>
      </c>
      <c r="BQ200" s="4">
        <f>IF(Base[[#This Row],[Pathologie]]&lt;&gt;"Mort prématurée",0,Base[[#This Row],[Risque]])</f>
        <v>0</v>
      </c>
      <c r="BR200" s="4">
        <v>2680</v>
      </c>
      <c r="BS2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0" s="4">
        <f>Base[[#This Row],[Prévalence_prod]]*(1-Base[[#This Row],[Risque]])*Base[[#This Row],[Durée_arrêt]]*Base[[#This Row],[Population_emploi]]</f>
        <v>0</v>
      </c>
      <c r="BV200" s="4">
        <f>Base[[#This Row],['[Prod']'[Absentéisme']Total_jours_absence_avant]]-Base[[#This Row],['[Prod']'[Absentéisme']Total_jours_absence_après]]</f>
        <v>0</v>
      </c>
      <c r="BW200" s="4">
        <f>IF(AND(Base[[#This Row],[Pathologie]]&lt;&gt;"Dépendance",Base[[#This Row],[Pathologie]]&lt;&gt;"Mort prématurée",Base[[#This Row],[Pathologie]]&lt;&gt;"Migraine"),0.0619,0)</f>
        <v>0</v>
      </c>
      <c r="BX200" s="4">
        <v>254</v>
      </c>
      <c r="BY20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0" s="4">
        <f>Base[[#This Row],[Prévalence_prod]]*Base[[#This Row],[Présentéisme]]*Base[[#This Row],['[Prod']Jours_ouvrés]]</f>
        <v>0</v>
      </c>
      <c r="CB200" s="4">
        <f>Base[[#This Row],[Prévalence_prod]]*(1-Base[[#This Row],[Risque]])*Base[[#This Row],[Présentéisme]]*Base[[#This Row],['[Prod']Jours_ouvrés]]</f>
        <v>0</v>
      </c>
      <c r="CC200" s="4">
        <f>Base[[#This Row],['[Prod']'[Présentéisme']Jours_avant]]-Base[[#This Row],['[Prod']'[Présentéisme']Jours_après]]</f>
        <v>0</v>
      </c>
      <c r="CD200" s="4">
        <f>Base[[#This Row],['[Prod']'[Présentéisme']Jours_gagnés]]/Base[[#This Row],['[Prod']Jours_ouvrés]]</f>
        <v>0</v>
      </c>
      <c r="CE200">
        <v>5.8333039429220801E-2</v>
      </c>
      <c r="CF200">
        <v>1.4658164114728258E-2</v>
      </c>
      <c r="CG200" s="4">
        <v>11</v>
      </c>
      <c r="CH200" s="4">
        <v>1.1688035738877327</v>
      </c>
      <c r="CI200" s="4">
        <v>9.6557438521367826E-3</v>
      </c>
      <c r="CJ200" s="4">
        <f>IF(Base[[#This Row],[Secteur]]&lt;&gt;"Moyenne",Base[[#This Row],['[Prod']'[Turnover']DMC_initiale]]*(1+Base[[#This Row],['[Prod']'[Turnover']Ecart_accidents]]*Base[[#This Row],['[Prod']Impact_motifs_turnover]]),CJ183*CI183+CJ184*CI184+CJ185*CI185+CJ186*CI186+CJ187*CI187+CJ188*CI188+CJ189*CI189+CJ190*CI190+CJ191*CI191+CJ192*CI192+CJ193*CI193+CJ194*CI194+CJ195*CI195+CJ196*CI196+CJ197*CI197+CJ198*CI198+CJ199*CI199)</f>
        <v>11.188457660643202</v>
      </c>
      <c r="CK200" s="4">
        <f>1/Base[[#This Row],['[Prod']'[Turnover']DMC_initiale]]</f>
        <v>9.0909090909090912E-2</v>
      </c>
      <c r="CL200" s="4">
        <f>1/Base[[#This Row],['[Prod']'[Turnover']DMC_finale]]</f>
        <v>8.9377824033568531E-2</v>
      </c>
    </row>
    <row r="201" spans="2:90" x14ac:dyDescent="0.25">
      <c r="B201" s="4" t="s">
        <v>319</v>
      </c>
      <c r="C201">
        <v>7.5</v>
      </c>
      <c r="D201" t="s">
        <v>84</v>
      </c>
      <c r="E201" t="s">
        <v>42</v>
      </c>
      <c r="F201" s="3">
        <v>2.2452444824416888</v>
      </c>
      <c r="G201" s="3">
        <v>0.371</v>
      </c>
      <c r="H201" s="3">
        <v>0.371</v>
      </c>
      <c r="I201" s="3">
        <v>0</v>
      </c>
      <c r="J201" s="3">
        <v>0</v>
      </c>
      <c r="K201" s="3">
        <v>7.0000000000000007E-2</v>
      </c>
      <c r="L201" s="2">
        <f>Base[[#This Row],[Coût]]*Base[[#This Row],[Part_ménages_dépenses_santé]]</f>
        <v>0</v>
      </c>
      <c r="M201" s="2">
        <v>0</v>
      </c>
      <c r="N201" s="6">
        <v>27700000</v>
      </c>
      <c r="O201" s="7">
        <f>Base[[#This Row],[Coût_salarié]]*10^9*Base[[#This Row],[Risque]]*Base[[#This Row],[Prévalence]]*Base[[#This Row],[Part_coûts_salarié]]/Base[[#This Row],[Population_emploi]]</f>
        <v>0</v>
      </c>
      <c r="P201">
        <v>50</v>
      </c>
      <c r="Q201">
        <v>50</v>
      </c>
      <c r="R201" s="2">
        <v>9.9999999999999978E-2</v>
      </c>
      <c r="S201" s="2">
        <v>0.33340000000000003</v>
      </c>
      <c r="T201" s="4">
        <v>0</v>
      </c>
      <c r="U201" s="4">
        <f>IF(Bases_annexes!$F$5=0,16.6587111018772,0.77*Bases_annexes!$F$5/(IF(OR(ISBLANK('Données_d''entrée'!$E$44),'Données_d''entrée'!$E$44=0),35,'Données_d''entrée'!$E$44)*52))</f>
        <v>16.658711101877199</v>
      </c>
      <c r="V201" s="4">
        <v>0</v>
      </c>
      <c r="W2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1" s="4">
        <v>234.5</v>
      </c>
      <c r="Y201" s="4">
        <f>(Base[[#This Row],['[Maladies']Coûts_évités_par_salarié]]+Base[[#This Row],['[Travail']Coûts_évités_par_salarié]])/Base[[#This Row],[Budget_santé_salarié]]</f>
        <v>0</v>
      </c>
      <c r="Z201" s="4">
        <v>0.8</v>
      </c>
      <c r="AA201" s="4">
        <f>Base[[#This Row],[Coût]]*Base[[#This Row],[Part_société_dépenses_santé]]</f>
        <v>0</v>
      </c>
      <c r="AB201" s="4">
        <v>67635124</v>
      </c>
      <c r="AC201" s="4">
        <v>82.297079063317852</v>
      </c>
      <c r="AD201" s="4">
        <v>0</v>
      </c>
      <c r="AE201" s="4">
        <f>Base[[#This Row],['[SC']Prévalence_travail]]*Base[[#This Row],[Population_emploi]]</f>
        <v>0</v>
      </c>
      <c r="AF201" s="4">
        <f>Base[[#This Row],[Risque]]*Base[[#This Row],['[SC']Patients_en_emploi]]</f>
        <v>0</v>
      </c>
      <c r="AG201" s="4">
        <v>0</v>
      </c>
      <c r="AH201" s="4">
        <f>IFERROR(Base[[#This Row],['[SC']Prestations]]/Base[[#This Row],['[SC']Patients_en_emploi]],0)</f>
        <v>0</v>
      </c>
      <c r="AI201" s="4">
        <v>51.7</v>
      </c>
      <c r="AJ2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1" s="4">
        <f>Base[[#This Row],['[SC']'[Travail']Coûts_évités]]/Base[[#This Row],[Population_emploi]]</f>
        <v>0</v>
      </c>
      <c r="AL201" s="4">
        <f>Base[[#This Row],[Coût_société]]*10^9*Base[[#This Row],[Risque]]*Base[[#This Row],[Prévalence]]*Base[[#This Row],[Part_coûts_salarié]]/Base[[#This Row],[Population_emploi]]</f>
        <v>0</v>
      </c>
      <c r="AM201" s="4">
        <f>IF(Base[[#This Row],[Pathologie]]&lt;&gt;"Dépendance",0,14909.24243952)</f>
        <v>14909.24243952</v>
      </c>
      <c r="AN201" s="4">
        <f>IF(Base[[#This Row],[Pathologie]]&lt;&gt;"Dépendance",0,1316000)</f>
        <v>1316000</v>
      </c>
      <c r="AO201" s="4">
        <f>IF(Base[[#This Row],[Pathologie]]&lt;&gt;"Dépendance",0,Base[[#This Row],['[SC']Coût_personne_dépendante]]*Base[[#This Row],['[SC']Nb_personnes_dépendantes]])</f>
        <v>19620563050.408321</v>
      </c>
      <c r="AP201" s="4">
        <f>IF(Base[[#This Row],[Pathologie]]&lt;&gt;"Dépendance",0,Base[[#This Row],['[SC']Coût_total_dépendance]]/Base[[#This Row],[Population_totale]])</f>
        <v>290.09428666691468</v>
      </c>
      <c r="AQ201" s="4">
        <f>IF(Base[[#This Row],[Pathologie]]&lt;&gt;"Dépendance",0,4.5)</f>
        <v>4.5</v>
      </c>
      <c r="AR201" s="4">
        <v>0.50393265050357905</v>
      </c>
      <c r="AS201" s="4">
        <f>Base[[#This Row],[Espérance_vie]]+Base[[#This Row],['[SC']Hausse_esp_de_vie]]-Base[[#This Row],['[SC']Durée_moyenne_dépendance_avt]]+Base[[#This Row],[Risque]]</f>
        <v>80.54625619626313</v>
      </c>
      <c r="AT2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1" s="4">
        <v>62.9</v>
      </c>
      <c r="AW201" s="4">
        <f t="shared" si="0"/>
        <v>336905600000</v>
      </c>
      <c r="AX201" s="4">
        <v>15049171</v>
      </c>
      <c r="AY201" s="4">
        <f>Base[[#This Row],['[SC']Budget_total_retraites]]/Base[[#This Row],['[SC']Nombre_de_retraités]]</f>
        <v>22386.987296509556</v>
      </c>
      <c r="AZ201" s="4">
        <f>Base[[#This Row],['[SC']Budget_par_retraité]]*Base[[#This Row],['[SC']Nb_personnes_dépendantes]]</f>
        <v>29461275282.206577</v>
      </c>
      <c r="BA201" s="4">
        <f>Base[[#This Row],['[SC']'[Dépendance']Coût_retraite_personnes_dépendantes]]/Base[[#This Row],[Population_totale]]</f>
        <v>435.59135460750508</v>
      </c>
      <c r="BB201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1" s="4">
        <f>Base[[#This Row],['[SC']'[Dépendance']Gains]]-Base[[#This Row],['[SC']'[Dépendance']Coûts]]</f>
        <v>65.612721833346214</v>
      </c>
      <c r="BD201" s="4">
        <f>IF(Base[[#This Row],[Pathologie]]&lt;&gt;"Mort prématurée",0,Base[[#This Row],[Risque]]*Base[[#This Row],[Prévalence]]*Base[[#This Row],[Population_totale]])</f>
        <v>0</v>
      </c>
      <c r="BE201" s="4">
        <v>52.74</v>
      </c>
      <c r="BF201" s="4">
        <f>Base[[#This Row],['[SC']Âge_moyen_retraite]]-Base[[#This Row],['[SC']'[Mort_prématurée']Âge_moyen_mort précoce]]</f>
        <v>10.159999999999997</v>
      </c>
      <c r="BG201" s="4">
        <f>Base[[#This Row],[Espérance_vie]]+Base[[#This Row],['[SC']Hausse_esp_de_vie]]-Base[[#This Row],['[SC']Âge_moyen_retraite]]</f>
        <v>19.90101171382144</v>
      </c>
      <c r="BH201" s="4">
        <v>106583.42676924677</v>
      </c>
      <c r="BI201" s="4">
        <v>97601.789429271477</v>
      </c>
      <c r="BJ201" s="4">
        <v>302038.31496633729</v>
      </c>
      <c r="BK201" s="4">
        <v>117293.58934859755</v>
      </c>
      <c r="BL201" s="4">
        <v>1523999.9999999995</v>
      </c>
      <c r="BM2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1" s="4">
        <v>294804.96027377353</v>
      </c>
      <c r="BO2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1" s="4">
        <f>(Base[[#This Row],['[SC']'[Mort_prématurée']Gains]]-Base[[#This Row],['[SC']'[Mort_prématurée']Coûts]])/Base[[#This Row],[Population_totale]]</f>
        <v>0</v>
      </c>
      <c r="BQ201" s="4">
        <f>IF(Base[[#This Row],[Pathologie]]&lt;&gt;"Mort prématurée",0,Base[[#This Row],[Risque]])</f>
        <v>0</v>
      </c>
      <c r="BR201" s="4">
        <v>2680</v>
      </c>
      <c r="BS2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1" s="4">
        <f>Base[[#This Row],[Prévalence_prod]]*(1-Base[[#This Row],[Risque]])*Base[[#This Row],[Durée_arrêt]]*Base[[#This Row],[Population_emploi]]</f>
        <v>0</v>
      </c>
      <c r="BV201" s="4">
        <f>Base[[#This Row],['[Prod']'[Absentéisme']Total_jours_absence_avant]]-Base[[#This Row],['[Prod']'[Absentéisme']Total_jours_absence_après]]</f>
        <v>0</v>
      </c>
      <c r="BW201" s="4">
        <f>IF(AND(Base[[#This Row],[Pathologie]]&lt;&gt;"Dépendance",Base[[#This Row],[Pathologie]]&lt;&gt;"Mort prématurée",Base[[#This Row],[Pathologie]]&lt;&gt;"Migraine"),0.0619,0)</f>
        <v>0</v>
      </c>
      <c r="BX201" s="4">
        <v>254</v>
      </c>
      <c r="BY20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1" s="4">
        <f>Base[[#This Row],[Prévalence_prod]]*Base[[#This Row],[Présentéisme]]*Base[[#This Row],['[Prod']Jours_ouvrés]]</f>
        <v>0</v>
      </c>
      <c r="CB201" s="4">
        <f>Base[[#This Row],[Prévalence_prod]]*(1-Base[[#This Row],[Risque]])*Base[[#This Row],[Présentéisme]]*Base[[#This Row],['[Prod']Jours_ouvrés]]</f>
        <v>0</v>
      </c>
      <c r="CC201" s="4">
        <f>Base[[#This Row],['[Prod']'[Présentéisme']Jours_avant]]-Base[[#This Row],['[Prod']'[Présentéisme']Jours_après]]</f>
        <v>0</v>
      </c>
      <c r="CD201" s="4">
        <f>Base[[#This Row],['[Prod']'[Présentéisme']Jours_gagnés]]/Base[[#This Row],['[Prod']Jours_ouvrés]]</f>
        <v>0</v>
      </c>
      <c r="CE201">
        <v>5.8333039429220801E-2</v>
      </c>
      <c r="CF201">
        <v>1.4658164114728258E-2</v>
      </c>
      <c r="CG201" s="4">
        <v>11</v>
      </c>
      <c r="CH201" s="4">
        <v>0.52204401140486179</v>
      </c>
      <c r="CI201" s="4">
        <v>1.2443904150185675E-2</v>
      </c>
      <c r="CJ201" s="4">
        <f>IF(Base[[#This Row],[Secteur]]&lt;&gt;"Moyenne",Base[[#This Row],['[Prod']'[Turnover']DMC_initiale]]*(1+Base[[#This Row],['[Prod']'[Turnover']Ecart_accidents]]*Base[[#This Row],['[Prod']Impact_motifs_turnover]]),CJ184*CI184+CJ185*CI185+CJ186*CI186+CJ187*CI187+CJ188*CI188+CJ189*CI189+CJ190*CI190+CJ191*CI191+CJ192*CI192+CJ193*CI193+CJ194*CI194+CJ195*CI195+CJ196*CI196+CJ197*CI197+CJ198*CI198+CJ199*CI199+CJ200*CI200)</f>
        <v>11.084174274737117</v>
      </c>
      <c r="CK201" s="4">
        <f>1/Base[[#This Row],['[Prod']'[Turnover']DMC_initiale]]</f>
        <v>9.0909090909090912E-2</v>
      </c>
      <c r="CL201" s="4">
        <f>1/Base[[#This Row],['[Prod']'[Turnover']DMC_finale]]</f>
        <v>9.0218718617514418E-2</v>
      </c>
    </row>
    <row r="202" spans="2:90" x14ac:dyDescent="0.25">
      <c r="B202" s="4" t="s">
        <v>320</v>
      </c>
      <c r="C202">
        <v>7.5</v>
      </c>
      <c r="D202" t="s">
        <v>84</v>
      </c>
      <c r="E202" t="s">
        <v>42</v>
      </c>
      <c r="F202" s="3">
        <v>2.2452444824416888</v>
      </c>
      <c r="G202" s="3">
        <v>0.371</v>
      </c>
      <c r="H202" s="3">
        <v>0.371</v>
      </c>
      <c r="I202" s="3">
        <v>0</v>
      </c>
      <c r="J202" s="3">
        <v>0</v>
      </c>
      <c r="K202" s="3">
        <v>7.0000000000000007E-2</v>
      </c>
      <c r="L202" s="2">
        <f>Base[[#This Row],[Coût]]*Base[[#This Row],[Part_ménages_dépenses_santé]]</f>
        <v>0</v>
      </c>
      <c r="M202" s="2">
        <v>0</v>
      </c>
      <c r="N202" s="6">
        <v>27700000</v>
      </c>
      <c r="O202" s="7">
        <f>Base[[#This Row],[Coût_salarié]]*10^9*Base[[#This Row],[Risque]]*Base[[#This Row],[Prévalence]]*Base[[#This Row],[Part_coûts_salarié]]/Base[[#This Row],[Population_emploi]]</f>
        <v>0</v>
      </c>
      <c r="P202">
        <v>50</v>
      </c>
      <c r="Q202">
        <v>50</v>
      </c>
      <c r="R202" s="2">
        <v>9.9999999999999978E-2</v>
      </c>
      <c r="S202" s="2">
        <v>0.33340000000000003</v>
      </c>
      <c r="T202" s="4">
        <v>0</v>
      </c>
      <c r="U202" s="4">
        <f>IF(Bases_annexes!$F$5=0,16.6587111018772,0.77*Bases_annexes!$F$5/(IF(OR(ISBLANK('Données_d''entrée'!$E$44),'Données_d''entrée'!$E$44=0),35,'Données_d''entrée'!$E$44)*52))</f>
        <v>16.658711101877199</v>
      </c>
      <c r="V202" s="4">
        <v>0</v>
      </c>
      <c r="W2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2" s="4">
        <v>234.5</v>
      </c>
      <c r="Y202" s="4">
        <f>(Base[[#This Row],['[Maladies']Coûts_évités_par_salarié]]+Base[[#This Row],['[Travail']Coûts_évités_par_salarié]])/Base[[#This Row],[Budget_santé_salarié]]</f>
        <v>0</v>
      </c>
      <c r="Z202" s="4">
        <v>0.8</v>
      </c>
      <c r="AA202" s="4">
        <f>Base[[#This Row],[Coût]]*Base[[#This Row],[Part_société_dépenses_santé]]</f>
        <v>0</v>
      </c>
      <c r="AB202" s="4">
        <v>67635124</v>
      </c>
      <c r="AC202" s="4">
        <v>82.297079063317852</v>
      </c>
      <c r="AD202" s="4">
        <v>0</v>
      </c>
      <c r="AE202" s="4">
        <f>Base[[#This Row],['[SC']Prévalence_travail]]*Base[[#This Row],[Population_emploi]]</f>
        <v>0</v>
      </c>
      <c r="AF202" s="4">
        <f>Base[[#This Row],[Risque]]*Base[[#This Row],['[SC']Patients_en_emploi]]</f>
        <v>0</v>
      </c>
      <c r="AG202" s="4">
        <v>0</v>
      </c>
      <c r="AH202" s="4">
        <f>IFERROR(Base[[#This Row],['[SC']Prestations]]/Base[[#This Row],['[SC']Patients_en_emploi]],0)</f>
        <v>0</v>
      </c>
      <c r="AI202" s="4">
        <v>51.7</v>
      </c>
      <c r="AJ2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2" s="4">
        <f>Base[[#This Row],['[SC']'[Travail']Coûts_évités]]/Base[[#This Row],[Population_emploi]]</f>
        <v>0</v>
      </c>
      <c r="AL202" s="4">
        <f>Base[[#This Row],[Coût_société]]*10^9*Base[[#This Row],[Risque]]*Base[[#This Row],[Prévalence]]*Base[[#This Row],[Part_coûts_salarié]]/Base[[#This Row],[Population_emploi]]</f>
        <v>0</v>
      </c>
      <c r="AM202" s="4">
        <f>IF(Base[[#This Row],[Pathologie]]&lt;&gt;"Dépendance",0,14909.24243952)</f>
        <v>14909.24243952</v>
      </c>
      <c r="AN202" s="4">
        <f>IF(Base[[#This Row],[Pathologie]]&lt;&gt;"Dépendance",0,1316000)</f>
        <v>1316000</v>
      </c>
      <c r="AO202" s="4">
        <f>IF(Base[[#This Row],[Pathologie]]&lt;&gt;"Dépendance",0,Base[[#This Row],['[SC']Coût_personne_dépendante]]*Base[[#This Row],['[SC']Nb_personnes_dépendantes]])</f>
        <v>19620563050.408321</v>
      </c>
      <c r="AP202" s="4">
        <f>IF(Base[[#This Row],[Pathologie]]&lt;&gt;"Dépendance",0,Base[[#This Row],['[SC']Coût_total_dépendance]]/Base[[#This Row],[Population_totale]])</f>
        <v>290.09428666691468</v>
      </c>
      <c r="AQ202" s="4">
        <f>IF(Base[[#This Row],[Pathologie]]&lt;&gt;"Dépendance",0,4.5)</f>
        <v>4.5</v>
      </c>
      <c r="AR202" s="4">
        <v>0.50393265050357905</v>
      </c>
      <c r="AS202" s="4">
        <f>Base[[#This Row],[Espérance_vie]]+Base[[#This Row],['[SC']Hausse_esp_de_vie]]-Base[[#This Row],['[SC']Durée_moyenne_dépendance_avt]]+Base[[#This Row],[Risque]]</f>
        <v>80.54625619626313</v>
      </c>
      <c r="AT2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2" s="4">
        <v>62.9</v>
      </c>
      <c r="AW202" s="4">
        <f t="shared" si="0"/>
        <v>336905600000</v>
      </c>
      <c r="AX202" s="4">
        <v>15049171</v>
      </c>
      <c r="AY202" s="4">
        <f>Base[[#This Row],['[SC']Budget_total_retraites]]/Base[[#This Row],['[SC']Nombre_de_retraités]]</f>
        <v>22386.987296509556</v>
      </c>
      <c r="AZ202" s="4">
        <f>Base[[#This Row],['[SC']Budget_par_retraité]]*Base[[#This Row],['[SC']Nb_personnes_dépendantes]]</f>
        <v>29461275282.206577</v>
      </c>
      <c r="BA202" s="4">
        <f>Base[[#This Row],['[SC']'[Dépendance']Coût_retraite_personnes_dépendantes]]/Base[[#This Row],[Population_totale]]</f>
        <v>435.59135460750508</v>
      </c>
      <c r="BB202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2" s="4">
        <f>Base[[#This Row],['[SC']'[Dépendance']Gains]]-Base[[#This Row],['[SC']'[Dépendance']Coûts]]</f>
        <v>65.612721833346214</v>
      </c>
      <c r="BD202" s="4">
        <f>IF(Base[[#This Row],[Pathologie]]&lt;&gt;"Mort prématurée",0,Base[[#This Row],[Risque]]*Base[[#This Row],[Prévalence]]*Base[[#This Row],[Population_totale]])</f>
        <v>0</v>
      </c>
      <c r="BE202" s="4">
        <v>52.74</v>
      </c>
      <c r="BF202" s="4">
        <f>Base[[#This Row],['[SC']Âge_moyen_retraite]]-Base[[#This Row],['[SC']'[Mort_prématurée']Âge_moyen_mort précoce]]</f>
        <v>10.159999999999997</v>
      </c>
      <c r="BG202" s="4">
        <f>Base[[#This Row],[Espérance_vie]]+Base[[#This Row],['[SC']Hausse_esp_de_vie]]-Base[[#This Row],['[SC']Âge_moyen_retraite]]</f>
        <v>19.90101171382144</v>
      </c>
      <c r="BH202" s="4">
        <v>106583.42676924677</v>
      </c>
      <c r="BI202" s="4">
        <v>97601.789429271477</v>
      </c>
      <c r="BJ202" s="4">
        <v>302038.31496633729</v>
      </c>
      <c r="BK202" s="4">
        <v>117293.58934859755</v>
      </c>
      <c r="BL202" s="4">
        <v>1523999.9999999995</v>
      </c>
      <c r="BM2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2" s="4">
        <v>294804.96027377353</v>
      </c>
      <c r="BO2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2" s="4">
        <f>(Base[[#This Row],['[SC']'[Mort_prématurée']Gains]]-Base[[#This Row],['[SC']'[Mort_prématurée']Coûts]])/Base[[#This Row],[Population_totale]]</f>
        <v>0</v>
      </c>
      <c r="BQ202" s="4">
        <f>IF(Base[[#This Row],[Pathologie]]&lt;&gt;"Mort prématurée",0,Base[[#This Row],[Risque]])</f>
        <v>0</v>
      </c>
      <c r="BR202" s="4">
        <v>2680</v>
      </c>
      <c r="BS2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2" s="4">
        <f>Base[[#This Row],[Prévalence_prod]]*(1-Base[[#This Row],[Risque]])*Base[[#This Row],[Durée_arrêt]]*Base[[#This Row],[Population_emploi]]</f>
        <v>0</v>
      </c>
      <c r="BV202" s="4">
        <f>Base[[#This Row],['[Prod']'[Absentéisme']Total_jours_absence_avant]]-Base[[#This Row],['[Prod']'[Absentéisme']Total_jours_absence_après]]</f>
        <v>0</v>
      </c>
      <c r="BW202" s="4">
        <f>IF(AND(Base[[#This Row],[Pathologie]]&lt;&gt;"Dépendance",Base[[#This Row],[Pathologie]]&lt;&gt;"Mort prématurée",Base[[#This Row],[Pathologie]]&lt;&gt;"Migraine"),0.0619,0)</f>
        <v>0</v>
      </c>
      <c r="BX202" s="4">
        <v>254</v>
      </c>
      <c r="BY20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2" s="4">
        <f>Base[[#This Row],[Prévalence_prod]]*Base[[#This Row],[Présentéisme]]*Base[[#This Row],['[Prod']Jours_ouvrés]]</f>
        <v>0</v>
      </c>
      <c r="CB202" s="4">
        <f>Base[[#This Row],[Prévalence_prod]]*(1-Base[[#This Row],[Risque]])*Base[[#This Row],[Présentéisme]]*Base[[#This Row],['[Prod']Jours_ouvrés]]</f>
        <v>0</v>
      </c>
      <c r="CC202" s="4">
        <f>Base[[#This Row],['[Prod']'[Présentéisme']Jours_avant]]-Base[[#This Row],['[Prod']'[Présentéisme']Jours_après]]</f>
        <v>0</v>
      </c>
      <c r="CD202" s="4">
        <f>Base[[#This Row],['[Prod']'[Présentéisme']Jours_gagnés]]/Base[[#This Row],['[Prod']Jours_ouvrés]]</f>
        <v>0</v>
      </c>
      <c r="CE202">
        <v>5.8333039429220801E-2</v>
      </c>
      <c r="CF202">
        <v>1.4658164114728258E-2</v>
      </c>
      <c r="CG202" s="4">
        <v>11</v>
      </c>
      <c r="CH202" s="4">
        <v>0.49446424657188709</v>
      </c>
      <c r="CI202" s="4">
        <v>1.0795805058605798E-2</v>
      </c>
      <c r="CJ202" s="4">
        <f>IF(Base[[#This Row],[Secteur]]&lt;&gt;"Moyenne",Base[[#This Row],['[Prod']'[Turnover']DMC_initiale]]*(1+Base[[#This Row],['[Prod']'[Turnover']Ecart_accidents]]*Base[[#This Row],['[Prod']Impact_motifs_turnover]]),CJ185*CI185+CJ186*CI186+CJ187*CI187+CJ188*CI188+CJ189*CI189+CJ190*CI190+CJ191*CI191+CJ192*CI192+CJ193*CI193+CJ194*CI194+CJ195*CI195+CJ196*CI196+CJ197*CI197+CJ198*CI198+CJ199*CI199+CJ200*CI200+CJ201*CI201)</f>
        <v>11.079727318826279</v>
      </c>
      <c r="CK202" s="4">
        <f>1/Base[[#This Row],['[Prod']'[Turnover']DMC_initiale]]</f>
        <v>9.0909090909090912E-2</v>
      </c>
      <c r="CL202" s="4">
        <f>1/Base[[#This Row],['[Prod']'[Turnover']DMC_finale]]</f>
        <v>9.025492877436031E-2</v>
      </c>
    </row>
    <row r="203" spans="2:90" x14ac:dyDescent="0.25">
      <c r="B203" s="4" t="s">
        <v>321</v>
      </c>
      <c r="C203">
        <v>7.5</v>
      </c>
      <c r="D203" t="s">
        <v>84</v>
      </c>
      <c r="E203" t="s">
        <v>42</v>
      </c>
      <c r="F203" s="3">
        <v>2.2452444824416888</v>
      </c>
      <c r="G203" s="3">
        <v>0.371</v>
      </c>
      <c r="H203" s="3">
        <v>0.371</v>
      </c>
      <c r="I203" s="3">
        <v>0</v>
      </c>
      <c r="J203" s="3">
        <v>0</v>
      </c>
      <c r="K203" s="3">
        <v>7.0000000000000007E-2</v>
      </c>
      <c r="L203" s="2">
        <f>Base[[#This Row],[Coût]]*Base[[#This Row],[Part_ménages_dépenses_santé]]</f>
        <v>0</v>
      </c>
      <c r="M203" s="2">
        <v>0</v>
      </c>
      <c r="N203" s="6">
        <v>27700000</v>
      </c>
      <c r="O203" s="7">
        <f>Base[[#This Row],[Coût_salarié]]*10^9*Base[[#This Row],[Risque]]*Base[[#This Row],[Prévalence]]*Base[[#This Row],[Part_coûts_salarié]]/Base[[#This Row],[Population_emploi]]</f>
        <v>0</v>
      </c>
      <c r="P203">
        <v>50</v>
      </c>
      <c r="Q203">
        <v>50</v>
      </c>
      <c r="R203" s="2">
        <v>9.9999999999999978E-2</v>
      </c>
      <c r="S203" s="2">
        <v>0.33340000000000003</v>
      </c>
      <c r="T203" s="4">
        <v>0</v>
      </c>
      <c r="U203" s="4">
        <f>IF(Bases_annexes!$F$5=0,16.6587111018772,0.77*Bases_annexes!$F$5/(IF(OR(ISBLANK('Données_d''entrée'!$E$44),'Données_d''entrée'!$E$44=0),35,'Données_d''entrée'!$E$44)*52))</f>
        <v>16.658711101877199</v>
      </c>
      <c r="V203" s="4">
        <v>0</v>
      </c>
      <c r="W2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3" s="4">
        <v>234.5</v>
      </c>
      <c r="Y203" s="4">
        <f>(Base[[#This Row],['[Maladies']Coûts_évités_par_salarié]]+Base[[#This Row],['[Travail']Coûts_évités_par_salarié]])/Base[[#This Row],[Budget_santé_salarié]]</f>
        <v>0</v>
      </c>
      <c r="Z203" s="4">
        <v>0.8</v>
      </c>
      <c r="AA203" s="4">
        <f>Base[[#This Row],[Coût]]*Base[[#This Row],[Part_société_dépenses_santé]]</f>
        <v>0</v>
      </c>
      <c r="AB203" s="4">
        <v>67635124</v>
      </c>
      <c r="AC203" s="4">
        <v>82.297079063317852</v>
      </c>
      <c r="AD203" s="4">
        <v>0</v>
      </c>
      <c r="AE203" s="4">
        <f>Base[[#This Row],['[SC']Prévalence_travail]]*Base[[#This Row],[Population_emploi]]</f>
        <v>0</v>
      </c>
      <c r="AF203" s="4">
        <f>Base[[#This Row],[Risque]]*Base[[#This Row],['[SC']Patients_en_emploi]]</f>
        <v>0</v>
      </c>
      <c r="AG203" s="4">
        <v>0</v>
      </c>
      <c r="AH203" s="4">
        <f>IFERROR(Base[[#This Row],['[SC']Prestations]]/Base[[#This Row],['[SC']Patients_en_emploi]],0)</f>
        <v>0</v>
      </c>
      <c r="AI203" s="4">
        <v>51.7</v>
      </c>
      <c r="AJ2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3" s="4">
        <f>Base[[#This Row],['[SC']'[Travail']Coûts_évités]]/Base[[#This Row],[Population_emploi]]</f>
        <v>0</v>
      </c>
      <c r="AL203" s="4">
        <f>Base[[#This Row],[Coût_société]]*10^9*Base[[#This Row],[Risque]]*Base[[#This Row],[Prévalence]]*Base[[#This Row],[Part_coûts_salarié]]/Base[[#This Row],[Population_emploi]]</f>
        <v>0</v>
      </c>
      <c r="AM203" s="4">
        <f>IF(Base[[#This Row],[Pathologie]]&lt;&gt;"Dépendance",0,14909.24243952)</f>
        <v>14909.24243952</v>
      </c>
      <c r="AN203" s="4">
        <f>IF(Base[[#This Row],[Pathologie]]&lt;&gt;"Dépendance",0,1316000)</f>
        <v>1316000</v>
      </c>
      <c r="AO203" s="4">
        <f>IF(Base[[#This Row],[Pathologie]]&lt;&gt;"Dépendance",0,Base[[#This Row],['[SC']Coût_personne_dépendante]]*Base[[#This Row],['[SC']Nb_personnes_dépendantes]])</f>
        <v>19620563050.408321</v>
      </c>
      <c r="AP203" s="4">
        <f>IF(Base[[#This Row],[Pathologie]]&lt;&gt;"Dépendance",0,Base[[#This Row],['[SC']Coût_total_dépendance]]/Base[[#This Row],[Population_totale]])</f>
        <v>290.09428666691468</v>
      </c>
      <c r="AQ203" s="4">
        <f>IF(Base[[#This Row],[Pathologie]]&lt;&gt;"Dépendance",0,4.5)</f>
        <v>4.5</v>
      </c>
      <c r="AR203" s="4">
        <v>0.50393265050357905</v>
      </c>
      <c r="AS203" s="4">
        <f>Base[[#This Row],[Espérance_vie]]+Base[[#This Row],['[SC']Hausse_esp_de_vie]]-Base[[#This Row],['[SC']Durée_moyenne_dépendance_avt]]+Base[[#This Row],[Risque]]</f>
        <v>80.54625619626313</v>
      </c>
      <c r="AT2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3" s="4">
        <v>62.9</v>
      </c>
      <c r="AW203" s="4">
        <f t="shared" si="0"/>
        <v>336905600000</v>
      </c>
      <c r="AX203" s="4">
        <v>15049171</v>
      </c>
      <c r="AY203" s="4">
        <f>Base[[#This Row],['[SC']Budget_total_retraites]]/Base[[#This Row],['[SC']Nombre_de_retraités]]</f>
        <v>22386.987296509556</v>
      </c>
      <c r="AZ203" s="4">
        <f>Base[[#This Row],['[SC']Budget_par_retraité]]*Base[[#This Row],['[SC']Nb_personnes_dépendantes]]</f>
        <v>29461275282.206577</v>
      </c>
      <c r="BA203" s="4">
        <f>Base[[#This Row],['[SC']'[Dépendance']Coût_retraite_personnes_dépendantes]]/Base[[#This Row],[Population_totale]]</f>
        <v>435.59135460750508</v>
      </c>
      <c r="BB203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3" s="4">
        <f>Base[[#This Row],['[SC']'[Dépendance']Gains]]-Base[[#This Row],['[SC']'[Dépendance']Coûts]]</f>
        <v>65.612721833346214</v>
      </c>
      <c r="BD203" s="4">
        <f>IF(Base[[#This Row],[Pathologie]]&lt;&gt;"Mort prématurée",0,Base[[#This Row],[Risque]]*Base[[#This Row],[Prévalence]]*Base[[#This Row],[Population_totale]])</f>
        <v>0</v>
      </c>
      <c r="BE203" s="4">
        <v>52.74</v>
      </c>
      <c r="BF203" s="4">
        <f>Base[[#This Row],['[SC']Âge_moyen_retraite]]-Base[[#This Row],['[SC']'[Mort_prématurée']Âge_moyen_mort précoce]]</f>
        <v>10.159999999999997</v>
      </c>
      <c r="BG203" s="4">
        <f>Base[[#This Row],[Espérance_vie]]+Base[[#This Row],['[SC']Hausse_esp_de_vie]]-Base[[#This Row],['[SC']Âge_moyen_retraite]]</f>
        <v>19.90101171382144</v>
      </c>
      <c r="BH203" s="4">
        <v>106583.42676924677</v>
      </c>
      <c r="BI203" s="4">
        <v>97601.789429271477</v>
      </c>
      <c r="BJ203" s="4">
        <v>302038.31496633729</v>
      </c>
      <c r="BK203" s="4">
        <v>117293.58934859755</v>
      </c>
      <c r="BL203" s="4">
        <v>1523999.9999999995</v>
      </c>
      <c r="BM2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3" s="4">
        <v>294804.96027377353</v>
      </c>
      <c r="BO2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3" s="4">
        <f>(Base[[#This Row],['[SC']'[Mort_prématurée']Gains]]-Base[[#This Row],['[SC']'[Mort_prématurée']Coûts]])/Base[[#This Row],[Population_totale]]</f>
        <v>0</v>
      </c>
      <c r="BQ203" s="4">
        <f>IF(Base[[#This Row],[Pathologie]]&lt;&gt;"Mort prématurée",0,Base[[#This Row],[Risque]])</f>
        <v>0</v>
      </c>
      <c r="BR203" s="4">
        <v>2680</v>
      </c>
      <c r="BS2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3" s="4">
        <f>Base[[#This Row],[Prévalence_prod]]*(1-Base[[#This Row],[Risque]])*Base[[#This Row],[Durée_arrêt]]*Base[[#This Row],[Population_emploi]]</f>
        <v>0</v>
      </c>
      <c r="BV203" s="4">
        <f>Base[[#This Row],['[Prod']'[Absentéisme']Total_jours_absence_avant]]-Base[[#This Row],['[Prod']'[Absentéisme']Total_jours_absence_après]]</f>
        <v>0</v>
      </c>
      <c r="BW203" s="4">
        <f>IF(AND(Base[[#This Row],[Pathologie]]&lt;&gt;"Dépendance",Base[[#This Row],[Pathologie]]&lt;&gt;"Mort prématurée",Base[[#This Row],[Pathologie]]&lt;&gt;"Migraine"),0.0619,0)</f>
        <v>0</v>
      </c>
      <c r="BX203" s="4">
        <v>254</v>
      </c>
      <c r="BY20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3" s="4">
        <f>Base[[#This Row],[Prévalence_prod]]*Base[[#This Row],[Présentéisme]]*Base[[#This Row],['[Prod']Jours_ouvrés]]</f>
        <v>0</v>
      </c>
      <c r="CB203" s="4">
        <f>Base[[#This Row],[Prévalence_prod]]*(1-Base[[#This Row],[Risque]])*Base[[#This Row],[Présentéisme]]*Base[[#This Row],['[Prod']Jours_ouvrés]]</f>
        <v>0</v>
      </c>
      <c r="CC203" s="4">
        <f>Base[[#This Row],['[Prod']'[Présentéisme']Jours_avant]]-Base[[#This Row],['[Prod']'[Présentéisme']Jours_après]]</f>
        <v>0</v>
      </c>
      <c r="CD203" s="4">
        <f>Base[[#This Row],['[Prod']'[Présentéisme']Jours_gagnés]]/Base[[#This Row],['[Prod']Jours_ouvrés]]</f>
        <v>0</v>
      </c>
      <c r="CE203">
        <v>5.8333039429220801E-2</v>
      </c>
      <c r="CF203">
        <v>1.4658164114728258E-2</v>
      </c>
      <c r="CG203" s="4">
        <v>11</v>
      </c>
      <c r="CH203" s="4">
        <v>0.85274500894619554</v>
      </c>
      <c r="CI203" s="4">
        <v>4.2903496994109176E-2</v>
      </c>
      <c r="CJ203" s="4">
        <f>IF(Base[[#This Row],[Secteur]]&lt;&gt;"Moyenne",Base[[#This Row],['[Prod']'[Turnover']DMC_initiale]]*(1+Base[[#This Row],['[Prod']'[Turnover']Ecart_accidents]]*Base[[#This Row],['[Prod']Impact_motifs_turnover]]),CJ186*CI186+CJ187*CI187+CJ188*CI188+CJ189*CI189+CJ190*CI190+CJ191*CI191+CJ192*CI192+CJ193*CI193+CJ194*CI194+CJ195*CI195+CJ196*CI196+CJ197*CI197+CJ198*CI198+CJ199*CI199+CJ200*CI200+CJ201*CI201+CJ202*CI202)</f>
        <v>11.137496439180635</v>
      </c>
      <c r="CK203" s="4">
        <f>1/Base[[#This Row],['[Prod']'[Turnover']DMC_initiale]]</f>
        <v>9.0909090909090912E-2</v>
      </c>
      <c r="CL203" s="4">
        <f>1/Base[[#This Row],['[Prod']'[Turnover']DMC_finale]]</f>
        <v>8.9786785159553156E-2</v>
      </c>
    </row>
    <row r="204" spans="2:90" x14ac:dyDescent="0.25">
      <c r="B204" s="4" t="s">
        <v>322</v>
      </c>
      <c r="C204">
        <v>7.5</v>
      </c>
      <c r="D204" t="s">
        <v>84</v>
      </c>
      <c r="E204" t="s">
        <v>42</v>
      </c>
      <c r="F204" s="3">
        <v>2.2452444824416888</v>
      </c>
      <c r="G204" s="3">
        <v>0.371</v>
      </c>
      <c r="H204" s="3">
        <v>0.371</v>
      </c>
      <c r="I204" s="3">
        <v>0</v>
      </c>
      <c r="J204" s="3">
        <v>0</v>
      </c>
      <c r="K204" s="3">
        <v>7.0000000000000007E-2</v>
      </c>
      <c r="L204" s="2">
        <f>Base[[#This Row],[Coût]]*Base[[#This Row],[Part_ménages_dépenses_santé]]</f>
        <v>0</v>
      </c>
      <c r="M204" s="2">
        <v>0</v>
      </c>
      <c r="N204" s="6">
        <v>27700000</v>
      </c>
      <c r="O204" s="7">
        <f>Base[[#This Row],[Coût_salarié]]*10^9*Base[[#This Row],[Risque]]*Base[[#This Row],[Prévalence]]*Base[[#This Row],[Part_coûts_salarié]]/Base[[#This Row],[Population_emploi]]</f>
        <v>0</v>
      </c>
      <c r="P204">
        <v>50</v>
      </c>
      <c r="Q204">
        <v>50</v>
      </c>
      <c r="R204" s="2">
        <v>9.9999999999999978E-2</v>
      </c>
      <c r="S204" s="2">
        <v>0.33340000000000003</v>
      </c>
      <c r="T204" s="4">
        <v>0</v>
      </c>
      <c r="U204" s="4">
        <f>IF(Bases_annexes!$F$5=0,16.6587111018772,0.77*Bases_annexes!$F$5/(IF(OR(ISBLANK('Données_d''entrée'!$E$44),'Données_d''entrée'!$E$44=0),35,'Données_d''entrée'!$E$44)*52))</f>
        <v>16.658711101877199</v>
      </c>
      <c r="V204" s="4">
        <v>0</v>
      </c>
      <c r="W2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4" s="4">
        <v>234.5</v>
      </c>
      <c r="Y204" s="4">
        <f>(Base[[#This Row],['[Maladies']Coûts_évités_par_salarié]]+Base[[#This Row],['[Travail']Coûts_évités_par_salarié]])/Base[[#This Row],[Budget_santé_salarié]]</f>
        <v>0</v>
      </c>
      <c r="Z204" s="4">
        <v>0.8</v>
      </c>
      <c r="AA204" s="4">
        <f>Base[[#This Row],[Coût]]*Base[[#This Row],[Part_société_dépenses_santé]]</f>
        <v>0</v>
      </c>
      <c r="AB204" s="4">
        <v>67635124</v>
      </c>
      <c r="AC204" s="4">
        <v>82.297079063317852</v>
      </c>
      <c r="AD204" s="4">
        <v>0</v>
      </c>
      <c r="AE204" s="4">
        <f>Base[[#This Row],['[SC']Prévalence_travail]]*Base[[#This Row],[Population_emploi]]</f>
        <v>0</v>
      </c>
      <c r="AF204" s="4">
        <f>Base[[#This Row],[Risque]]*Base[[#This Row],['[SC']Patients_en_emploi]]</f>
        <v>0</v>
      </c>
      <c r="AG204" s="4">
        <v>0</v>
      </c>
      <c r="AH204" s="4">
        <f>IFERROR(Base[[#This Row],['[SC']Prestations]]/Base[[#This Row],['[SC']Patients_en_emploi]],0)</f>
        <v>0</v>
      </c>
      <c r="AI204" s="4">
        <v>51.7</v>
      </c>
      <c r="AJ2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4" s="4">
        <f>Base[[#This Row],['[SC']'[Travail']Coûts_évités]]/Base[[#This Row],[Population_emploi]]</f>
        <v>0</v>
      </c>
      <c r="AL204" s="4">
        <f>Base[[#This Row],[Coût_société]]*10^9*Base[[#This Row],[Risque]]*Base[[#This Row],[Prévalence]]*Base[[#This Row],[Part_coûts_salarié]]/Base[[#This Row],[Population_emploi]]</f>
        <v>0</v>
      </c>
      <c r="AM204" s="4">
        <f>IF(Base[[#This Row],[Pathologie]]&lt;&gt;"Dépendance",0,14909.24243952)</f>
        <v>14909.24243952</v>
      </c>
      <c r="AN204" s="4">
        <f>IF(Base[[#This Row],[Pathologie]]&lt;&gt;"Dépendance",0,1316000)</f>
        <v>1316000</v>
      </c>
      <c r="AO204" s="4">
        <f>IF(Base[[#This Row],[Pathologie]]&lt;&gt;"Dépendance",0,Base[[#This Row],['[SC']Coût_personne_dépendante]]*Base[[#This Row],['[SC']Nb_personnes_dépendantes]])</f>
        <v>19620563050.408321</v>
      </c>
      <c r="AP204" s="4">
        <f>IF(Base[[#This Row],[Pathologie]]&lt;&gt;"Dépendance",0,Base[[#This Row],['[SC']Coût_total_dépendance]]/Base[[#This Row],[Population_totale]])</f>
        <v>290.09428666691468</v>
      </c>
      <c r="AQ204" s="4">
        <f>IF(Base[[#This Row],[Pathologie]]&lt;&gt;"Dépendance",0,4.5)</f>
        <v>4.5</v>
      </c>
      <c r="AR204" s="4">
        <v>0.50393265050357905</v>
      </c>
      <c r="AS204" s="4">
        <f>Base[[#This Row],[Espérance_vie]]+Base[[#This Row],['[SC']Hausse_esp_de_vie]]-Base[[#This Row],['[SC']Durée_moyenne_dépendance_avt]]+Base[[#This Row],[Risque]]</f>
        <v>80.54625619626313</v>
      </c>
      <c r="AT2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4" s="4">
        <v>62.9</v>
      </c>
      <c r="AW204" s="4">
        <f t="shared" si="0"/>
        <v>336905600000</v>
      </c>
      <c r="AX204" s="4">
        <v>15049171</v>
      </c>
      <c r="AY204" s="4">
        <f>Base[[#This Row],['[SC']Budget_total_retraites]]/Base[[#This Row],['[SC']Nombre_de_retraités]]</f>
        <v>22386.987296509556</v>
      </c>
      <c r="AZ204" s="4">
        <f>Base[[#This Row],['[SC']Budget_par_retraité]]*Base[[#This Row],['[SC']Nb_personnes_dépendantes]]</f>
        <v>29461275282.206577</v>
      </c>
      <c r="BA204" s="4">
        <f>Base[[#This Row],['[SC']'[Dépendance']Coût_retraite_personnes_dépendantes]]/Base[[#This Row],[Population_totale]]</f>
        <v>435.59135460750508</v>
      </c>
      <c r="BB204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4" s="4">
        <f>Base[[#This Row],['[SC']'[Dépendance']Gains]]-Base[[#This Row],['[SC']'[Dépendance']Coûts]]</f>
        <v>65.612721833346214</v>
      </c>
      <c r="BD204" s="4">
        <f>IF(Base[[#This Row],[Pathologie]]&lt;&gt;"Mort prématurée",0,Base[[#This Row],[Risque]]*Base[[#This Row],[Prévalence]]*Base[[#This Row],[Population_totale]])</f>
        <v>0</v>
      </c>
      <c r="BE204" s="4">
        <v>52.74</v>
      </c>
      <c r="BF204" s="4">
        <f>Base[[#This Row],['[SC']Âge_moyen_retraite]]-Base[[#This Row],['[SC']'[Mort_prématurée']Âge_moyen_mort précoce]]</f>
        <v>10.159999999999997</v>
      </c>
      <c r="BG204" s="4">
        <f>Base[[#This Row],[Espérance_vie]]+Base[[#This Row],['[SC']Hausse_esp_de_vie]]-Base[[#This Row],['[SC']Âge_moyen_retraite]]</f>
        <v>19.90101171382144</v>
      </c>
      <c r="BH204" s="4">
        <v>106583.42676924677</v>
      </c>
      <c r="BI204" s="4">
        <v>97601.789429271477</v>
      </c>
      <c r="BJ204" s="4">
        <v>302038.31496633729</v>
      </c>
      <c r="BK204" s="4">
        <v>117293.58934859755</v>
      </c>
      <c r="BL204" s="4">
        <v>1523999.9999999995</v>
      </c>
      <c r="BM2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4" s="4">
        <v>294804.96027377353</v>
      </c>
      <c r="BO2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4" s="4">
        <f>(Base[[#This Row],['[SC']'[Mort_prématurée']Gains]]-Base[[#This Row],['[SC']'[Mort_prématurée']Coûts]])/Base[[#This Row],[Population_totale]]</f>
        <v>0</v>
      </c>
      <c r="BQ204" s="4">
        <f>IF(Base[[#This Row],[Pathologie]]&lt;&gt;"Mort prématurée",0,Base[[#This Row],[Risque]])</f>
        <v>0</v>
      </c>
      <c r="BR204" s="4">
        <v>2680</v>
      </c>
      <c r="BS2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4" s="4">
        <f>Base[[#This Row],[Prévalence_prod]]*(1-Base[[#This Row],[Risque]])*Base[[#This Row],[Durée_arrêt]]*Base[[#This Row],[Population_emploi]]</f>
        <v>0</v>
      </c>
      <c r="BV204" s="4">
        <f>Base[[#This Row],['[Prod']'[Absentéisme']Total_jours_absence_avant]]-Base[[#This Row],['[Prod']'[Absentéisme']Total_jours_absence_après]]</f>
        <v>0</v>
      </c>
      <c r="BW204" s="4">
        <f>IF(AND(Base[[#This Row],[Pathologie]]&lt;&gt;"Dépendance",Base[[#This Row],[Pathologie]]&lt;&gt;"Mort prématurée",Base[[#This Row],[Pathologie]]&lt;&gt;"Migraine"),0.0619,0)</f>
        <v>0</v>
      </c>
      <c r="BX204" s="4">
        <v>254</v>
      </c>
      <c r="BY20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4" s="4">
        <f>Base[[#This Row],[Prévalence_prod]]*Base[[#This Row],[Présentéisme]]*Base[[#This Row],['[Prod']Jours_ouvrés]]</f>
        <v>0</v>
      </c>
      <c r="CB204" s="4">
        <f>Base[[#This Row],[Prévalence_prod]]*(1-Base[[#This Row],[Risque]])*Base[[#This Row],[Présentéisme]]*Base[[#This Row],['[Prod']Jours_ouvrés]]</f>
        <v>0</v>
      </c>
      <c r="CC204" s="4">
        <f>Base[[#This Row],['[Prod']'[Présentéisme']Jours_avant]]-Base[[#This Row],['[Prod']'[Présentéisme']Jours_après]]</f>
        <v>0</v>
      </c>
      <c r="CD204" s="4">
        <f>Base[[#This Row],['[Prod']'[Présentéisme']Jours_gagnés]]/Base[[#This Row],['[Prod']Jours_ouvrés]]</f>
        <v>0</v>
      </c>
      <c r="CE204">
        <v>5.8333039429220801E-2</v>
      </c>
      <c r="CF204">
        <v>1.4658164114728258E-2</v>
      </c>
      <c r="CG204" s="4">
        <v>11</v>
      </c>
      <c r="CH204" s="4">
        <v>1.6219398392978641</v>
      </c>
      <c r="CI204" s="4">
        <v>9.628527536862988E-2</v>
      </c>
      <c r="CJ204" s="4">
        <f>IF(Base[[#This Row],[Secteur]]&lt;&gt;"Moyenne",Base[[#This Row],['[Prod']'[Turnover']DMC_initiale]]*(1+Base[[#This Row],['[Prod']'[Turnover']Ecart_accidents]]*Base[[#This Row],['[Prod']Impact_motifs_turnover]]),CJ187*CI187+CJ188*CI188+CJ189*CI189+CJ190*CI190+CJ191*CI191+CJ192*CI192+CJ193*CI193+CJ194*CI194+CJ195*CI195+CJ196*CI196+CJ197*CI197+CJ198*CI198+CJ199*CI199+CJ200*CI200+CJ201*CI201+CJ202*CI202+CJ203*CI203)</f>
        <v>11.261521263835085</v>
      </c>
      <c r="CK204" s="4">
        <f>1/Base[[#This Row],['[Prod']'[Turnover']DMC_initiale]]</f>
        <v>9.0909090909090912E-2</v>
      </c>
      <c r="CL204" s="4">
        <f>1/Base[[#This Row],['[Prod']'[Turnover']DMC_finale]]</f>
        <v>8.8797949812639457E-2</v>
      </c>
    </row>
    <row r="205" spans="2:90" x14ac:dyDescent="0.25">
      <c r="B205" s="4" t="s">
        <v>323</v>
      </c>
      <c r="C205">
        <v>7.5</v>
      </c>
      <c r="D205" t="s">
        <v>84</v>
      </c>
      <c r="E205" t="s">
        <v>42</v>
      </c>
      <c r="F205" s="3">
        <v>2.2452444824416888</v>
      </c>
      <c r="G205" s="3">
        <v>0.371</v>
      </c>
      <c r="H205" s="3">
        <v>0.371</v>
      </c>
      <c r="I205" s="3">
        <v>0</v>
      </c>
      <c r="J205" s="3">
        <v>0</v>
      </c>
      <c r="K205" s="3">
        <v>7.0000000000000007E-2</v>
      </c>
      <c r="L205" s="2">
        <f>Base[[#This Row],[Coût]]*Base[[#This Row],[Part_ménages_dépenses_santé]]</f>
        <v>0</v>
      </c>
      <c r="M205" s="2">
        <v>0</v>
      </c>
      <c r="N205" s="6">
        <v>27700000</v>
      </c>
      <c r="O205" s="7">
        <f>Base[[#This Row],[Coût_salarié]]*10^9*Base[[#This Row],[Risque]]*Base[[#This Row],[Prévalence]]*Base[[#This Row],[Part_coûts_salarié]]/Base[[#This Row],[Population_emploi]]</f>
        <v>0</v>
      </c>
      <c r="P205">
        <v>50</v>
      </c>
      <c r="Q205">
        <v>50</v>
      </c>
      <c r="R205" s="2">
        <v>9.9999999999999978E-2</v>
      </c>
      <c r="S205" s="2">
        <v>0.33340000000000003</v>
      </c>
      <c r="T205" s="4">
        <v>0</v>
      </c>
      <c r="U205" s="4">
        <f>IF(Bases_annexes!$F$5=0,16.6587111018772,0.77*Bases_annexes!$F$5/(IF(OR(ISBLANK('Données_d''entrée'!$E$44),'Données_d''entrée'!$E$44=0),35,'Données_d''entrée'!$E$44)*52))</f>
        <v>16.658711101877199</v>
      </c>
      <c r="V205" s="4">
        <v>0</v>
      </c>
      <c r="W2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5" s="4">
        <v>234.5</v>
      </c>
      <c r="Y205" s="4">
        <f>(Base[[#This Row],['[Maladies']Coûts_évités_par_salarié]]+Base[[#This Row],['[Travail']Coûts_évités_par_salarié]])/Base[[#This Row],[Budget_santé_salarié]]</f>
        <v>0</v>
      </c>
      <c r="Z205" s="4">
        <v>0.8</v>
      </c>
      <c r="AA205" s="4">
        <f>Base[[#This Row],[Coût]]*Base[[#This Row],[Part_société_dépenses_santé]]</f>
        <v>0</v>
      </c>
      <c r="AB205" s="4">
        <v>67635124</v>
      </c>
      <c r="AC205" s="4">
        <v>82.297079063317852</v>
      </c>
      <c r="AD205" s="4">
        <v>0</v>
      </c>
      <c r="AE205" s="4">
        <f>Base[[#This Row],['[SC']Prévalence_travail]]*Base[[#This Row],[Population_emploi]]</f>
        <v>0</v>
      </c>
      <c r="AF205" s="4">
        <f>Base[[#This Row],[Risque]]*Base[[#This Row],['[SC']Patients_en_emploi]]</f>
        <v>0</v>
      </c>
      <c r="AG205" s="4">
        <v>0</v>
      </c>
      <c r="AH205" s="4">
        <f>IFERROR(Base[[#This Row],['[SC']Prestations]]/Base[[#This Row],['[SC']Patients_en_emploi]],0)</f>
        <v>0</v>
      </c>
      <c r="AI205" s="4">
        <v>51.7</v>
      </c>
      <c r="AJ2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5" s="4">
        <f>Base[[#This Row],['[SC']'[Travail']Coûts_évités]]/Base[[#This Row],[Population_emploi]]</f>
        <v>0</v>
      </c>
      <c r="AL205" s="4">
        <f>Base[[#This Row],[Coût_société]]*10^9*Base[[#This Row],[Risque]]*Base[[#This Row],[Prévalence]]*Base[[#This Row],[Part_coûts_salarié]]/Base[[#This Row],[Population_emploi]]</f>
        <v>0</v>
      </c>
      <c r="AM205" s="4">
        <f>IF(Base[[#This Row],[Pathologie]]&lt;&gt;"Dépendance",0,14909.24243952)</f>
        <v>14909.24243952</v>
      </c>
      <c r="AN205" s="4">
        <f>IF(Base[[#This Row],[Pathologie]]&lt;&gt;"Dépendance",0,1316000)</f>
        <v>1316000</v>
      </c>
      <c r="AO205" s="4">
        <f>IF(Base[[#This Row],[Pathologie]]&lt;&gt;"Dépendance",0,Base[[#This Row],['[SC']Coût_personne_dépendante]]*Base[[#This Row],['[SC']Nb_personnes_dépendantes]])</f>
        <v>19620563050.408321</v>
      </c>
      <c r="AP205" s="4">
        <f>IF(Base[[#This Row],[Pathologie]]&lt;&gt;"Dépendance",0,Base[[#This Row],['[SC']Coût_total_dépendance]]/Base[[#This Row],[Population_totale]])</f>
        <v>290.09428666691468</v>
      </c>
      <c r="AQ205" s="4">
        <f>IF(Base[[#This Row],[Pathologie]]&lt;&gt;"Dépendance",0,4.5)</f>
        <v>4.5</v>
      </c>
      <c r="AR205" s="4">
        <v>0.50393265050357905</v>
      </c>
      <c r="AS205" s="4">
        <f>Base[[#This Row],[Espérance_vie]]+Base[[#This Row],['[SC']Hausse_esp_de_vie]]-Base[[#This Row],['[SC']Durée_moyenne_dépendance_avt]]+Base[[#This Row],[Risque]]</f>
        <v>80.54625619626313</v>
      </c>
      <c r="AT2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5" s="4">
        <v>62.9</v>
      </c>
      <c r="AW205" s="4">
        <f t="shared" si="0"/>
        <v>336905600000</v>
      </c>
      <c r="AX205" s="4">
        <v>15049171</v>
      </c>
      <c r="AY205" s="4">
        <f>Base[[#This Row],['[SC']Budget_total_retraites]]/Base[[#This Row],['[SC']Nombre_de_retraités]]</f>
        <v>22386.987296509556</v>
      </c>
      <c r="AZ205" s="4">
        <f>Base[[#This Row],['[SC']Budget_par_retraité]]*Base[[#This Row],['[SC']Nb_personnes_dépendantes]]</f>
        <v>29461275282.206577</v>
      </c>
      <c r="BA205" s="4">
        <f>Base[[#This Row],['[SC']'[Dépendance']Coût_retraite_personnes_dépendantes]]/Base[[#This Row],[Population_totale]]</f>
        <v>435.59135460750508</v>
      </c>
      <c r="BB205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5" s="4">
        <f>Base[[#This Row],['[SC']'[Dépendance']Gains]]-Base[[#This Row],['[SC']'[Dépendance']Coûts]]</f>
        <v>65.612721833346214</v>
      </c>
      <c r="BD205" s="4">
        <f>IF(Base[[#This Row],[Pathologie]]&lt;&gt;"Mort prématurée",0,Base[[#This Row],[Risque]]*Base[[#This Row],[Prévalence]]*Base[[#This Row],[Population_totale]])</f>
        <v>0</v>
      </c>
      <c r="BE205" s="4">
        <v>52.74</v>
      </c>
      <c r="BF205" s="4">
        <f>Base[[#This Row],['[SC']Âge_moyen_retraite]]-Base[[#This Row],['[SC']'[Mort_prématurée']Âge_moyen_mort précoce]]</f>
        <v>10.159999999999997</v>
      </c>
      <c r="BG205" s="4">
        <f>Base[[#This Row],[Espérance_vie]]+Base[[#This Row],['[SC']Hausse_esp_de_vie]]-Base[[#This Row],['[SC']Âge_moyen_retraite]]</f>
        <v>19.90101171382144</v>
      </c>
      <c r="BH205" s="4">
        <v>106583.42676924677</v>
      </c>
      <c r="BI205" s="4">
        <v>97601.789429271477</v>
      </c>
      <c r="BJ205" s="4">
        <v>302038.31496633729</v>
      </c>
      <c r="BK205" s="4">
        <v>117293.58934859755</v>
      </c>
      <c r="BL205" s="4">
        <v>1523999.9999999995</v>
      </c>
      <c r="BM2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5" s="4">
        <v>294804.96027377353</v>
      </c>
      <c r="BO2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5" s="4">
        <f>(Base[[#This Row],['[SC']'[Mort_prématurée']Gains]]-Base[[#This Row],['[SC']'[Mort_prématurée']Coûts]])/Base[[#This Row],[Population_totale]]</f>
        <v>0</v>
      </c>
      <c r="BQ205" s="4">
        <f>IF(Base[[#This Row],[Pathologie]]&lt;&gt;"Mort prématurée",0,Base[[#This Row],[Risque]])</f>
        <v>0</v>
      </c>
      <c r="BR205" s="4">
        <v>2680</v>
      </c>
      <c r="BS2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5" s="4">
        <f>Base[[#This Row],[Prévalence_prod]]*(1-Base[[#This Row],[Risque]])*Base[[#This Row],[Durée_arrêt]]*Base[[#This Row],[Population_emploi]]</f>
        <v>0</v>
      </c>
      <c r="BV205" s="4">
        <f>Base[[#This Row],['[Prod']'[Absentéisme']Total_jours_absence_avant]]-Base[[#This Row],['[Prod']'[Absentéisme']Total_jours_absence_après]]</f>
        <v>0</v>
      </c>
      <c r="BW205" s="4">
        <f>IF(AND(Base[[#This Row],[Pathologie]]&lt;&gt;"Dépendance",Base[[#This Row],[Pathologie]]&lt;&gt;"Mort prématurée",Base[[#This Row],[Pathologie]]&lt;&gt;"Migraine"),0.0619,0)</f>
        <v>0</v>
      </c>
      <c r="BX205" s="4">
        <v>254</v>
      </c>
      <c r="BY20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5" s="4">
        <f>Base[[#This Row],[Prévalence_prod]]*Base[[#This Row],[Présentéisme]]*Base[[#This Row],['[Prod']Jours_ouvrés]]</f>
        <v>0</v>
      </c>
      <c r="CB205" s="4">
        <f>Base[[#This Row],[Prévalence_prod]]*(1-Base[[#This Row],[Risque]])*Base[[#This Row],[Présentéisme]]*Base[[#This Row],['[Prod']Jours_ouvrés]]</f>
        <v>0</v>
      </c>
      <c r="CC205" s="4">
        <f>Base[[#This Row],['[Prod']'[Présentéisme']Jours_avant]]-Base[[#This Row],['[Prod']'[Présentéisme']Jours_après]]</f>
        <v>0</v>
      </c>
      <c r="CD205" s="4">
        <f>Base[[#This Row],['[Prod']'[Présentéisme']Jours_gagnés]]/Base[[#This Row],['[Prod']Jours_ouvrés]]</f>
        <v>0</v>
      </c>
      <c r="CE205">
        <v>5.8333039429220801E-2</v>
      </c>
      <c r="CF205">
        <v>1.4658164114728258E-2</v>
      </c>
      <c r="CG205" s="4">
        <v>11</v>
      </c>
      <c r="CH205" s="4">
        <v>0.96913802401210614</v>
      </c>
      <c r="CI205" s="4">
        <v>0.10293966445307301</v>
      </c>
      <c r="CJ205" s="4">
        <f>IF(Base[[#This Row],[Secteur]]&lt;&gt;"Moyenne",Base[[#This Row],['[Prod']'[Turnover']DMC_initiale]]*(1+Base[[#This Row],['[Prod']'[Turnover']Ecart_accidents]]*Base[[#This Row],['[Prod']Impact_motifs_turnover]]),CJ188*CI188+CJ189*CI189+CJ190*CI190+CJ191*CI191+CJ192*CI192+CJ193*CI193+CJ194*CI194+CJ195*CI195+CJ196*CI196+CJ197*CI197+CJ198*CI198+CJ199*CI199+CJ200*CI200+CJ201*CI201+CJ202*CI202+CJ203*CI203+CJ204*CI204)</f>
        <v>11.156263626263723</v>
      </c>
      <c r="CK205" s="4">
        <f>1/Base[[#This Row],['[Prod']'[Turnover']DMC_initiale]]</f>
        <v>9.0909090909090912E-2</v>
      </c>
      <c r="CL205" s="4">
        <f>1/Base[[#This Row],['[Prod']'[Turnover']DMC_finale]]</f>
        <v>8.9635744860477456E-2</v>
      </c>
    </row>
    <row r="206" spans="2:90" x14ac:dyDescent="0.25">
      <c r="B206" s="4" t="s">
        <v>324</v>
      </c>
      <c r="C206">
        <v>7.5</v>
      </c>
      <c r="D206" t="s">
        <v>84</v>
      </c>
      <c r="E206" t="s">
        <v>42</v>
      </c>
      <c r="F206" s="3">
        <v>2.2452444824416888</v>
      </c>
      <c r="G206" s="3">
        <v>0.371</v>
      </c>
      <c r="H206" s="3">
        <v>0.371</v>
      </c>
      <c r="I206" s="3">
        <v>0</v>
      </c>
      <c r="J206" s="3">
        <v>0</v>
      </c>
      <c r="K206" s="3">
        <v>7.0000000000000007E-2</v>
      </c>
      <c r="L206" s="2">
        <f>Base[[#This Row],[Coût]]*Base[[#This Row],[Part_ménages_dépenses_santé]]</f>
        <v>0</v>
      </c>
      <c r="M206" s="2">
        <v>0</v>
      </c>
      <c r="N206" s="6">
        <v>27700000</v>
      </c>
      <c r="O206" s="7">
        <f>Base[[#This Row],[Coût_salarié]]*10^9*Base[[#This Row],[Risque]]*Base[[#This Row],[Prévalence]]*Base[[#This Row],[Part_coûts_salarié]]/Base[[#This Row],[Population_emploi]]</f>
        <v>0</v>
      </c>
      <c r="P206">
        <v>50</v>
      </c>
      <c r="Q206">
        <v>50</v>
      </c>
      <c r="R206" s="2">
        <v>9.9999999999999978E-2</v>
      </c>
      <c r="S206" s="2">
        <v>0.33340000000000003</v>
      </c>
      <c r="T206" s="4">
        <v>0</v>
      </c>
      <c r="U206" s="4">
        <f>IF(Bases_annexes!$F$5=0,16.6587111018772,0.77*Bases_annexes!$F$5/(IF(OR(ISBLANK('Données_d''entrée'!$E$44),'Données_d''entrée'!$E$44=0),35,'Données_d''entrée'!$E$44)*52))</f>
        <v>16.658711101877199</v>
      </c>
      <c r="V206" s="4">
        <v>0</v>
      </c>
      <c r="W2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6" s="4">
        <v>234.5</v>
      </c>
      <c r="Y206" s="4">
        <f>(Base[[#This Row],['[Maladies']Coûts_évités_par_salarié]]+Base[[#This Row],['[Travail']Coûts_évités_par_salarié]])/Base[[#This Row],[Budget_santé_salarié]]</f>
        <v>0</v>
      </c>
      <c r="Z206" s="4">
        <v>0.8</v>
      </c>
      <c r="AA206" s="4">
        <f>Base[[#This Row],[Coût]]*Base[[#This Row],[Part_société_dépenses_santé]]</f>
        <v>0</v>
      </c>
      <c r="AB206" s="4">
        <v>67635124</v>
      </c>
      <c r="AC206" s="4">
        <v>82.297079063317852</v>
      </c>
      <c r="AD206" s="4">
        <v>0</v>
      </c>
      <c r="AE206" s="4">
        <f>Base[[#This Row],['[SC']Prévalence_travail]]*Base[[#This Row],[Population_emploi]]</f>
        <v>0</v>
      </c>
      <c r="AF206" s="4">
        <f>Base[[#This Row],[Risque]]*Base[[#This Row],['[SC']Patients_en_emploi]]</f>
        <v>0</v>
      </c>
      <c r="AG206" s="4">
        <v>0</v>
      </c>
      <c r="AH206" s="4">
        <f>IFERROR(Base[[#This Row],['[SC']Prestations]]/Base[[#This Row],['[SC']Patients_en_emploi]],0)</f>
        <v>0</v>
      </c>
      <c r="AI206" s="4">
        <v>51.7</v>
      </c>
      <c r="AJ2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6" s="4">
        <f>Base[[#This Row],['[SC']'[Travail']Coûts_évités]]/Base[[#This Row],[Population_emploi]]</f>
        <v>0</v>
      </c>
      <c r="AL206" s="4">
        <f>Base[[#This Row],[Coût_société]]*10^9*Base[[#This Row],[Risque]]*Base[[#This Row],[Prévalence]]*Base[[#This Row],[Part_coûts_salarié]]/Base[[#This Row],[Population_emploi]]</f>
        <v>0</v>
      </c>
      <c r="AM206" s="4">
        <f>IF(Base[[#This Row],[Pathologie]]&lt;&gt;"Dépendance",0,14909.24243952)</f>
        <v>14909.24243952</v>
      </c>
      <c r="AN206" s="4">
        <f>IF(Base[[#This Row],[Pathologie]]&lt;&gt;"Dépendance",0,1316000)</f>
        <v>1316000</v>
      </c>
      <c r="AO206" s="4">
        <f>IF(Base[[#This Row],[Pathologie]]&lt;&gt;"Dépendance",0,Base[[#This Row],['[SC']Coût_personne_dépendante]]*Base[[#This Row],['[SC']Nb_personnes_dépendantes]])</f>
        <v>19620563050.408321</v>
      </c>
      <c r="AP206" s="4">
        <f>IF(Base[[#This Row],[Pathologie]]&lt;&gt;"Dépendance",0,Base[[#This Row],['[SC']Coût_total_dépendance]]/Base[[#This Row],[Population_totale]])</f>
        <v>290.09428666691468</v>
      </c>
      <c r="AQ206" s="4">
        <f>IF(Base[[#This Row],[Pathologie]]&lt;&gt;"Dépendance",0,4.5)</f>
        <v>4.5</v>
      </c>
      <c r="AR206" s="4">
        <v>0.50393265050357905</v>
      </c>
      <c r="AS206" s="4">
        <f>Base[[#This Row],[Espérance_vie]]+Base[[#This Row],['[SC']Hausse_esp_de_vie]]-Base[[#This Row],['[SC']Durée_moyenne_dépendance_avt]]+Base[[#This Row],[Risque]]</f>
        <v>80.54625619626313</v>
      </c>
      <c r="AT2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6" s="4">
        <v>62.9</v>
      </c>
      <c r="AW206" s="4">
        <f t="shared" si="0"/>
        <v>336905600000</v>
      </c>
      <c r="AX206" s="4">
        <v>15049171</v>
      </c>
      <c r="AY206" s="4">
        <f>Base[[#This Row],['[SC']Budget_total_retraites]]/Base[[#This Row],['[SC']Nombre_de_retraités]]</f>
        <v>22386.987296509556</v>
      </c>
      <c r="AZ206" s="4">
        <f>Base[[#This Row],['[SC']Budget_par_retraité]]*Base[[#This Row],['[SC']Nb_personnes_dépendantes]]</f>
        <v>29461275282.206577</v>
      </c>
      <c r="BA206" s="4">
        <f>Base[[#This Row],['[SC']'[Dépendance']Coût_retraite_personnes_dépendantes]]/Base[[#This Row],[Population_totale]]</f>
        <v>435.59135460750508</v>
      </c>
      <c r="BB206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6" s="4">
        <f>Base[[#This Row],['[SC']'[Dépendance']Gains]]-Base[[#This Row],['[SC']'[Dépendance']Coûts]]</f>
        <v>65.612721833346214</v>
      </c>
      <c r="BD206" s="4">
        <f>IF(Base[[#This Row],[Pathologie]]&lt;&gt;"Mort prématurée",0,Base[[#This Row],[Risque]]*Base[[#This Row],[Prévalence]]*Base[[#This Row],[Population_totale]])</f>
        <v>0</v>
      </c>
      <c r="BE206" s="4">
        <v>52.74</v>
      </c>
      <c r="BF206" s="4">
        <f>Base[[#This Row],['[SC']Âge_moyen_retraite]]-Base[[#This Row],['[SC']'[Mort_prématurée']Âge_moyen_mort précoce]]</f>
        <v>10.159999999999997</v>
      </c>
      <c r="BG206" s="4">
        <f>Base[[#This Row],[Espérance_vie]]+Base[[#This Row],['[SC']Hausse_esp_de_vie]]-Base[[#This Row],['[SC']Âge_moyen_retraite]]</f>
        <v>19.90101171382144</v>
      </c>
      <c r="BH206" s="4">
        <v>106583.42676924677</v>
      </c>
      <c r="BI206" s="4">
        <v>97601.789429271477</v>
      </c>
      <c r="BJ206" s="4">
        <v>302038.31496633729</v>
      </c>
      <c r="BK206" s="4">
        <v>117293.58934859755</v>
      </c>
      <c r="BL206" s="4">
        <v>1523999.9999999995</v>
      </c>
      <c r="BM2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6" s="4">
        <v>294804.96027377353</v>
      </c>
      <c r="BO2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6" s="4">
        <f>(Base[[#This Row],['[SC']'[Mort_prématurée']Gains]]-Base[[#This Row],['[SC']'[Mort_prématurée']Coûts]])/Base[[#This Row],[Population_totale]]</f>
        <v>0</v>
      </c>
      <c r="BQ206" s="4">
        <f>IF(Base[[#This Row],[Pathologie]]&lt;&gt;"Mort prématurée",0,Base[[#This Row],[Risque]])</f>
        <v>0</v>
      </c>
      <c r="BR206" s="4">
        <v>2680</v>
      </c>
      <c r="BS2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6" s="4">
        <f>Base[[#This Row],[Prévalence_prod]]*(1-Base[[#This Row],[Risque]])*Base[[#This Row],[Durée_arrêt]]*Base[[#This Row],[Population_emploi]]</f>
        <v>0</v>
      </c>
      <c r="BV206" s="4">
        <f>Base[[#This Row],['[Prod']'[Absentéisme']Total_jours_absence_avant]]-Base[[#This Row],['[Prod']'[Absentéisme']Total_jours_absence_après]]</f>
        <v>0</v>
      </c>
      <c r="BW206" s="4">
        <f>IF(AND(Base[[#This Row],[Pathologie]]&lt;&gt;"Dépendance",Base[[#This Row],[Pathologie]]&lt;&gt;"Mort prématurée",Base[[#This Row],[Pathologie]]&lt;&gt;"Migraine"),0.0619,0)</f>
        <v>0</v>
      </c>
      <c r="BX206" s="4">
        <v>254</v>
      </c>
      <c r="BY20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6" s="4">
        <f>Base[[#This Row],[Prévalence_prod]]*Base[[#This Row],[Présentéisme]]*Base[[#This Row],['[Prod']Jours_ouvrés]]</f>
        <v>0</v>
      </c>
      <c r="CB206" s="4">
        <f>Base[[#This Row],[Prévalence_prod]]*(1-Base[[#This Row],[Risque]])*Base[[#This Row],[Présentéisme]]*Base[[#This Row],['[Prod']Jours_ouvrés]]</f>
        <v>0</v>
      </c>
      <c r="CC206" s="4">
        <f>Base[[#This Row],['[Prod']'[Présentéisme']Jours_avant]]-Base[[#This Row],['[Prod']'[Présentéisme']Jours_après]]</f>
        <v>0</v>
      </c>
      <c r="CD206" s="4">
        <f>Base[[#This Row],['[Prod']'[Présentéisme']Jours_gagnés]]/Base[[#This Row],['[Prod']Jours_ouvrés]]</f>
        <v>0</v>
      </c>
      <c r="CE206">
        <v>5.8333039429220801E-2</v>
      </c>
      <c r="CF206">
        <v>1.4658164114728258E-2</v>
      </c>
      <c r="CG206" s="4">
        <v>11</v>
      </c>
      <c r="CH206" s="4">
        <v>1.3987208237662601</v>
      </c>
      <c r="CI206" s="4">
        <v>2.1768516166491274E-2</v>
      </c>
      <c r="CJ206" s="4">
        <f>IF(Base[[#This Row],[Secteur]]&lt;&gt;"Moyenne",Base[[#This Row],['[Prod']'[Turnover']DMC_initiale]]*(1+Base[[#This Row],['[Prod']'[Turnover']Ecart_accidents]]*Base[[#This Row],['[Prod']Impact_motifs_turnover]]),CJ189*CI189+CJ190*CI190+CJ191*CI191+CJ192*CI192+CJ193*CI193+CJ194*CI194+CJ195*CI195+CJ196*CI196+CJ197*CI197+CJ198*CI198+CJ199*CI199+CJ200*CI200+CJ201*CI201+CJ202*CI202+CJ203*CI203+CJ204*CI204+CJ205*CI205)</f>
        <v>11.225529473239991</v>
      </c>
      <c r="CK206" s="4">
        <f>1/Base[[#This Row],['[Prod']'[Turnover']DMC_initiale]]</f>
        <v>9.0909090909090912E-2</v>
      </c>
      <c r="CL206" s="4">
        <f>1/Base[[#This Row],['[Prod']'[Turnover']DMC_finale]]</f>
        <v>8.9082657738670828E-2</v>
      </c>
    </row>
    <row r="207" spans="2:90" x14ac:dyDescent="0.25">
      <c r="B207" s="4" t="s">
        <v>325</v>
      </c>
      <c r="C207">
        <v>7.5</v>
      </c>
      <c r="D207" t="s">
        <v>84</v>
      </c>
      <c r="E207" t="s">
        <v>42</v>
      </c>
      <c r="F207" s="3">
        <v>2.2452444824416888</v>
      </c>
      <c r="G207" s="3">
        <v>0.371</v>
      </c>
      <c r="H207" s="3">
        <v>0.371</v>
      </c>
      <c r="I207" s="3">
        <v>0</v>
      </c>
      <c r="J207" s="3">
        <v>0</v>
      </c>
      <c r="K207" s="3">
        <v>7.0000000000000007E-2</v>
      </c>
      <c r="L207" s="2">
        <f>Base[[#This Row],[Coût]]*Base[[#This Row],[Part_ménages_dépenses_santé]]</f>
        <v>0</v>
      </c>
      <c r="M207" s="2">
        <v>0</v>
      </c>
      <c r="N207" s="6">
        <v>27700000</v>
      </c>
      <c r="O207" s="7">
        <f>Base[[#This Row],[Coût_salarié]]*10^9*Base[[#This Row],[Risque]]*Base[[#This Row],[Prévalence]]*Base[[#This Row],[Part_coûts_salarié]]/Base[[#This Row],[Population_emploi]]</f>
        <v>0</v>
      </c>
      <c r="P207">
        <v>50</v>
      </c>
      <c r="Q207">
        <v>50</v>
      </c>
      <c r="R207" s="2">
        <v>9.9999999999999978E-2</v>
      </c>
      <c r="S207" s="2">
        <v>0.33340000000000003</v>
      </c>
      <c r="T207" s="4">
        <v>0</v>
      </c>
      <c r="U207" s="4">
        <f>IF(Bases_annexes!$F$5=0,16.6587111018772,0.77*Bases_annexes!$F$5/(IF(OR(ISBLANK('Données_d''entrée'!$E$44),'Données_d''entrée'!$E$44=0),35,'Données_d''entrée'!$E$44)*52))</f>
        <v>16.658711101877199</v>
      </c>
      <c r="V207" s="4">
        <v>0</v>
      </c>
      <c r="W2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7" s="4">
        <v>234.5</v>
      </c>
      <c r="Y207" s="4">
        <f>(Base[[#This Row],['[Maladies']Coûts_évités_par_salarié]]+Base[[#This Row],['[Travail']Coûts_évités_par_salarié]])/Base[[#This Row],[Budget_santé_salarié]]</f>
        <v>0</v>
      </c>
      <c r="Z207" s="4">
        <v>0.8</v>
      </c>
      <c r="AA207" s="4">
        <f>Base[[#This Row],[Coût]]*Base[[#This Row],[Part_société_dépenses_santé]]</f>
        <v>0</v>
      </c>
      <c r="AB207" s="4">
        <v>67635124</v>
      </c>
      <c r="AC207" s="4">
        <v>82.297079063317852</v>
      </c>
      <c r="AD207" s="4">
        <v>0</v>
      </c>
      <c r="AE207" s="4">
        <f>Base[[#This Row],['[SC']Prévalence_travail]]*Base[[#This Row],[Population_emploi]]</f>
        <v>0</v>
      </c>
      <c r="AF207" s="4">
        <f>Base[[#This Row],[Risque]]*Base[[#This Row],['[SC']Patients_en_emploi]]</f>
        <v>0</v>
      </c>
      <c r="AG207" s="4">
        <v>0</v>
      </c>
      <c r="AH207" s="4">
        <f>IFERROR(Base[[#This Row],['[SC']Prestations]]/Base[[#This Row],['[SC']Patients_en_emploi]],0)</f>
        <v>0</v>
      </c>
      <c r="AI207" s="4">
        <v>51.7</v>
      </c>
      <c r="AJ2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7" s="4">
        <f>Base[[#This Row],['[SC']'[Travail']Coûts_évités]]/Base[[#This Row],[Population_emploi]]</f>
        <v>0</v>
      </c>
      <c r="AL207" s="4">
        <f>Base[[#This Row],[Coût_société]]*10^9*Base[[#This Row],[Risque]]*Base[[#This Row],[Prévalence]]*Base[[#This Row],[Part_coûts_salarié]]/Base[[#This Row],[Population_emploi]]</f>
        <v>0</v>
      </c>
      <c r="AM207" s="4">
        <f>IF(Base[[#This Row],[Pathologie]]&lt;&gt;"Dépendance",0,14909.24243952)</f>
        <v>14909.24243952</v>
      </c>
      <c r="AN207" s="4">
        <f>IF(Base[[#This Row],[Pathologie]]&lt;&gt;"Dépendance",0,1316000)</f>
        <v>1316000</v>
      </c>
      <c r="AO207" s="4">
        <f>IF(Base[[#This Row],[Pathologie]]&lt;&gt;"Dépendance",0,Base[[#This Row],['[SC']Coût_personne_dépendante]]*Base[[#This Row],['[SC']Nb_personnes_dépendantes]])</f>
        <v>19620563050.408321</v>
      </c>
      <c r="AP207" s="4">
        <f>IF(Base[[#This Row],[Pathologie]]&lt;&gt;"Dépendance",0,Base[[#This Row],['[SC']Coût_total_dépendance]]/Base[[#This Row],[Population_totale]])</f>
        <v>290.09428666691468</v>
      </c>
      <c r="AQ207" s="4">
        <f>IF(Base[[#This Row],[Pathologie]]&lt;&gt;"Dépendance",0,4.5)</f>
        <v>4.5</v>
      </c>
      <c r="AR207" s="4">
        <v>0.50393265050357905</v>
      </c>
      <c r="AS207" s="4">
        <f>Base[[#This Row],[Espérance_vie]]+Base[[#This Row],['[SC']Hausse_esp_de_vie]]-Base[[#This Row],['[SC']Durée_moyenne_dépendance_avt]]+Base[[#This Row],[Risque]]</f>
        <v>80.54625619626313</v>
      </c>
      <c r="AT2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7" s="4">
        <v>62.9</v>
      </c>
      <c r="AW207" s="4">
        <f t="shared" si="0"/>
        <v>336905600000</v>
      </c>
      <c r="AX207" s="4">
        <v>15049171</v>
      </c>
      <c r="AY207" s="4">
        <f>Base[[#This Row],['[SC']Budget_total_retraites]]/Base[[#This Row],['[SC']Nombre_de_retraités]]</f>
        <v>22386.987296509556</v>
      </c>
      <c r="AZ207" s="4">
        <f>Base[[#This Row],['[SC']Budget_par_retraité]]*Base[[#This Row],['[SC']Nb_personnes_dépendantes]]</f>
        <v>29461275282.206577</v>
      </c>
      <c r="BA207" s="4">
        <f>Base[[#This Row],['[SC']'[Dépendance']Coût_retraite_personnes_dépendantes]]/Base[[#This Row],[Population_totale]]</f>
        <v>435.59135460750508</v>
      </c>
      <c r="BB207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7" s="4">
        <f>Base[[#This Row],['[SC']'[Dépendance']Gains]]-Base[[#This Row],['[SC']'[Dépendance']Coûts]]</f>
        <v>65.612721833346214</v>
      </c>
      <c r="BD207" s="4">
        <f>IF(Base[[#This Row],[Pathologie]]&lt;&gt;"Mort prématurée",0,Base[[#This Row],[Risque]]*Base[[#This Row],[Prévalence]]*Base[[#This Row],[Population_totale]])</f>
        <v>0</v>
      </c>
      <c r="BE207" s="4">
        <v>52.74</v>
      </c>
      <c r="BF207" s="4">
        <f>Base[[#This Row],['[SC']Âge_moyen_retraite]]-Base[[#This Row],['[SC']'[Mort_prématurée']Âge_moyen_mort précoce]]</f>
        <v>10.159999999999997</v>
      </c>
      <c r="BG207" s="4">
        <f>Base[[#This Row],[Espérance_vie]]+Base[[#This Row],['[SC']Hausse_esp_de_vie]]-Base[[#This Row],['[SC']Âge_moyen_retraite]]</f>
        <v>19.90101171382144</v>
      </c>
      <c r="BH207" s="4">
        <v>106583.42676924677</v>
      </c>
      <c r="BI207" s="4">
        <v>97601.789429271477</v>
      </c>
      <c r="BJ207" s="4">
        <v>302038.31496633729</v>
      </c>
      <c r="BK207" s="4">
        <v>117293.58934859755</v>
      </c>
      <c r="BL207" s="4">
        <v>1523999.9999999995</v>
      </c>
      <c r="BM2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7" s="4">
        <v>294804.96027377353</v>
      </c>
      <c r="BO2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7" s="4">
        <f>(Base[[#This Row],['[SC']'[Mort_prématurée']Gains]]-Base[[#This Row],['[SC']'[Mort_prématurée']Coûts]])/Base[[#This Row],[Population_totale]]</f>
        <v>0</v>
      </c>
      <c r="BQ207" s="4">
        <f>IF(Base[[#This Row],[Pathologie]]&lt;&gt;"Mort prématurée",0,Base[[#This Row],[Risque]])</f>
        <v>0</v>
      </c>
      <c r="BR207" s="4">
        <v>2680</v>
      </c>
      <c r="BS2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7" s="4">
        <f>Base[[#This Row],[Prévalence_prod]]*(1-Base[[#This Row],[Risque]])*Base[[#This Row],[Durée_arrêt]]*Base[[#This Row],[Population_emploi]]</f>
        <v>0</v>
      </c>
      <c r="BV207" s="4">
        <f>Base[[#This Row],['[Prod']'[Absentéisme']Total_jours_absence_avant]]-Base[[#This Row],['[Prod']'[Absentéisme']Total_jours_absence_après]]</f>
        <v>0</v>
      </c>
      <c r="BW207" s="4">
        <f>IF(AND(Base[[#This Row],[Pathologie]]&lt;&gt;"Dépendance",Base[[#This Row],[Pathologie]]&lt;&gt;"Mort prématurée",Base[[#This Row],[Pathologie]]&lt;&gt;"Migraine"),0.0619,0)</f>
        <v>0</v>
      </c>
      <c r="BX207" s="4">
        <v>254</v>
      </c>
      <c r="BY20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7" s="4">
        <f>Base[[#This Row],[Prévalence_prod]]*Base[[#This Row],[Présentéisme]]*Base[[#This Row],['[Prod']Jours_ouvrés]]</f>
        <v>0</v>
      </c>
      <c r="CB207" s="4">
        <f>Base[[#This Row],[Prévalence_prod]]*(1-Base[[#This Row],[Risque]])*Base[[#This Row],[Présentéisme]]*Base[[#This Row],['[Prod']Jours_ouvrés]]</f>
        <v>0</v>
      </c>
      <c r="CC207" s="4">
        <f>Base[[#This Row],['[Prod']'[Présentéisme']Jours_avant]]-Base[[#This Row],['[Prod']'[Présentéisme']Jours_après]]</f>
        <v>0</v>
      </c>
      <c r="CD207" s="4">
        <f>Base[[#This Row],['[Prod']'[Présentéisme']Jours_gagnés]]/Base[[#This Row],['[Prod']Jours_ouvrés]]</f>
        <v>0</v>
      </c>
      <c r="CE207">
        <v>5.8333039429220801E-2</v>
      </c>
      <c r="CF207">
        <v>1.4658164114728258E-2</v>
      </c>
      <c r="CG207" s="4">
        <v>11</v>
      </c>
      <c r="CH207" s="4">
        <v>1.1624525375985588</v>
      </c>
      <c r="CI207" s="4">
        <v>3.7953151649308701E-2</v>
      </c>
      <c r="CJ207" s="4">
        <f>IF(Base[[#This Row],[Secteur]]&lt;&gt;"Moyenne",Base[[#This Row],['[Prod']'[Turnover']DMC_initiale]]*(1+Base[[#This Row],['[Prod']'[Turnover']Ecart_accidents]]*Base[[#This Row],['[Prod']Impact_motifs_turnover]]),CJ190*CI190+CJ191*CI191+CJ192*CI192+CJ193*CI193+CJ194*CI194+CJ195*CI195+CJ196*CI196+CJ197*CI197+CJ198*CI198+CJ199*CI199+CJ200*CI200+CJ201*CI201+CJ202*CI202+CJ203*CI203+CJ204*CI204+CJ205*CI205+CJ206*CI206)</f>
        <v>11.18743362078872</v>
      </c>
      <c r="CK207" s="4">
        <f>1/Base[[#This Row],['[Prod']'[Turnover']DMC_initiale]]</f>
        <v>9.0909090909090912E-2</v>
      </c>
      <c r="CL207" s="4">
        <f>1/Base[[#This Row],['[Prod']'[Turnover']DMC_finale]]</f>
        <v>8.9386005217655939E-2</v>
      </c>
    </row>
    <row r="208" spans="2:90" x14ac:dyDescent="0.25">
      <c r="B208" s="4" t="s">
        <v>326</v>
      </c>
      <c r="C208">
        <v>7.5</v>
      </c>
      <c r="D208" t="s">
        <v>84</v>
      </c>
      <c r="E208" t="s">
        <v>42</v>
      </c>
      <c r="F208" s="3">
        <v>2.2452444824416888</v>
      </c>
      <c r="G208" s="3">
        <v>0.371</v>
      </c>
      <c r="H208" s="3">
        <v>0.371</v>
      </c>
      <c r="I208" s="3">
        <v>0</v>
      </c>
      <c r="J208" s="3">
        <v>0</v>
      </c>
      <c r="K208" s="3">
        <v>7.0000000000000007E-2</v>
      </c>
      <c r="L208" s="2">
        <f>Base[[#This Row],[Coût]]*Base[[#This Row],[Part_ménages_dépenses_santé]]</f>
        <v>0</v>
      </c>
      <c r="M208" s="2">
        <v>0</v>
      </c>
      <c r="N208" s="6">
        <v>27700000</v>
      </c>
      <c r="O208" s="7">
        <f>Base[[#This Row],[Coût_salarié]]*10^9*Base[[#This Row],[Risque]]*Base[[#This Row],[Prévalence]]*Base[[#This Row],[Part_coûts_salarié]]/Base[[#This Row],[Population_emploi]]</f>
        <v>0</v>
      </c>
      <c r="P208">
        <v>50</v>
      </c>
      <c r="Q208">
        <v>50</v>
      </c>
      <c r="R208" s="2">
        <v>9.9999999999999978E-2</v>
      </c>
      <c r="S208" s="2">
        <v>0.33340000000000003</v>
      </c>
      <c r="T208" s="4">
        <v>0</v>
      </c>
      <c r="U208" s="4">
        <f>IF(Bases_annexes!$F$5=0,16.6587111018772,0.77*Bases_annexes!$F$5/(IF(OR(ISBLANK('Données_d''entrée'!$E$44),'Données_d''entrée'!$E$44=0),35,'Données_d''entrée'!$E$44)*52))</f>
        <v>16.658711101877199</v>
      </c>
      <c r="V208" s="4">
        <v>0</v>
      </c>
      <c r="W2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8" s="4">
        <v>234.5</v>
      </c>
      <c r="Y208" s="4">
        <f>(Base[[#This Row],['[Maladies']Coûts_évités_par_salarié]]+Base[[#This Row],['[Travail']Coûts_évités_par_salarié]])/Base[[#This Row],[Budget_santé_salarié]]</f>
        <v>0</v>
      </c>
      <c r="Z208" s="4">
        <v>0.8</v>
      </c>
      <c r="AA208" s="4">
        <f>Base[[#This Row],[Coût]]*Base[[#This Row],[Part_société_dépenses_santé]]</f>
        <v>0</v>
      </c>
      <c r="AB208" s="4">
        <v>67635124</v>
      </c>
      <c r="AC208" s="4">
        <v>82.297079063317852</v>
      </c>
      <c r="AD208" s="4">
        <v>0</v>
      </c>
      <c r="AE208" s="4">
        <f>Base[[#This Row],['[SC']Prévalence_travail]]*Base[[#This Row],[Population_emploi]]</f>
        <v>0</v>
      </c>
      <c r="AF208" s="4">
        <f>Base[[#This Row],[Risque]]*Base[[#This Row],['[SC']Patients_en_emploi]]</f>
        <v>0</v>
      </c>
      <c r="AG208" s="4">
        <v>0</v>
      </c>
      <c r="AH208" s="4">
        <f>IFERROR(Base[[#This Row],['[SC']Prestations]]/Base[[#This Row],['[SC']Patients_en_emploi]],0)</f>
        <v>0</v>
      </c>
      <c r="AI208" s="4">
        <v>51.7</v>
      </c>
      <c r="AJ2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8" s="4">
        <f>Base[[#This Row],['[SC']'[Travail']Coûts_évités]]/Base[[#This Row],[Population_emploi]]</f>
        <v>0</v>
      </c>
      <c r="AL208" s="4">
        <f>Base[[#This Row],[Coût_société]]*10^9*Base[[#This Row],[Risque]]*Base[[#This Row],[Prévalence]]*Base[[#This Row],[Part_coûts_salarié]]/Base[[#This Row],[Population_emploi]]</f>
        <v>0</v>
      </c>
      <c r="AM208" s="4">
        <f>IF(Base[[#This Row],[Pathologie]]&lt;&gt;"Dépendance",0,14909.24243952)</f>
        <v>14909.24243952</v>
      </c>
      <c r="AN208" s="4">
        <f>IF(Base[[#This Row],[Pathologie]]&lt;&gt;"Dépendance",0,1316000)</f>
        <v>1316000</v>
      </c>
      <c r="AO208" s="4">
        <f>IF(Base[[#This Row],[Pathologie]]&lt;&gt;"Dépendance",0,Base[[#This Row],['[SC']Coût_personne_dépendante]]*Base[[#This Row],['[SC']Nb_personnes_dépendantes]])</f>
        <v>19620563050.408321</v>
      </c>
      <c r="AP208" s="4">
        <f>IF(Base[[#This Row],[Pathologie]]&lt;&gt;"Dépendance",0,Base[[#This Row],['[SC']Coût_total_dépendance]]/Base[[#This Row],[Population_totale]])</f>
        <v>290.09428666691468</v>
      </c>
      <c r="AQ208" s="4">
        <f>IF(Base[[#This Row],[Pathologie]]&lt;&gt;"Dépendance",0,4.5)</f>
        <v>4.5</v>
      </c>
      <c r="AR208" s="4">
        <v>0.50393265050357905</v>
      </c>
      <c r="AS208" s="4">
        <f>Base[[#This Row],[Espérance_vie]]+Base[[#This Row],['[SC']Hausse_esp_de_vie]]-Base[[#This Row],['[SC']Durée_moyenne_dépendance_avt]]+Base[[#This Row],[Risque]]</f>
        <v>80.54625619626313</v>
      </c>
      <c r="AT2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8" s="4">
        <v>62.9</v>
      </c>
      <c r="AW208" s="4">
        <f t="shared" si="0"/>
        <v>336905600000</v>
      </c>
      <c r="AX208" s="4">
        <v>15049171</v>
      </c>
      <c r="AY208" s="4">
        <f>Base[[#This Row],['[SC']Budget_total_retraites]]/Base[[#This Row],['[SC']Nombre_de_retraités]]</f>
        <v>22386.987296509556</v>
      </c>
      <c r="AZ208" s="4">
        <f>Base[[#This Row],['[SC']Budget_par_retraité]]*Base[[#This Row],['[SC']Nb_personnes_dépendantes]]</f>
        <v>29461275282.206577</v>
      </c>
      <c r="BA208" s="4">
        <f>Base[[#This Row],['[SC']'[Dépendance']Coût_retraite_personnes_dépendantes]]/Base[[#This Row],[Population_totale]]</f>
        <v>435.59135460750508</v>
      </c>
      <c r="BB208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8" s="4">
        <f>Base[[#This Row],['[SC']'[Dépendance']Gains]]-Base[[#This Row],['[SC']'[Dépendance']Coûts]]</f>
        <v>65.612721833346214</v>
      </c>
      <c r="BD208" s="4">
        <f>IF(Base[[#This Row],[Pathologie]]&lt;&gt;"Mort prématurée",0,Base[[#This Row],[Risque]]*Base[[#This Row],[Prévalence]]*Base[[#This Row],[Population_totale]])</f>
        <v>0</v>
      </c>
      <c r="BE208" s="4">
        <v>52.74</v>
      </c>
      <c r="BF208" s="4">
        <f>Base[[#This Row],['[SC']Âge_moyen_retraite]]-Base[[#This Row],['[SC']'[Mort_prématurée']Âge_moyen_mort précoce]]</f>
        <v>10.159999999999997</v>
      </c>
      <c r="BG208" s="4">
        <f>Base[[#This Row],[Espérance_vie]]+Base[[#This Row],['[SC']Hausse_esp_de_vie]]-Base[[#This Row],['[SC']Âge_moyen_retraite]]</f>
        <v>19.90101171382144</v>
      </c>
      <c r="BH208" s="4">
        <v>106583.42676924677</v>
      </c>
      <c r="BI208" s="4">
        <v>97601.789429271477</v>
      </c>
      <c r="BJ208" s="4">
        <v>302038.31496633729</v>
      </c>
      <c r="BK208" s="4">
        <v>117293.58934859755</v>
      </c>
      <c r="BL208" s="4">
        <v>1523999.9999999995</v>
      </c>
      <c r="BM2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8" s="4">
        <v>294804.96027377353</v>
      </c>
      <c r="BO2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8" s="4">
        <f>(Base[[#This Row],['[SC']'[Mort_prématurée']Gains]]-Base[[#This Row],['[SC']'[Mort_prématurée']Coûts]])/Base[[#This Row],[Population_totale]]</f>
        <v>0</v>
      </c>
      <c r="BQ208" s="4">
        <f>IF(Base[[#This Row],[Pathologie]]&lt;&gt;"Mort prématurée",0,Base[[#This Row],[Risque]])</f>
        <v>0</v>
      </c>
      <c r="BR208" s="4">
        <v>2680</v>
      </c>
      <c r="BS2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8" s="4">
        <f>Base[[#This Row],[Prévalence_prod]]*(1-Base[[#This Row],[Risque]])*Base[[#This Row],[Durée_arrêt]]*Base[[#This Row],[Population_emploi]]</f>
        <v>0</v>
      </c>
      <c r="BV208" s="4">
        <f>Base[[#This Row],['[Prod']'[Absentéisme']Total_jours_absence_avant]]-Base[[#This Row],['[Prod']'[Absentéisme']Total_jours_absence_après]]</f>
        <v>0</v>
      </c>
      <c r="BW208" s="4">
        <f>IF(AND(Base[[#This Row],[Pathologie]]&lt;&gt;"Dépendance",Base[[#This Row],[Pathologie]]&lt;&gt;"Mort prématurée",Base[[#This Row],[Pathologie]]&lt;&gt;"Migraine"),0.0619,0)</f>
        <v>0</v>
      </c>
      <c r="BX208" s="4">
        <v>254</v>
      </c>
      <c r="BY20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8" s="4">
        <f>Base[[#This Row],[Prévalence_prod]]*Base[[#This Row],[Présentéisme]]*Base[[#This Row],['[Prod']Jours_ouvrés]]</f>
        <v>0</v>
      </c>
      <c r="CB208" s="4">
        <f>Base[[#This Row],[Prévalence_prod]]*(1-Base[[#This Row],[Risque]])*Base[[#This Row],[Présentéisme]]*Base[[#This Row],['[Prod']Jours_ouvrés]]</f>
        <v>0</v>
      </c>
      <c r="CC208" s="4">
        <f>Base[[#This Row],['[Prod']'[Présentéisme']Jours_avant]]-Base[[#This Row],['[Prod']'[Présentéisme']Jours_après]]</f>
        <v>0</v>
      </c>
      <c r="CD208" s="4">
        <f>Base[[#This Row],['[Prod']'[Présentéisme']Jours_gagnés]]/Base[[#This Row],['[Prod']Jours_ouvrés]]</f>
        <v>0</v>
      </c>
      <c r="CE208">
        <v>5.8333039429220801E-2</v>
      </c>
      <c r="CF208">
        <v>1.4658164114728258E-2</v>
      </c>
      <c r="CG208" s="4">
        <v>11</v>
      </c>
      <c r="CH208" s="4">
        <v>0.19346787829229528</v>
      </c>
      <c r="CI208" s="4">
        <v>2.8126549817953091E-2</v>
      </c>
      <c r="CJ208" s="4">
        <f>IF(Base[[#This Row],[Secteur]]&lt;&gt;"Moyenne",Base[[#This Row],['[Prod']'[Turnover']DMC_initiale]]*(1+Base[[#This Row],['[Prod']'[Turnover']Ecart_accidents]]*Base[[#This Row],['[Prod']Impact_motifs_turnover]]),CJ191*CI191+CJ192*CI192+CJ193*CI193+CJ194*CI194+CJ195*CI195+CJ196*CI196+CJ197*CI197+CJ198*CI198+CJ199*CI199+CJ200*CI200+CJ201*CI201+CJ202*CI202+CJ203*CI203+CJ204*CI204+CJ205*CI205+CJ206*CI206+CJ207*CI207)</f>
        <v>11.031194723020304</v>
      </c>
      <c r="CK208" s="4">
        <f>1/Base[[#This Row],['[Prod']'[Turnover']DMC_initiale]]</f>
        <v>9.0909090909090912E-2</v>
      </c>
      <c r="CL208" s="4">
        <f>1/Base[[#This Row],['[Prod']'[Turnover']DMC_finale]]</f>
        <v>9.065201232584201E-2</v>
      </c>
    </row>
    <row r="209" spans="2:90" x14ac:dyDescent="0.25">
      <c r="B209" s="4" t="s">
        <v>327</v>
      </c>
      <c r="C209">
        <v>7.5</v>
      </c>
      <c r="D209" t="s">
        <v>84</v>
      </c>
      <c r="E209" t="s">
        <v>42</v>
      </c>
      <c r="F209" s="3">
        <v>2.2452444824416888</v>
      </c>
      <c r="G209" s="3">
        <v>0.371</v>
      </c>
      <c r="H209" s="3">
        <v>0.371</v>
      </c>
      <c r="I209" s="3">
        <v>0</v>
      </c>
      <c r="J209" s="3">
        <v>0</v>
      </c>
      <c r="K209" s="3">
        <v>7.0000000000000007E-2</v>
      </c>
      <c r="L209" s="2">
        <f>Base[[#This Row],[Coût]]*Base[[#This Row],[Part_ménages_dépenses_santé]]</f>
        <v>0</v>
      </c>
      <c r="M209" s="2">
        <v>0</v>
      </c>
      <c r="N209" s="6">
        <v>27700000</v>
      </c>
      <c r="O209" s="7">
        <f>Base[[#This Row],[Coût_salarié]]*10^9*Base[[#This Row],[Risque]]*Base[[#This Row],[Prévalence]]*Base[[#This Row],[Part_coûts_salarié]]/Base[[#This Row],[Population_emploi]]</f>
        <v>0</v>
      </c>
      <c r="P209">
        <v>50</v>
      </c>
      <c r="Q209">
        <v>50</v>
      </c>
      <c r="R209" s="2">
        <v>9.9999999999999978E-2</v>
      </c>
      <c r="S209" s="2">
        <v>0.33340000000000003</v>
      </c>
      <c r="T209" s="4">
        <v>0</v>
      </c>
      <c r="U209" s="4">
        <f>IF(Bases_annexes!$F$5=0,16.6587111018772,0.77*Bases_annexes!$F$5/(IF(OR(ISBLANK('Données_d''entrée'!$E$44),'Données_d''entrée'!$E$44=0),35,'Données_d''entrée'!$E$44)*52))</f>
        <v>16.658711101877199</v>
      </c>
      <c r="V209" s="4">
        <v>0</v>
      </c>
      <c r="W2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09" s="4">
        <v>234.5</v>
      </c>
      <c r="Y209" s="4">
        <f>(Base[[#This Row],['[Maladies']Coûts_évités_par_salarié]]+Base[[#This Row],['[Travail']Coûts_évités_par_salarié]])/Base[[#This Row],[Budget_santé_salarié]]</f>
        <v>0</v>
      </c>
      <c r="Z209" s="4">
        <v>0.8</v>
      </c>
      <c r="AA209" s="4">
        <f>Base[[#This Row],[Coût]]*Base[[#This Row],[Part_société_dépenses_santé]]</f>
        <v>0</v>
      </c>
      <c r="AB209" s="4">
        <v>67635124</v>
      </c>
      <c r="AC209" s="4">
        <v>82.297079063317852</v>
      </c>
      <c r="AD209" s="4">
        <v>0</v>
      </c>
      <c r="AE209" s="4">
        <f>Base[[#This Row],['[SC']Prévalence_travail]]*Base[[#This Row],[Population_emploi]]</f>
        <v>0</v>
      </c>
      <c r="AF209" s="4">
        <f>Base[[#This Row],[Risque]]*Base[[#This Row],['[SC']Patients_en_emploi]]</f>
        <v>0</v>
      </c>
      <c r="AG209" s="4">
        <v>0</v>
      </c>
      <c r="AH209" s="4">
        <f>IFERROR(Base[[#This Row],['[SC']Prestations]]/Base[[#This Row],['[SC']Patients_en_emploi]],0)</f>
        <v>0</v>
      </c>
      <c r="AI209" s="4">
        <v>51.7</v>
      </c>
      <c r="AJ2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09" s="4">
        <f>Base[[#This Row],['[SC']'[Travail']Coûts_évités]]/Base[[#This Row],[Population_emploi]]</f>
        <v>0</v>
      </c>
      <c r="AL209" s="4">
        <f>Base[[#This Row],[Coût_société]]*10^9*Base[[#This Row],[Risque]]*Base[[#This Row],[Prévalence]]*Base[[#This Row],[Part_coûts_salarié]]/Base[[#This Row],[Population_emploi]]</f>
        <v>0</v>
      </c>
      <c r="AM209" s="4">
        <f>IF(Base[[#This Row],[Pathologie]]&lt;&gt;"Dépendance",0,14909.24243952)</f>
        <v>14909.24243952</v>
      </c>
      <c r="AN209" s="4">
        <f>IF(Base[[#This Row],[Pathologie]]&lt;&gt;"Dépendance",0,1316000)</f>
        <v>1316000</v>
      </c>
      <c r="AO209" s="4">
        <f>IF(Base[[#This Row],[Pathologie]]&lt;&gt;"Dépendance",0,Base[[#This Row],['[SC']Coût_personne_dépendante]]*Base[[#This Row],['[SC']Nb_personnes_dépendantes]])</f>
        <v>19620563050.408321</v>
      </c>
      <c r="AP209" s="4">
        <f>IF(Base[[#This Row],[Pathologie]]&lt;&gt;"Dépendance",0,Base[[#This Row],['[SC']Coût_total_dépendance]]/Base[[#This Row],[Population_totale]])</f>
        <v>290.09428666691468</v>
      </c>
      <c r="AQ209" s="4">
        <f>IF(Base[[#This Row],[Pathologie]]&lt;&gt;"Dépendance",0,4.5)</f>
        <v>4.5</v>
      </c>
      <c r="AR209" s="4">
        <v>0.50393265050357905</v>
      </c>
      <c r="AS209" s="4">
        <f>Base[[#This Row],[Espérance_vie]]+Base[[#This Row],['[SC']Hausse_esp_de_vie]]-Base[[#This Row],['[SC']Durée_moyenne_dépendance_avt]]+Base[[#This Row],[Risque]]</f>
        <v>80.54625619626313</v>
      </c>
      <c r="AT2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09" s="4">
        <v>62.9</v>
      </c>
      <c r="AW209" s="4">
        <f t="shared" si="0"/>
        <v>336905600000</v>
      </c>
      <c r="AX209" s="4">
        <v>15049171</v>
      </c>
      <c r="AY209" s="4">
        <f>Base[[#This Row],['[SC']Budget_total_retraites]]/Base[[#This Row],['[SC']Nombre_de_retraités]]</f>
        <v>22386.987296509556</v>
      </c>
      <c r="AZ209" s="4">
        <f>Base[[#This Row],['[SC']Budget_par_retraité]]*Base[[#This Row],['[SC']Nb_personnes_dépendantes]]</f>
        <v>29461275282.206577</v>
      </c>
      <c r="BA209" s="4">
        <f>Base[[#This Row],['[SC']'[Dépendance']Coût_retraite_personnes_dépendantes]]/Base[[#This Row],[Population_totale]]</f>
        <v>435.59135460750508</v>
      </c>
      <c r="BB209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09" s="4">
        <f>Base[[#This Row],['[SC']'[Dépendance']Gains]]-Base[[#This Row],['[SC']'[Dépendance']Coûts]]</f>
        <v>65.612721833346214</v>
      </c>
      <c r="BD209" s="4">
        <f>IF(Base[[#This Row],[Pathologie]]&lt;&gt;"Mort prématurée",0,Base[[#This Row],[Risque]]*Base[[#This Row],[Prévalence]]*Base[[#This Row],[Population_totale]])</f>
        <v>0</v>
      </c>
      <c r="BE209" s="4">
        <v>52.74</v>
      </c>
      <c r="BF209" s="4">
        <f>Base[[#This Row],['[SC']Âge_moyen_retraite]]-Base[[#This Row],['[SC']'[Mort_prématurée']Âge_moyen_mort précoce]]</f>
        <v>10.159999999999997</v>
      </c>
      <c r="BG209" s="4">
        <f>Base[[#This Row],[Espérance_vie]]+Base[[#This Row],['[SC']Hausse_esp_de_vie]]-Base[[#This Row],['[SC']Âge_moyen_retraite]]</f>
        <v>19.90101171382144</v>
      </c>
      <c r="BH209" s="4">
        <v>106583.42676924677</v>
      </c>
      <c r="BI209" s="4">
        <v>97601.789429271477</v>
      </c>
      <c r="BJ209" s="4">
        <v>302038.31496633729</v>
      </c>
      <c r="BK209" s="4">
        <v>117293.58934859755</v>
      </c>
      <c r="BL209" s="4">
        <v>1523999.9999999995</v>
      </c>
      <c r="BM2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09" s="4">
        <v>294804.96027377353</v>
      </c>
      <c r="BO2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09" s="4">
        <f>(Base[[#This Row],['[SC']'[Mort_prématurée']Gains]]-Base[[#This Row],['[SC']'[Mort_prématurée']Coûts]])/Base[[#This Row],[Population_totale]]</f>
        <v>0</v>
      </c>
      <c r="BQ209" s="4">
        <f>IF(Base[[#This Row],[Pathologie]]&lt;&gt;"Mort prématurée",0,Base[[#This Row],[Risque]])</f>
        <v>0</v>
      </c>
      <c r="BR209" s="4">
        <v>2680</v>
      </c>
      <c r="BS2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09" s="4">
        <f>Base[[#This Row],[Prévalence_prod]]*(1-Base[[#This Row],[Risque]])*Base[[#This Row],[Durée_arrêt]]*Base[[#This Row],[Population_emploi]]</f>
        <v>0</v>
      </c>
      <c r="BV209" s="4">
        <f>Base[[#This Row],['[Prod']'[Absentéisme']Total_jours_absence_avant]]-Base[[#This Row],['[Prod']'[Absentéisme']Total_jours_absence_après]]</f>
        <v>0</v>
      </c>
      <c r="BW209" s="4">
        <f>IF(AND(Base[[#This Row],[Pathologie]]&lt;&gt;"Dépendance",Base[[#This Row],[Pathologie]]&lt;&gt;"Mort prématurée",Base[[#This Row],[Pathologie]]&lt;&gt;"Migraine"),0.0619,0)</f>
        <v>0</v>
      </c>
      <c r="BX209" s="4">
        <v>254</v>
      </c>
      <c r="BY20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0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09" s="4">
        <f>Base[[#This Row],[Prévalence_prod]]*Base[[#This Row],[Présentéisme]]*Base[[#This Row],['[Prod']Jours_ouvrés]]</f>
        <v>0</v>
      </c>
      <c r="CB209" s="4">
        <f>Base[[#This Row],[Prévalence_prod]]*(1-Base[[#This Row],[Risque]])*Base[[#This Row],[Présentéisme]]*Base[[#This Row],['[Prod']Jours_ouvrés]]</f>
        <v>0</v>
      </c>
      <c r="CC209" s="4">
        <f>Base[[#This Row],['[Prod']'[Présentéisme']Jours_avant]]-Base[[#This Row],['[Prod']'[Présentéisme']Jours_après]]</f>
        <v>0</v>
      </c>
      <c r="CD209" s="4">
        <f>Base[[#This Row],['[Prod']'[Présentéisme']Jours_gagnés]]/Base[[#This Row],['[Prod']Jours_ouvrés]]</f>
        <v>0</v>
      </c>
      <c r="CE209">
        <v>5.8333039429220801E-2</v>
      </c>
      <c r="CF209">
        <v>1.4658164114728258E-2</v>
      </c>
      <c r="CG209" s="4">
        <v>11</v>
      </c>
      <c r="CH209" s="4">
        <v>0.13729577077682142</v>
      </c>
      <c r="CI209" s="4">
        <v>1.373516710817578E-2</v>
      </c>
      <c r="CJ209" s="4">
        <f>IF(Base[[#This Row],[Secteur]]&lt;&gt;"Moyenne",Base[[#This Row],['[Prod']'[Turnover']DMC_initiale]]*(1+Base[[#This Row],['[Prod']'[Turnover']Ecart_accidents]]*Base[[#This Row],['[Prod']Impact_motifs_turnover]]),CJ192*CI192+CJ193*CI193+CJ194*CI194+CJ195*CI195+CJ196*CI196+CJ197*CI197+CJ198*CI198+CJ199*CI199+CJ200*CI200+CJ201*CI201+CJ202*CI202+CJ203*CI203+CJ204*CI204+CJ205*CI205+CJ206*CI206+CJ207*CI207+CJ208*CI208)</f>
        <v>11.022137543343351</v>
      </c>
      <c r="CK209" s="4">
        <f>1/Base[[#This Row],['[Prod']'[Turnover']DMC_initiale]]</f>
        <v>9.0909090909090912E-2</v>
      </c>
      <c r="CL209" s="4">
        <f>1/Base[[#This Row],['[Prod']'[Turnover']DMC_finale]]</f>
        <v>9.0726503463380792E-2</v>
      </c>
    </row>
    <row r="210" spans="2:90" x14ac:dyDescent="0.25">
      <c r="B210" s="4" t="s">
        <v>328</v>
      </c>
      <c r="C210">
        <v>7.5</v>
      </c>
      <c r="D210" t="s">
        <v>84</v>
      </c>
      <c r="E210" t="s">
        <v>42</v>
      </c>
      <c r="F210" s="3">
        <v>2.2452444824416888</v>
      </c>
      <c r="G210" s="3">
        <v>0.371</v>
      </c>
      <c r="H210" s="3">
        <v>0.371</v>
      </c>
      <c r="I210" s="3">
        <v>0</v>
      </c>
      <c r="J210" s="3">
        <v>0</v>
      </c>
      <c r="K210" s="3">
        <v>7.0000000000000007E-2</v>
      </c>
      <c r="L210" s="2">
        <f>Base[[#This Row],[Coût]]*Base[[#This Row],[Part_ménages_dépenses_santé]]</f>
        <v>0</v>
      </c>
      <c r="M210" s="2">
        <v>0</v>
      </c>
      <c r="N210" s="6">
        <v>27700000</v>
      </c>
      <c r="O210" s="7">
        <f>Base[[#This Row],[Coût_salarié]]*10^9*Base[[#This Row],[Risque]]*Base[[#This Row],[Prévalence]]*Base[[#This Row],[Part_coûts_salarié]]/Base[[#This Row],[Population_emploi]]</f>
        <v>0</v>
      </c>
      <c r="P210">
        <v>50</v>
      </c>
      <c r="Q210">
        <v>50</v>
      </c>
      <c r="R210" s="2">
        <v>9.9999999999999978E-2</v>
      </c>
      <c r="S210" s="2">
        <v>0.33340000000000003</v>
      </c>
      <c r="T210" s="4">
        <v>0</v>
      </c>
      <c r="U210" s="4">
        <f>IF(Bases_annexes!$F$5=0,16.6587111018772,0.77*Bases_annexes!$F$5/(IF(OR(ISBLANK('Données_d''entrée'!$E$44),'Données_d''entrée'!$E$44=0),35,'Données_d''entrée'!$E$44)*52))</f>
        <v>16.658711101877199</v>
      </c>
      <c r="V210" s="4">
        <v>0</v>
      </c>
      <c r="W2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0" s="4">
        <v>234.5</v>
      </c>
      <c r="Y210" s="4">
        <f>(Base[[#This Row],['[Maladies']Coûts_évités_par_salarié]]+Base[[#This Row],['[Travail']Coûts_évités_par_salarié]])/Base[[#This Row],[Budget_santé_salarié]]</f>
        <v>0</v>
      </c>
      <c r="Z210" s="4">
        <v>0.8</v>
      </c>
      <c r="AA210" s="4">
        <f>Base[[#This Row],[Coût]]*Base[[#This Row],[Part_société_dépenses_santé]]</f>
        <v>0</v>
      </c>
      <c r="AB210" s="4">
        <v>67635124</v>
      </c>
      <c r="AC210" s="4">
        <v>82.297079063317852</v>
      </c>
      <c r="AD210" s="4">
        <v>0</v>
      </c>
      <c r="AE210" s="4">
        <f>Base[[#This Row],['[SC']Prévalence_travail]]*Base[[#This Row],[Population_emploi]]</f>
        <v>0</v>
      </c>
      <c r="AF210" s="4">
        <f>Base[[#This Row],[Risque]]*Base[[#This Row],['[SC']Patients_en_emploi]]</f>
        <v>0</v>
      </c>
      <c r="AG210" s="4">
        <v>0</v>
      </c>
      <c r="AH210" s="4">
        <f>IFERROR(Base[[#This Row],['[SC']Prestations]]/Base[[#This Row],['[SC']Patients_en_emploi]],0)</f>
        <v>0</v>
      </c>
      <c r="AI210" s="4">
        <v>51.7</v>
      </c>
      <c r="AJ2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0" s="4">
        <f>Base[[#This Row],['[SC']'[Travail']Coûts_évités]]/Base[[#This Row],[Population_emploi]]</f>
        <v>0</v>
      </c>
      <c r="AL210" s="4">
        <f>Base[[#This Row],[Coût_société]]*10^9*Base[[#This Row],[Risque]]*Base[[#This Row],[Prévalence]]*Base[[#This Row],[Part_coûts_salarié]]/Base[[#This Row],[Population_emploi]]</f>
        <v>0</v>
      </c>
      <c r="AM210" s="4">
        <f>IF(Base[[#This Row],[Pathologie]]&lt;&gt;"Dépendance",0,14909.24243952)</f>
        <v>14909.24243952</v>
      </c>
      <c r="AN210" s="4">
        <f>IF(Base[[#This Row],[Pathologie]]&lt;&gt;"Dépendance",0,1316000)</f>
        <v>1316000</v>
      </c>
      <c r="AO210" s="4">
        <f>IF(Base[[#This Row],[Pathologie]]&lt;&gt;"Dépendance",0,Base[[#This Row],['[SC']Coût_personne_dépendante]]*Base[[#This Row],['[SC']Nb_personnes_dépendantes]])</f>
        <v>19620563050.408321</v>
      </c>
      <c r="AP210" s="4">
        <f>IF(Base[[#This Row],[Pathologie]]&lt;&gt;"Dépendance",0,Base[[#This Row],['[SC']Coût_total_dépendance]]/Base[[#This Row],[Population_totale]])</f>
        <v>290.09428666691468</v>
      </c>
      <c r="AQ210" s="4">
        <f>IF(Base[[#This Row],[Pathologie]]&lt;&gt;"Dépendance",0,4.5)</f>
        <v>4.5</v>
      </c>
      <c r="AR210" s="4">
        <v>0.50393265050357905</v>
      </c>
      <c r="AS210" s="4">
        <f>Base[[#This Row],[Espérance_vie]]+Base[[#This Row],['[SC']Hausse_esp_de_vie]]-Base[[#This Row],['[SC']Durée_moyenne_dépendance_avt]]+Base[[#This Row],[Risque]]</f>
        <v>80.54625619626313</v>
      </c>
      <c r="AT2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10" s="4">
        <v>62.9</v>
      </c>
      <c r="AW210" s="4">
        <f t="shared" si="0"/>
        <v>336905600000</v>
      </c>
      <c r="AX210" s="4">
        <v>15049171</v>
      </c>
      <c r="AY210" s="4">
        <f>Base[[#This Row],['[SC']Budget_total_retraites]]/Base[[#This Row],['[SC']Nombre_de_retraités]]</f>
        <v>22386.987296509556</v>
      </c>
      <c r="AZ210" s="4">
        <f>Base[[#This Row],['[SC']Budget_par_retraité]]*Base[[#This Row],['[SC']Nb_personnes_dépendantes]]</f>
        <v>29461275282.206577</v>
      </c>
      <c r="BA210" s="4">
        <f>Base[[#This Row],['[SC']'[Dépendance']Coût_retraite_personnes_dépendantes]]/Base[[#This Row],[Population_totale]]</f>
        <v>435.59135460750508</v>
      </c>
      <c r="BB210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10" s="4">
        <f>Base[[#This Row],['[SC']'[Dépendance']Gains]]-Base[[#This Row],['[SC']'[Dépendance']Coûts]]</f>
        <v>65.612721833346214</v>
      </c>
      <c r="BD210" s="4">
        <f>IF(Base[[#This Row],[Pathologie]]&lt;&gt;"Mort prématurée",0,Base[[#This Row],[Risque]]*Base[[#This Row],[Prévalence]]*Base[[#This Row],[Population_totale]])</f>
        <v>0</v>
      </c>
      <c r="BE210" s="4">
        <v>52.74</v>
      </c>
      <c r="BF210" s="4">
        <f>Base[[#This Row],['[SC']Âge_moyen_retraite]]-Base[[#This Row],['[SC']'[Mort_prématurée']Âge_moyen_mort précoce]]</f>
        <v>10.159999999999997</v>
      </c>
      <c r="BG210" s="4">
        <f>Base[[#This Row],[Espérance_vie]]+Base[[#This Row],['[SC']Hausse_esp_de_vie]]-Base[[#This Row],['[SC']Âge_moyen_retraite]]</f>
        <v>19.90101171382144</v>
      </c>
      <c r="BH210" s="4">
        <v>106583.42676924677</v>
      </c>
      <c r="BI210" s="4">
        <v>97601.789429271477</v>
      </c>
      <c r="BJ210" s="4">
        <v>302038.31496633729</v>
      </c>
      <c r="BK210" s="4">
        <v>117293.58934859755</v>
      </c>
      <c r="BL210" s="4">
        <v>1523999.9999999995</v>
      </c>
      <c r="BM2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10" s="4">
        <v>294804.96027377353</v>
      </c>
      <c r="BO2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10" s="4">
        <f>(Base[[#This Row],['[SC']'[Mort_prématurée']Gains]]-Base[[#This Row],['[SC']'[Mort_prématurée']Coûts]])/Base[[#This Row],[Population_totale]]</f>
        <v>0</v>
      </c>
      <c r="BQ210" s="4">
        <f>IF(Base[[#This Row],[Pathologie]]&lt;&gt;"Mort prématurée",0,Base[[#This Row],[Risque]])</f>
        <v>0</v>
      </c>
      <c r="BR210" s="4">
        <v>2680</v>
      </c>
      <c r="BS2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0" s="4">
        <f>Base[[#This Row],[Prévalence_prod]]*(1-Base[[#This Row],[Risque]])*Base[[#This Row],[Durée_arrêt]]*Base[[#This Row],[Population_emploi]]</f>
        <v>0</v>
      </c>
      <c r="BV210" s="4">
        <f>Base[[#This Row],['[Prod']'[Absentéisme']Total_jours_absence_avant]]-Base[[#This Row],['[Prod']'[Absentéisme']Total_jours_absence_après]]</f>
        <v>0</v>
      </c>
      <c r="BW210" s="4">
        <f>IF(AND(Base[[#This Row],[Pathologie]]&lt;&gt;"Dépendance",Base[[#This Row],[Pathologie]]&lt;&gt;"Mort prématurée",Base[[#This Row],[Pathologie]]&lt;&gt;"Migraine"),0.0619,0)</f>
        <v>0</v>
      </c>
      <c r="BX210" s="4">
        <v>254</v>
      </c>
      <c r="BY21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0" s="4">
        <f>Base[[#This Row],[Prévalence_prod]]*Base[[#This Row],[Présentéisme]]*Base[[#This Row],['[Prod']Jours_ouvrés]]</f>
        <v>0</v>
      </c>
      <c r="CB210" s="4">
        <f>Base[[#This Row],[Prévalence_prod]]*(1-Base[[#This Row],[Risque]])*Base[[#This Row],[Présentéisme]]*Base[[#This Row],['[Prod']Jours_ouvrés]]</f>
        <v>0</v>
      </c>
      <c r="CC210" s="4">
        <f>Base[[#This Row],['[Prod']'[Présentéisme']Jours_avant]]-Base[[#This Row],['[Prod']'[Présentéisme']Jours_après]]</f>
        <v>0</v>
      </c>
      <c r="CD210" s="4">
        <f>Base[[#This Row],['[Prod']'[Présentéisme']Jours_gagnés]]/Base[[#This Row],['[Prod']Jours_ouvrés]]</f>
        <v>0</v>
      </c>
      <c r="CE210">
        <v>5.8333039429220801E-2</v>
      </c>
      <c r="CF210">
        <v>1.4658164114728258E-2</v>
      </c>
      <c r="CG210" s="4">
        <v>11</v>
      </c>
      <c r="CH210" s="4">
        <v>0.60922528771817497</v>
      </c>
      <c r="CI210" s="4">
        <v>3.8601807163334179E-3</v>
      </c>
      <c r="CJ210" s="4">
        <f>IF(Base[[#This Row],[Secteur]]&lt;&gt;"Moyenne",Base[[#This Row],['[Prod']'[Turnover']DMC_initiale]]*(1+Base[[#This Row],['[Prod']'[Turnover']Ecart_accidents]]*Base[[#This Row],['[Prod']Impact_motifs_turnover]]),CJ193*CI193+CJ194*CI194+CJ195*CI195+CJ196*CI196+CJ197*CI197+CJ198*CI198+CJ199*CI199+CJ200*CI200+CJ201*CI201+CJ202*CI202+CJ203*CI203+CJ204*CI204+CJ205*CI205+CJ206*CI206+CJ207*CI207+CJ208*CI208+CJ209*CI209)</f>
        <v>11.098231366752371</v>
      </c>
      <c r="CK210" s="4">
        <f>1/Base[[#This Row],['[Prod']'[Turnover']DMC_initiale]]</f>
        <v>9.0909090909090912E-2</v>
      </c>
      <c r="CL210" s="4">
        <f>1/Base[[#This Row],['[Prod']'[Turnover']DMC_finale]]</f>
        <v>9.0104447001867274E-2</v>
      </c>
    </row>
    <row r="211" spans="2:90" x14ac:dyDescent="0.25">
      <c r="B211" s="4" t="s">
        <v>329</v>
      </c>
      <c r="C211">
        <v>7.5</v>
      </c>
      <c r="D211" t="s">
        <v>84</v>
      </c>
      <c r="E211" t="s">
        <v>42</v>
      </c>
      <c r="F211" s="3">
        <v>2.2452444824416888</v>
      </c>
      <c r="G211" s="3">
        <v>0.371</v>
      </c>
      <c r="H211" s="3">
        <v>0.371</v>
      </c>
      <c r="I211" s="3">
        <v>0</v>
      </c>
      <c r="J211" s="3">
        <v>0</v>
      </c>
      <c r="K211" s="3">
        <v>7.0000000000000007E-2</v>
      </c>
      <c r="L211" s="2">
        <f>Base[[#This Row],[Coût]]*Base[[#This Row],[Part_ménages_dépenses_santé]]</f>
        <v>0</v>
      </c>
      <c r="M211" s="2">
        <v>0</v>
      </c>
      <c r="N211" s="6">
        <v>27700000</v>
      </c>
      <c r="O211" s="7">
        <f>Base[[#This Row],[Coût_salarié]]*10^9*Base[[#This Row],[Risque]]*Base[[#This Row],[Prévalence]]*Base[[#This Row],[Part_coûts_salarié]]/Base[[#This Row],[Population_emploi]]</f>
        <v>0</v>
      </c>
      <c r="P211">
        <v>50</v>
      </c>
      <c r="Q211">
        <v>50</v>
      </c>
      <c r="R211" s="2">
        <v>9.9999999999999978E-2</v>
      </c>
      <c r="S211" s="2">
        <v>0.33340000000000003</v>
      </c>
      <c r="T211" s="4">
        <v>0</v>
      </c>
      <c r="U211" s="4">
        <f>IF(Bases_annexes!$F$5=0,16.6587111018772,0.77*Bases_annexes!$F$5/(IF(OR(ISBLANK('Données_d''entrée'!$E$44),'Données_d''entrée'!$E$44=0),35,'Données_d''entrée'!$E$44)*52))</f>
        <v>16.658711101877199</v>
      </c>
      <c r="V211" s="4">
        <v>0</v>
      </c>
      <c r="W2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1" s="4">
        <v>234.5</v>
      </c>
      <c r="Y211" s="4">
        <f>(Base[[#This Row],['[Maladies']Coûts_évités_par_salarié]]+Base[[#This Row],['[Travail']Coûts_évités_par_salarié]])/Base[[#This Row],[Budget_santé_salarié]]</f>
        <v>0</v>
      </c>
      <c r="Z211" s="4">
        <v>0.8</v>
      </c>
      <c r="AA211" s="4">
        <f>Base[[#This Row],[Coût]]*Base[[#This Row],[Part_société_dépenses_santé]]</f>
        <v>0</v>
      </c>
      <c r="AB211" s="4">
        <v>67635124</v>
      </c>
      <c r="AC211" s="4">
        <v>82.297079063317852</v>
      </c>
      <c r="AD211" s="4">
        <v>0</v>
      </c>
      <c r="AE211" s="4">
        <f>Base[[#This Row],['[SC']Prévalence_travail]]*Base[[#This Row],[Population_emploi]]</f>
        <v>0</v>
      </c>
      <c r="AF211" s="4">
        <f>Base[[#This Row],[Risque]]*Base[[#This Row],['[SC']Patients_en_emploi]]</f>
        <v>0</v>
      </c>
      <c r="AG211" s="4">
        <v>0</v>
      </c>
      <c r="AH211" s="4">
        <f>IFERROR(Base[[#This Row],['[SC']Prestations]]/Base[[#This Row],['[SC']Patients_en_emploi]],0)</f>
        <v>0</v>
      </c>
      <c r="AI211" s="4">
        <v>51.7</v>
      </c>
      <c r="AJ2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1" s="4">
        <f>Base[[#This Row],['[SC']'[Travail']Coûts_évités]]/Base[[#This Row],[Population_emploi]]</f>
        <v>0</v>
      </c>
      <c r="AL211" s="4">
        <f>Base[[#This Row],[Coût_société]]*10^9*Base[[#This Row],[Risque]]*Base[[#This Row],[Prévalence]]*Base[[#This Row],[Part_coûts_salarié]]/Base[[#This Row],[Population_emploi]]</f>
        <v>0</v>
      </c>
      <c r="AM211" s="4">
        <f>IF(Base[[#This Row],[Pathologie]]&lt;&gt;"Dépendance",0,14909.24243952)</f>
        <v>14909.24243952</v>
      </c>
      <c r="AN211" s="4">
        <f>IF(Base[[#This Row],[Pathologie]]&lt;&gt;"Dépendance",0,1316000)</f>
        <v>1316000</v>
      </c>
      <c r="AO211" s="4">
        <f>IF(Base[[#This Row],[Pathologie]]&lt;&gt;"Dépendance",0,Base[[#This Row],['[SC']Coût_personne_dépendante]]*Base[[#This Row],['[SC']Nb_personnes_dépendantes]])</f>
        <v>19620563050.408321</v>
      </c>
      <c r="AP211" s="4">
        <f>IF(Base[[#This Row],[Pathologie]]&lt;&gt;"Dépendance",0,Base[[#This Row],['[SC']Coût_total_dépendance]]/Base[[#This Row],[Population_totale]])</f>
        <v>290.09428666691468</v>
      </c>
      <c r="AQ211" s="4">
        <f>IF(Base[[#This Row],[Pathologie]]&lt;&gt;"Dépendance",0,4.5)</f>
        <v>4.5</v>
      </c>
      <c r="AR211" s="4">
        <v>0.50393265050357905</v>
      </c>
      <c r="AS211" s="4">
        <f>Base[[#This Row],[Espérance_vie]]+Base[[#This Row],['[SC']Hausse_esp_de_vie]]-Base[[#This Row],['[SC']Durée_moyenne_dépendance_avt]]+Base[[#This Row],[Risque]]</f>
        <v>80.54625619626313</v>
      </c>
      <c r="AT2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11" s="4">
        <v>62.9</v>
      </c>
      <c r="AW211" s="4">
        <f t="shared" si="0"/>
        <v>336905600000</v>
      </c>
      <c r="AX211" s="4">
        <v>15049171</v>
      </c>
      <c r="AY211" s="4">
        <f>Base[[#This Row],['[SC']Budget_total_retraites]]/Base[[#This Row],['[SC']Nombre_de_retraités]]</f>
        <v>22386.987296509556</v>
      </c>
      <c r="AZ211" s="4">
        <f>Base[[#This Row],['[SC']Budget_par_retraité]]*Base[[#This Row],['[SC']Nb_personnes_dépendantes]]</f>
        <v>29461275282.206577</v>
      </c>
      <c r="BA211" s="4">
        <f>Base[[#This Row],['[SC']'[Dépendance']Coût_retraite_personnes_dépendantes]]/Base[[#This Row],[Population_totale]]</f>
        <v>435.59135460750508</v>
      </c>
      <c r="BB211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11" s="4">
        <f>Base[[#This Row],['[SC']'[Dépendance']Gains]]-Base[[#This Row],['[SC']'[Dépendance']Coûts]]</f>
        <v>65.612721833346214</v>
      </c>
      <c r="BD211" s="4">
        <f>IF(Base[[#This Row],[Pathologie]]&lt;&gt;"Mort prématurée",0,Base[[#This Row],[Risque]]*Base[[#This Row],[Prévalence]]*Base[[#This Row],[Population_totale]])</f>
        <v>0</v>
      </c>
      <c r="BE211" s="4">
        <v>52.74</v>
      </c>
      <c r="BF211" s="4">
        <f>Base[[#This Row],['[SC']Âge_moyen_retraite]]-Base[[#This Row],['[SC']'[Mort_prématurée']Âge_moyen_mort précoce]]</f>
        <v>10.159999999999997</v>
      </c>
      <c r="BG211" s="4">
        <f>Base[[#This Row],[Espérance_vie]]+Base[[#This Row],['[SC']Hausse_esp_de_vie]]-Base[[#This Row],['[SC']Âge_moyen_retraite]]</f>
        <v>19.90101171382144</v>
      </c>
      <c r="BH211" s="4">
        <v>106583.42676924677</v>
      </c>
      <c r="BI211" s="4">
        <v>97601.789429271477</v>
      </c>
      <c r="BJ211" s="4">
        <v>302038.31496633729</v>
      </c>
      <c r="BK211" s="4">
        <v>117293.58934859755</v>
      </c>
      <c r="BL211" s="4">
        <v>1523999.9999999995</v>
      </c>
      <c r="BM2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11" s="4">
        <v>294804.96027377353</v>
      </c>
      <c r="BO2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11" s="4">
        <f>(Base[[#This Row],['[SC']'[Mort_prématurée']Gains]]-Base[[#This Row],['[SC']'[Mort_prématurée']Coûts]])/Base[[#This Row],[Population_totale]]</f>
        <v>0</v>
      </c>
      <c r="BQ211" s="4">
        <f>IF(Base[[#This Row],[Pathologie]]&lt;&gt;"Mort prématurée",0,Base[[#This Row],[Risque]])</f>
        <v>0</v>
      </c>
      <c r="BR211" s="4">
        <v>2680</v>
      </c>
      <c r="BS2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1" s="4">
        <f>Base[[#This Row],[Prévalence_prod]]*(1-Base[[#This Row],[Risque]])*Base[[#This Row],[Durée_arrêt]]*Base[[#This Row],[Population_emploi]]</f>
        <v>0</v>
      </c>
      <c r="BV211" s="4">
        <f>Base[[#This Row],['[Prod']'[Absentéisme']Total_jours_absence_avant]]-Base[[#This Row],['[Prod']'[Absentéisme']Total_jours_absence_après]]</f>
        <v>0</v>
      </c>
      <c r="BW211" s="4">
        <f>IF(AND(Base[[#This Row],[Pathologie]]&lt;&gt;"Dépendance",Base[[#This Row],[Pathologie]]&lt;&gt;"Mort prématurée",Base[[#This Row],[Pathologie]]&lt;&gt;"Migraine"),0.0619,0)</f>
        <v>0</v>
      </c>
      <c r="BX211" s="4">
        <v>254</v>
      </c>
      <c r="BY21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1" s="4">
        <f>Base[[#This Row],[Prévalence_prod]]*Base[[#This Row],[Présentéisme]]*Base[[#This Row],['[Prod']Jours_ouvrés]]</f>
        <v>0</v>
      </c>
      <c r="CB211" s="4">
        <f>Base[[#This Row],[Prévalence_prod]]*(1-Base[[#This Row],[Risque]])*Base[[#This Row],[Présentéisme]]*Base[[#This Row],['[Prod']Jours_ouvrés]]</f>
        <v>0</v>
      </c>
      <c r="CC211" s="4">
        <f>Base[[#This Row],['[Prod']'[Présentéisme']Jours_avant]]-Base[[#This Row],['[Prod']'[Présentéisme']Jours_après]]</f>
        <v>0</v>
      </c>
      <c r="CD211" s="4">
        <f>Base[[#This Row],['[Prod']'[Présentéisme']Jours_gagnés]]/Base[[#This Row],['[Prod']Jours_ouvrés]]</f>
        <v>0</v>
      </c>
      <c r="CE211">
        <v>5.8333039429220801E-2</v>
      </c>
      <c r="CF211">
        <v>1.4658164114728258E-2</v>
      </c>
      <c r="CG211" s="4">
        <v>11</v>
      </c>
      <c r="CH211" s="4">
        <v>0.78414927716175975</v>
      </c>
      <c r="CI211" s="4">
        <v>0.12835819090128339</v>
      </c>
      <c r="CJ211" s="4">
        <f>IF(Base[[#This Row],[Secteur]]&lt;&gt;"Moyenne",Base[[#This Row],['[Prod']'[Turnover']DMC_initiale]]*(1+Base[[#This Row],['[Prod']'[Turnover']Ecart_accidents]]*Base[[#This Row],['[Prod']Impact_motifs_turnover]]),CJ194*CI194+CJ195*CI195+CJ196*CI196+CJ197*CI197+CJ198*CI198+CJ199*CI199+CJ200*CI200+CJ201*CI201+CJ202*CI202+CJ203*CI203+CJ204*CI204+CJ205*CI205+CJ206*CI206+CJ207*CI207+CJ208*CI208+CJ209*CI209+CJ210*CI210)</f>
        <v>11.126436076745907</v>
      </c>
      <c r="CK211" s="4">
        <f>1/Base[[#This Row],['[Prod']'[Turnover']DMC_initiale]]</f>
        <v>9.0909090909090912E-2</v>
      </c>
      <c r="CL211" s="4">
        <f>1/Base[[#This Row],['[Prod']'[Turnover']DMC_finale]]</f>
        <v>8.9876038751526707E-2</v>
      </c>
    </row>
    <row r="212" spans="2:90" x14ac:dyDescent="0.25">
      <c r="B212" s="4" t="s">
        <v>330</v>
      </c>
      <c r="C212">
        <v>7.5</v>
      </c>
      <c r="D212" t="s">
        <v>84</v>
      </c>
      <c r="E212" t="s">
        <v>42</v>
      </c>
      <c r="F212" s="3">
        <v>2.2452444824416888</v>
      </c>
      <c r="G212" s="3">
        <v>0.371</v>
      </c>
      <c r="H212" s="3">
        <v>0.371</v>
      </c>
      <c r="I212" s="3">
        <v>0</v>
      </c>
      <c r="J212" s="3">
        <v>0</v>
      </c>
      <c r="K212" s="3">
        <v>7.0000000000000007E-2</v>
      </c>
      <c r="L212" s="2">
        <f>Base[[#This Row],[Coût]]*Base[[#This Row],[Part_ménages_dépenses_santé]]</f>
        <v>0</v>
      </c>
      <c r="M212" s="2">
        <v>0</v>
      </c>
      <c r="N212" s="6">
        <v>27700000</v>
      </c>
      <c r="O212" s="7">
        <f>Base[[#This Row],[Coût_salarié]]*10^9*Base[[#This Row],[Risque]]*Base[[#This Row],[Prévalence]]*Base[[#This Row],[Part_coûts_salarié]]/Base[[#This Row],[Population_emploi]]</f>
        <v>0</v>
      </c>
      <c r="P212">
        <v>50</v>
      </c>
      <c r="Q212">
        <v>50</v>
      </c>
      <c r="R212" s="2">
        <v>9.9999999999999978E-2</v>
      </c>
      <c r="S212" s="2">
        <v>0.33340000000000003</v>
      </c>
      <c r="T212" s="4">
        <v>0</v>
      </c>
      <c r="U212" s="4">
        <f>IF(Bases_annexes!$F$5=0,16.6587111018772,0.77*Bases_annexes!$F$5/(IF(OR(ISBLANK('Données_d''entrée'!$E$44),'Données_d''entrée'!$E$44=0),35,'Données_d''entrée'!$E$44)*52))</f>
        <v>16.658711101877199</v>
      </c>
      <c r="V212" s="4">
        <v>0</v>
      </c>
      <c r="W2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2" s="4">
        <v>234.5</v>
      </c>
      <c r="Y212" s="4">
        <f>(Base[[#This Row],['[Maladies']Coûts_évités_par_salarié]]+Base[[#This Row],['[Travail']Coûts_évités_par_salarié]])/Base[[#This Row],[Budget_santé_salarié]]</f>
        <v>0</v>
      </c>
      <c r="Z212" s="4">
        <v>0.8</v>
      </c>
      <c r="AA212" s="4">
        <f>Base[[#This Row],[Coût]]*Base[[#This Row],[Part_société_dépenses_santé]]</f>
        <v>0</v>
      </c>
      <c r="AB212" s="4">
        <v>67635124</v>
      </c>
      <c r="AC212" s="4">
        <v>82.297079063317852</v>
      </c>
      <c r="AD212" s="4">
        <v>0</v>
      </c>
      <c r="AE212" s="4">
        <f>Base[[#This Row],['[SC']Prévalence_travail]]*Base[[#This Row],[Population_emploi]]</f>
        <v>0</v>
      </c>
      <c r="AF212" s="4">
        <f>Base[[#This Row],[Risque]]*Base[[#This Row],['[SC']Patients_en_emploi]]</f>
        <v>0</v>
      </c>
      <c r="AG212" s="4">
        <v>0</v>
      </c>
      <c r="AH212" s="4">
        <f>IFERROR(Base[[#This Row],['[SC']Prestations]]/Base[[#This Row],['[SC']Patients_en_emploi]],0)</f>
        <v>0</v>
      </c>
      <c r="AI212" s="4">
        <v>51.7</v>
      </c>
      <c r="AJ2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2" s="4">
        <f>Base[[#This Row],['[SC']'[Travail']Coûts_évités]]/Base[[#This Row],[Population_emploi]]</f>
        <v>0</v>
      </c>
      <c r="AL212" s="4">
        <f>Base[[#This Row],[Coût_société]]*10^9*Base[[#This Row],[Risque]]*Base[[#This Row],[Prévalence]]*Base[[#This Row],[Part_coûts_salarié]]/Base[[#This Row],[Population_emploi]]</f>
        <v>0</v>
      </c>
      <c r="AM212" s="4">
        <f>IF(Base[[#This Row],[Pathologie]]&lt;&gt;"Dépendance",0,14909.24243952)</f>
        <v>14909.24243952</v>
      </c>
      <c r="AN212" s="4">
        <f>IF(Base[[#This Row],[Pathologie]]&lt;&gt;"Dépendance",0,1316000)</f>
        <v>1316000</v>
      </c>
      <c r="AO212" s="4">
        <f>IF(Base[[#This Row],[Pathologie]]&lt;&gt;"Dépendance",0,Base[[#This Row],['[SC']Coût_personne_dépendante]]*Base[[#This Row],['[SC']Nb_personnes_dépendantes]])</f>
        <v>19620563050.408321</v>
      </c>
      <c r="AP212" s="4">
        <f>IF(Base[[#This Row],[Pathologie]]&lt;&gt;"Dépendance",0,Base[[#This Row],['[SC']Coût_total_dépendance]]/Base[[#This Row],[Population_totale]])</f>
        <v>290.09428666691468</v>
      </c>
      <c r="AQ212" s="4">
        <f>IF(Base[[#This Row],[Pathologie]]&lt;&gt;"Dépendance",0,4.5)</f>
        <v>4.5</v>
      </c>
      <c r="AR212" s="4">
        <v>0.50393265050357905</v>
      </c>
      <c r="AS212" s="4">
        <f>Base[[#This Row],[Espérance_vie]]+Base[[#This Row],['[SC']Hausse_esp_de_vie]]-Base[[#This Row],['[SC']Durée_moyenne_dépendance_avt]]+Base[[#This Row],[Risque]]</f>
        <v>80.54625619626313</v>
      </c>
      <c r="AT2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12" s="4">
        <v>62.9</v>
      </c>
      <c r="AW212" s="4">
        <f t="shared" si="0"/>
        <v>336905600000</v>
      </c>
      <c r="AX212" s="4">
        <v>15049171</v>
      </c>
      <c r="AY212" s="4">
        <f>Base[[#This Row],['[SC']Budget_total_retraites]]/Base[[#This Row],['[SC']Nombre_de_retraités]]</f>
        <v>22386.987296509556</v>
      </c>
      <c r="AZ212" s="4">
        <f>Base[[#This Row],['[SC']Budget_par_retraité]]*Base[[#This Row],['[SC']Nb_personnes_dépendantes]]</f>
        <v>29461275282.206577</v>
      </c>
      <c r="BA212" s="4">
        <f>Base[[#This Row],['[SC']'[Dépendance']Coût_retraite_personnes_dépendantes]]/Base[[#This Row],[Population_totale]]</f>
        <v>435.59135460750508</v>
      </c>
      <c r="BB212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12" s="4">
        <f>Base[[#This Row],['[SC']'[Dépendance']Gains]]-Base[[#This Row],['[SC']'[Dépendance']Coûts]]</f>
        <v>65.612721833346214</v>
      </c>
      <c r="BD212" s="4">
        <f>IF(Base[[#This Row],[Pathologie]]&lt;&gt;"Mort prématurée",0,Base[[#This Row],[Risque]]*Base[[#This Row],[Prévalence]]*Base[[#This Row],[Population_totale]])</f>
        <v>0</v>
      </c>
      <c r="BE212" s="4">
        <v>52.74</v>
      </c>
      <c r="BF212" s="4">
        <f>Base[[#This Row],['[SC']Âge_moyen_retraite]]-Base[[#This Row],['[SC']'[Mort_prématurée']Âge_moyen_mort précoce]]</f>
        <v>10.159999999999997</v>
      </c>
      <c r="BG212" s="4">
        <f>Base[[#This Row],[Espérance_vie]]+Base[[#This Row],['[SC']Hausse_esp_de_vie]]-Base[[#This Row],['[SC']Âge_moyen_retraite]]</f>
        <v>19.90101171382144</v>
      </c>
      <c r="BH212" s="4">
        <v>106583.42676924677</v>
      </c>
      <c r="BI212" s="4">
        <v>97601.789429271477</v>
      </c>
      <c r="BJ212" s="4">
        <v>302038.31496633729</v>
      </c>
      <c r="BK212" s="4">
        <v>117293.58934859755</v>
      </c>
      <c r="BL212" s="4">
        <v>1523999.9999999995</v>
      </c>
      <c r="BM2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12" s="4">
        <v>294804.96027377353</v>
      </c>
      <c r="BO2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12" s="4">
        <f>(Base[[#This Row],['[SC']'[Mort_prématurée']Gains]]-Base[[#This Row],['[SC']'[Mort_prématurée']Coûts]])/Base[[#This Row],[Population_totale]]</f>
        <v>0</v>
      </c>
      <c r="BQ212" s="4">
        <f>IF(Base[[#This Row],[Pathologie]]&lt;&gt;"Mort prématurée",0,Base[[#This Row],[Risque]])</f>
        <v>0</v>
      </c>
      <c r="BR212" s="4">
        <v>2680</v>
      </c>
      <c r="BS2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2" s="4">
        <f>Base[[#This Row],[Prévalence_prod]]*(1-Base[[#This Row],[Risque]])*Base[[#This Row],[Durée_arrêt]]*Base[[#This Row],[Population_emploi]]</f>
        <v>0</v>
      </c>
      <c r="BV212" s="4">
        <f>Base[[#This Row],['[Prod']'[Absentéisme']Total_jours_absence_avant]]-Base[[#This Row],['[Prod']'[Absentéisme']Total_jours_absence_après]]</f>
        <v>0</v>
      </c>
      <c r="BW212" s="4">
        <f>IF(AND(Base[[#This Row],[Pathologie]]&lt;&gt;"Dépendance",Base[[#This Row],[Pathologie]]&lt;&gt;"Mort prématurée",Base[[#This Row],[Pathologie]]&lt;&gt;"Migraine"),0.0619,0)</f>
        <v>0</v>
      </c>
      <c r="BX212" s="4">
        <v>254</v>
      </c>
      <c r="BY21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2" s="4">
        <f>Base[[#This Row],[Prévalence_prod]]*Base[[#This Row],[Présentéisme]]*Base[[#This Row],['[Prod']Jours_ouvrés]]</f>
        <v>0</v>
      </c>
      <c r="CB212" s="4">
        <f>Base[[#This Row],[Prévalence_prod]]*(1-Base[[#This Row],[Risque]])*Base[[#This Row],[Présentéisme]]*Base[[#This Row],['[Prod']Jours_ouvrés]]</f>
        <v>0</v>
      </c>
      <c r="CC212" s="4">
        <f>Base[[#This Row],['[Prod']'[Présentéisme']Jours_avant]]-Base[[#This Row],['[Prod']'[Présentéisme']Jours_après]]</f>
        <v>0</v>
      </c>
      <c r="CD212" s="4">
        <f>Base[[#This Row],['[Prod']'[Présentéisme']Jours_gagnés]]/Base[[#This Row],['[Prod']Jours_ouvrés]]</f>
        <v>0</v>
      </c>
      <c r="CE212">
        <v>5.8333039429220801E-2</v>
      </c>
      <c r="CF212">
        <v>1.4658164114728258E-2</v>
      </c>
      <c r="CG212" s="4">
        <v>11</v>
      </c>
      <c r="CH212" s="4">
        <v>0.99648427619813984</v>
      </c>
      <c r="CI212" s="4">
        <v>0.42377466100567313</v>
      </c>
      <c r="CJ212" s="4">
        <f>IF(Base[[#This Row],[Secteur]]&lt;&gt;"Moyenne",Base[[#This Row],['[Prod']'[Turnover']DMC_initiale]]*(1+Base[[#This Row],['[Prod']'[Turnover']Ecart_accidents]]*Base[[#This Row],['[Prod']Impact_motifs_turnover]]),CJ195*CI195+CJ196*CI196+CJ197*CI197+CJ198*CI198+CJ199*CI199+CJ200*CI200+CJ201*CI201+CJ202*CI202+CJ203*CI203+CJ204*CI204+CJ205*CI205+CJ206*CI206+CJ207*CI207+CJ208*CI208+CJ209*CI209+CJ210*CI210+CJ211*CI211)</f>
        <v>11.160672930640844</v>
      </c>
      <c r="CK212" s="4">
        <f>1/Base[[#This Row],['[Prod']'[Turnover']DMC_initiale]]</f>
        <v>9.0909090909090912E-2</v>
      </c>
      <c r="CL212" s="4">
        <f>1/Base[[#This Row],['[Prod']'[Turnover']DMC_finale]]</f>
        <v>8.9600332006376626E-2</v>
      </c>
    </row>
    <row r="213" spans="2:90" x14ac:dyDescent="0.25">
      <c r="B213" s="4" t="s">
        <v>331</v>
      </c>
      <c r="C213">
        <v>7.5</v>
      </c>
      <c r="D213" t="s">
        <v>84</v>
      </c>
      <c r="E213" t="s">
        <v>42</v>
      </c>
      <c r="F213" s="3">
        <v>2.2452444824416888</v>
      </c>
      <c r="G213" s="3">
        <v>0.371</v>
      </c>
      <c r="H213" s="3">
        <v>0.371</v>
      </c>
      <c r="I213" s="3">
        <v>0</v>
      </c>
      <c r="J213" s="3">
        <v>0</v>
      </c>
      <c r="K213" s="3">
        <v>7.0000000000000007E-2</v>
      </c>
      <c r="L213" s="2">
        <f>Base[[#This Row],[Coût]]*Base[[#This Row],[Part_ménages_dépenses_santé]]</f>
        <v>0</v>
      </c>
      <c r="M213" s="2">
        <v>0</v>
      </c>
      <c r="N213" s="6">
        <v>27700000</v>
      </c>
      <c r="O213" s="7">
        <f>Base[[#This Row],[Coût_salarié]]*10^9*Base[[#This Row],[Risque]]*Base[[#This Row],[Prévalence]]*Base[[#This Row],[Part_coûts_salarié]]/Base[[#This Row],[Population_emploi]]</f>
        <v>0</v>
      </c>
      <c r="P213">
        <v>50</v>
      </c>
      <c r="Q213">
        <v>50</v>
      </c>
      <c r="R213" s="2">
        <v>9.9999999999999978E-2</v>
      </c>
      <c r="S213" s="2">
        <v>0.33340000000000003</v>
      </c>
      <c r="T213" s="4">
        <v>0</v>
      </c>
      <c r="U213" s="4">
        <f>IF(Bases_annexes!$F$5=0,16.6587111018772,0.77*Bases_annexes!$F$5/(IF(OR(ISBLANK('Données_d''entrée'!$E$44),'Données_d''entrée'!$E$44=0),35,'Données_d''entrée'!$E$44)*52))</f>
        <v>16.658711101877199</v>
      </c>
      <c r="V213" s="4">
        <v>0</v>
      </c>
      <c r="W2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3" s="4">
        <v>234.5</v>
      </c>
      <c r="Y213" s="4">
        <f>(Base[[#This Row],['[Maladies']Coûts_évités_par_salarié]]+Base[[#This Row],['[Travail']Coûts_évités_par_salarié]])/Base[[#This Row],[Budget_santé_salarié]]</f>
        <v>0</v>
      </c>
      <c r="Z213" s="4">
        <v>0.8</v>
      </c>
      <c r="AA213" s="4">
        <f>Base[[#This Row],[Coût]]*Base[[#This Row],[Part_société_dépenses_santé]]</f>
        <v>0</v>
      </c>
      <c r="AB213" s="4">
        <v>67635124</v>
      </c>
      <c r="AC213" s="4">
        <v>82.297079063317852</v>
      </c>
      <c r="AD213" s="4">
        <v>0</v>
      </c>
      <c r="AE213" s="4">
        <f>Base[[#This Row],['[SC']Prévalence_travail]]*Base[[#This Row],[Population_emploi]]</f>
        <v>0</v>
      </c>
      <c r="AF213" s="4">
        <f>Base[[#This Row],[Risque]]*Base[[#This Row],['[SC']Patients_en_emploi]]</f>
        <v>0</v>
      </c>
      <c r="AG213" s="4">
        <v>0</v>
      </c>
      <c r="AH213" s="4">
        <f>IFERROR(Base[[#This Row],['[SC']Prestations]]/Base[[#This Row],['[SC']Patients_en_emploi]],0)</f>
        <v>0</v>
      </c>
      <c r="AI213" s="4">
        <v>51.7</v>
      </c>
      <c r="AJ2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3" s="4">
        <f>Base[[#This Row],['[SC']'[Travail']Coûts_évités]]/Base[[#This Row],[Population_emploi]]</f>
        <v>0</v>
      </c>
      <c r="AL213" s="4">
        <f>Base[[#This Row],[Coût_société]]*10^9*Base[[#This Row],[Risque]]*Base[[#This Row],[Prévalence]]*Base[[#This Row],[Part_coûts_salarié]]/Base[[#This Row],[Population_emploi]]</f>
        <v>0</v>
      </c>
      <c r="AM213" s="4">
        <f>IF(Base[[#This Row],[Pathologie]]&lt;&gt;"Dépendance",0,14909.24243952)</f>
        <v>14909.24243952</v>
      </c>
      <c r="AN213" s="4">
        <f>IF(Base[[#This Row],[Pathologie]]&lt;&gt;"Dépendance",0,1316000)</f>
        <v>1316000</v>
      </c>
      <c r="AO213" s="4">
        <f>IF(Base[[#This Row],[Pathologie]]&lt;&gt;"Dépendance",0,Base[[#This Row],['[SC']Coût_personne_dépendante]]*Base[[#This Row],['[SC']Nb_personnes_dépendantes]])</f>
        <v>19620563050.408321</v>
      </c>
      <c r="AP213" s="4">
        <f>IF(Base[[#This Row],[Pathologie]]&lt;&gt;"Dépendance",0,Base[[#This Row],['[SC']Coût_total_dépendance]]/Base[[#This Row],[Population_totale]])</f>
        <v>290.09428666691468</v>
      </c>
      <c r="AQ213" s="4">
        <f>IF(Base[[#This Row],[Pathologie]]&lt;&gt;"Dépendance",0,4.5)</f>
        <v>4.5</v>
      </c>
      <c r="AR213" s="4">
        <v>0.50393265050357905</v>
      </c>
      <c r="AS213" s="4">
        <f>Base[[#This Row],[Espérance_vie]]+Base[[#This Row],['[SC']Hausse_esp_de_vie]]-Base[[#This Row],['[SC']Durée_moyenne_dépendance_avt]]+Base[[#This Row],[Risque]]</f>
        <v>80.54625619626313</v>
      </c>
      <c r="AT2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13" s="4">
        <v>62.9</v>
      </c>
      <c r="AW213" s="4">
        <f t="shared" si="0"/>
        <v>336905600000</v>
      </c>
      <c r="AX213" s="4">
        <v>15049171</v>
      </c>
      <c r="AY213" s="4">
        <f>Base[[#This Row],['[SC']Budget_total_retraites]]/Base[[#This Row],['[SC']Nombre_de_retraités]]</f>
        <v>22386.987296509556</v>
      </c>
      <c r="AZ213" s="4">
        <f>Base[[#This Row],['[SC']Budget_par_retraité]]*Base[[#This Row],['[SC']Nb_personnes_dépendantes]]</f>
        <v>29461275282.206577</v>
      </c>
      <c r="BA213" s="4">
        <f>Base[[#This Row],['[SC']'[Dépendance']Coût_retraite_personnes_dépendantes]]/Base[[#This Row],[Population_totale]]</f>
        <v>435.59135460750508</v>
      </c>
      <c r="BB213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13" s="4">
        <f>Base[[#This Row],['[SC']'[Dépendance']Gains]]-Base[[#This Row],['[SC']'[Dépendance']Coûts]]</f>
        <v>65.612721833346214</v>
      </c>
      <c r="BD213" s="4">
        <f>IF(Base[[#This Row],[Pathologie]]&lt;&gt;"Mort prématurée",0,Base[[#This Row],[Risque]]*Base[[#This Row],[Prévalence]]*Base[[#This Row],[Population_totale]])</f>
        <v>0</v>
      </c>
      <c r="BE213" s="4">
        <v>52.74</v>
      </c>
      <c r="BF213" s="4">
        <f>Base[[#This Row],['[SC']Âge_moyen_retraite]]-Base[[#This Row],['[SC']'[Mort_prématurée']Âge_moyen_mort précoce]]</f>
        <v>10.159999999999997</v>
      </c>
      <c r="BG213" s="4">
        <f>Base[[#This Row],[Espérance_vie]]+Base[[#This Row],['[SC']Hausse_esp_de_vie]]-Base[[#This Row],['[SC']Âge_moyen_retraite]]</f>
        <v>19.90101171382144</v>
      </c>
      <c r="BH213" s="4">
        <v>106583.42676924677</v>
      </c>
      <c r="BI213" s="4">
        <v>97601.789429271477</v>
      </c>
      <c r="BJ213" s="4">
        <v>302038.31496633729</v>
      </c>
      <c r="BK213" s="4">
        <v>117293.58934859755</v>
      </c>
      <c r="BL213" s="4">
        <v>1523999.9999999995</v>
      </c>
      <c r="BM2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13" s="4">
        <v>294804.96027377353</v>
      </c>
      <c r="BO2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13" s="4">
        <f>(Base[[#This Row],['[SC']'[Mort_prématurée']Gains]]-Base[[#This Row],['[SC']'[Mort_prématurée']Coûts]])/Base[[#This Row],[Population_totale]]</f>
        <v>0</v>
      </c>
      <c r="BQ213" s="4">
        <f>IF(Base[[#This Row],[Pathologie]]&lt;&gt;"Mort prématurée",0,Base[[#This Row],[Risque]])</f>
        <v>0</v>
      </c>
      <c r="BR213" s="4">
        <v>2680</v>
      </c>
      <c r="BS2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3" s="4">
        <f>Base[[#This Row],[Prévalence_prod]]*(1-Base[[#This Row],[Risque]])*Base[[#This Row],[Durée_arrêt]]*Base[[#This Row],[Population_emploi]]</f>
        <v>0</v>
      </c>
      <c r="BV213" s="4">
        <f>Base[[#This Row],['[Prod']'[Absentéisme']Total_jours_absence_avant]]-Base[[#This Row],['[Prod']'[Absentéisme']Total_jours_absence_après]]</f>
        <v>0</v>
      </c>
      <c r="BW213" s="4">
        <f>IF(AND(Base[[#This Row],[Pathologie]]&lt;&gt;"Dépendance",Base[[#This Row],[Pathologie]]&lt;&gt;"Mort prématurée",Base[[#This Row],[Pathologie]]&lt;&gt;"Migraine"),0.0619,0)</f>
        <v>0</v>
      </c>
      <c r="BX213" s="4">
        <v>254</v>
      </c>
      <c r="BY21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3" s="4">
        <f>Base[[#This Row],[Prévalence_prod]]*Base[[#This Row],[Présentéisme]]*Base[[#This Row],['[Prod']Jours_ouvrés]]</f>
        <v>0</v>
      </c>
      <c r="CB213" s="4">
        <f>Base[[#This Row],[Prévalence_prod]]*(1-Base[[#This Row],[Risque]])*Base[[#This Row],[Présentéisme]]*Base[[#This Row],['[Prod']Jours_ouvrés]]</f>
        <v>0</v>
      </c>
      <c r="CC213" s="4">
        <f>Base[[#This Row],['[Prod']'[Présentéisme']Jours_avant]]-Base[[#This Row],['[Prod']'[Présentéisme']Jours_après]]</f>
        <v>0</v>
      </c>
      <c r="CD213" s="4">
        <f>Base[[#This Row],['[Prod']'[Présentéisme']Jours_gagnés]]/Base[[#This Row],['[Prod']Jours_ouvrés]]</f>
        <v>0</v>
      </c>
      <c r="CE213">
        <v>5.8333039429220801E-2</v>
      </c>
      <c r="CF213">
        <v>1.4658164114728258E-2</v>
      </c>
      <c r="CG213" s="4">
        <v>11</v>
      </c>
      <c r="CH213" s="4">
        <v>1.1593596509901765</v>
      </c>
      <c r="CI213" s="4">
        <v>4.0741311947357597E-2</v>
      </c>
      <c r="CJ213" s="4">
        <f>IF(Base[[#This Row],[Secteur]]&lt;&gt;"Moyenne",Base[[#This Row],['[Prod']'[Turnover']DMC_initiale]]*(1+Base[[#This Row],['[Prod']'[Turnover']Ecart_accidents]]*Base[[#This Row],['[Prod']Impact_motifs_turnover]]),CJ196*CI196+CJ197*CI197+CJ198*CI198+CJ199*CI199+CJ200*CI200+CJ201*CI201+CJ202*CI202+CJ203*CI203+CJ204*CI204+CJ205*CI205+CJ206*CI206+CJ207*CI207+CJ208*CI208+CJ209*CI209+CJ210*CI210+CJ211*CI211+CJ212*CI212)</f>
        <v>11.186934924354288</v>
      </c>
      <c r="CK213" s="4">
        <f>1/Base[[#This Row],['[Prod']'[Turnover']DMC_initiale]]</f>
        <v>9.0909090909090912E-2</v>
      </c>
      <c r="CL213" s="4">
        <f>1/Base[[#This Row],['[Prod']'[Turnover']DMC_finale]]</f>
        <v>8.9389989908940148E-2</v>
      </c>
    </row>
    <row r="214" spans="2:90" x14ac:dyDescent="0.25">
      <c r="B214" s="4" t="s">
        <v>332</v>
      </c>
      <c r="C214">
        <v>7.5</v>
      </c>
      <c r="D214" t="s">
        <v>84</v>
      </c>
      <c r="E214" t="s">
        <v>42</v>
      </c>
      <c r="F214" s="3">
        <v>2.2452444824416888</v>
      </c>
      <c r="G214" s="3">
        <v>0.371</v>
      </c>
      <c r="H214" s="3">
        <v>0.371</v>
      </c>
      <c r="I214" s="3">
        <v>0</v>
      </c>
      <c r="J214" s="3">
        <v>0</v>
      </c>
      <c r="K214" s="3">
        <v>7.0000000000000007E-2</v>
      </c>
      <c r="L214" s="2">
        <f>Base[[#This Row],[Coût]]*Base[[#This Row],[Part_ménages_dépenses_santé]]</f>
        <v>0</v>
      </c>
      <c r="M214" s="2">
        <v>0</v>
      </c>
      <c r="N214" s="6">
        <v>27700000</v>
      </c>
      <c r="O214" s="7">
        <f>Base[[#This Row],[Coût_salarié]]*10^9*Base[[#This Row],[Risque]]*Base[[#This Row],[Prévalence]]*Base[[#This Row],[Part_coûts_salarié]]/Base[[#This Row],[Population_emploi]]</f>
        <v>0</v>
      </c>
      <c r="P214">
        <v>50</v>
      </c>
      <c r="Q214">
        <v>50</v>
      </c>
      <c r="R214" s="2">
        <v>9.9999999999999978E-2</v>
      </c>
      <c r="S214" s="2">
        <v>0.33340000000000003</v>
      </c>
      <c r="T214" s="4">
        <v>0</v>
      </c>
      <c r="U214" s="4">
        <f>IF(Bases_annexes!$F$5=0,16.6587111018772,0.77*Bases_annexes!$F$5/(IF(OR(ISBLANK('Données_d''entrée'!$E$44),'Données_d''entrée'!$E$44=0),35,'Données_d''entrée'!$E$44)*52))</f>
        <v>16.658711101877199</v>
      </c>
      <c r="V214" s="4">
        <v>0</v>
      </c>
      <c r="W2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4" s="4">
        <v>234.5</v>
      </c>
      <c r="Y214" s="4">
        <f>(Base[[#This Row],['[Maladies']Coûts_évités_par_salarié]]+Base[[#This Row],['[Travail']Coûts_évités_par_salarié]])/Base[[#This Row],[Budget_santé_salarié]]</f>
        <v>0</v>
      </c>
      <c r="Z214" s="4">
        <v>0.8</v>
      </c>
      <c r="AA214" s="4">
        <f>Base[[#This Row],[Coût]]*Base[[#This Row],[Part_société_dépenses_santé]]</f>
        <v>0</v>
      </c>
      <c r="AB214" s="4">
        <v>67635124</v>
      </c>
      <c r="AC214" s="4">
        <v>82.297079063317852</v>
      </c>
      <c r="AD214" s="4">
        <v>0</v>
      </c>
      <c r="AE214" s="4">
        <f>Base[[#This Row],['[SC']Prévalence_travail]]*Base[[#This Row],[Population_emploi]]</f>
        <v>0</v>
      </c>
      <c r="AF214" s="4">
        <f>Base[[#This Row],[Risque]]*Base[[#This Row],['[SC']Patients_en_emploi]]</f>
        <v>0</v>
      </c>
      <c r="AG214" s="4">
        <v>0</v>
      </c>
      <c r="AH214" s="4">
        <f>IFERROR(Base[[#This Row],['[SC']Prestations]]/Base[[#This Row],['[SC']Patients_en_emploi]],0)</f>
        <v>0</v>
      </c>
      <c r="AI214" s="4">
        <v>51.7</v>
      </c>
      <c r="AJ2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4" s="4">
        <f>Base[[#This Row],['[SC']'[Travail']Coûts_évités]]/Base[[#This Row],[Population_emploi]]</f>
        <v>0</v>
      </c>
      <c r="AL214" s="4">
        <f>Base[[#This Row],[Coût_société]]*10^9*Base[[#This Row],[Risque]]*Base[[#This Row],[Prévalence]]*Base[[#This Row],[Part_coûts_salarié]]/Base[[#This Row],[Population_emploi]]</f>
        <v>0</v>
      </c>
      <c r="AM214" s="4">
        <f>IF(Base[[#This Row],[Pathologie]]&lt;&gt;"Dépendance",0,14909.24243952)</f>
        <v>14909.24243952</v>
      </c>
      <c r="AN214" s="4">
        <f>IF(Base[[#This Row],[Pathologie]]&lt;&gt;"Dépendance",0,1316000)</f>
        <v>1316000</v>
      </c>
      <c r="AO214" s="4">
        <f>IF(Base[[#This Row],[Pathologie]]&lt;&gt;"Dépendance",0,Base[[#This Row],['[SC']Coût_personne_dépendante]]*Base[[#This Row],['[SC']Nb_personnes_dépendantes]])</f>
        <v>19620563050.408321</v>
      </c>
      <c r="AP214" s="4">
        <f>IF(Base[[#This Row],[Pathologie]]&lt;&gt;"Dépendance",0,Base[[#This Row],['[SC']Coût_total_dépendance]]/Base[[#This Row],[Population_totale]])</f>
        <v>290.09428666691468</v>
      </c>
      <c r="AQ214" s="4">
        <f>IF(Base[[#This Row],[Pathologie]]&lt;&gt;"Dépendance",0,4.5)</f>
        <v>4.5</v>
      </c>
      <c r="AR214" s="4">
        <v>0.50393265050357905</v>
      </c>
      <c r="AS214" s="4">
        <f>Base[[#This Row],[Espérance_vie]]+Base[[#This Row],['[SC']Hausse_esp_de_vie]]-Base[[#This Row],['[SC']Durée_moyenne_dépendance_avt]]+Base[[#This Row],[Risque]]</f>
        <v>80.54625619626313</v>
      </c>
      <c r="AT2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2.2547555175583085</v>
      </c>
      <c r="AU2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98.965586205274604</v>
      </c>
      <c r="AV214" s="4">
        <v>62.9</v>
      </c>
      <c r="AW214" s="4">
        <f t="shared" si="0"/>
        <v>336905600000</v>
      </c>
      <c r="AX214" s="4">
        <v>15049171</v>
      </c>
      <c r="AY214" s="4">
        <f>Base[[#This Row],['[SC']Budget_total_retraites]]/Base[[#This Row],['[SC']Nombre_de_retraités]]</f>
        <v>22386.987296509556</v>
      </c>
      <c r="AZ214" s="4">
        <f>Base[[#This Row],['[SC']Budget_par_retraité]]*Base[[#This Row],['[SC']Nb_personnes_dépendantes]]</f>
        <v>29461275282.206577</v>
      </c>
      <c r="BA214" s="4">
        <f>Base[[#This Row],['[SC']'[Dépendance']Coût_retraite_personnes_dépendantes]]/Base[[#This Row],[Population_totale]]</f>
        <v>435.59135460750508</v>
      </c>
      <c r="BB214" s="4">
        <f>Base[[#This Row],['[SC']Hausse_esp_de_vie]]*Base[[#This Row],['[SC']'[Dépendance']Coût_retraite_personnes_dépendantes_pop_totale]]*Base[[#This Row],[Prévalence]]*Base[[#This Row],[Population_emploi]]/Base[[#This Row],[Population_totale]]</f>
        <v>33.352864371928391</v>
      </c>
      <c r="BC214" s="4">
        <f>Base[[#This Row],['[SC']'[Dépendance']Gains]]-Base[[#This Row],['[SC']'[Dépendance']Coûts]]</f>
        <v>65.612721833346214</v>
      </c>
      <c r="BD214" s="4">
        <f>IF(Base[[#This Row],[Pathologie]]&lt;&gt;"Mort prématurée",0,Base[[#This Row],[Risque]]*Base[[#This Row],[Prévalence]]*Base[[#This Row],[Population_totale]])</f>
        <v>0</v>
      </c>
      <c r="BE214" s="4">
        <v>52.74</v>
      </c>
      <c r="BF214" s="4">
        <f>Base[[#This Row],['[SC']Âge_moyen_retraite]]-Base[[#This Row],['[SC']'[Mort_prématurée']Âge_moyen_mort précoce]]</f>
        <v>10.159999999999997</v>
      </c>
      <c r="BG214" s="4">
        <f>Base[[#This Row],[Espérance_vie]]+Base[[#This Row],['[SC']Hausse_esp_de_vie]]-Base[[#This Row],['[SC']Âge_moyen_retraite]]</f>
        <v>19.90101171382144</v>
      </c>
      <c r="BH214" s="4">
        <v>106583.42676924677</v>
      </c>
      <c r="BI214" s="4">
        <v>97601.789429271477</v>
      </c>
      <c r="BJ214" s="4">
        <v>302038.31496633729</v>
      </c>
      <c r="BK214" s="4">
        <v>117293.58934859755</v>
      </c>
      <c r="BL214" s="4">
        <v>1523999.9999999995</v>
      </c>
      <c r="BM2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14" s="4">
        <v>294804.96027377353</v>
      </c>
      <c r="BO2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14" s="4">
        <f>(Base[[#This Row],['[SC']'[Mort_prématurée']Gains]]-Base[[#This Row],['[SC']'[Mort_prématurée']Coûts]])/Base[[#This Row],[Population_totale]]</f>
        <v>0</v>
      </c>
      <c r="BQ214" s="4">
        <f>IF(Base[[#This Row],[Pathologie]]&lt;&gt;"Mort prématurée",0,Base[[#This Row],[Risque]])</f>
        <v>0</v>
      </c>
      <c r="BR214" s="4">
        <v>2680</v>
      </c>
      <c r="BS2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2.4482358893039631E-2</v>
      </c>
      <c r="BT2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4" s="4">
        <f>Base[[#This Row],[Prévalence_prod]]*(1-Base[[#This Row],[Risque]])*Base[[#This Row],[Durée_arrêt]]*Base[[#This Row],[Population_emploi]]</f>
        <v>0</v>
      </c>
      <c r="BV214" s="4">
        <f>Base[[#This Row],['[Prod']'[Absentéisme']Total_jours_absence_avant]]-Base[[#This Row],['[Prod']'[Absentéisme']Total_jours_absence_après]]</f>
        <v>0</v>
      </c>
      <c r="BW214" s="4">
        <f>IF(AND(Base[[#This Row],[Pathologie]]&lt;&gt;"Dépendance",Base[[#This Row],[Pathologie]]&lt;&gt;"Mort prématurée",Base[[#This Row],[Pathologie]]&lt;&gt;"Migraine"),0.0619,0)</f>
        <v>0</v>
      </c>
      <c r="BX214" s="4">
        <v>254</v>
      </c>
      <c r="BY21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4" s="4">
        <f>Base[[#This Row],[Prévalence_prod]]*Base[[#This Row],[Présentéisme]]*Base[[#This Row],['[Prod']Jours_ouvrés]]</f>
        <v>0</v>
      </c>
      <c r="CB214" s="4">
        <f>Base[[#This Row],[Prévalence_prod]]*(1-Base[[#This Row],[Risque]])*Base[[#This Row],[Présentéisme]]*Base[[#This Row],['[Prod']Jours_ouvrés]]</f>
        <v>0</v>
      </c>
      <c r="CC214" s="4">
        <f>Base[[#This Row],['[Prod']'[Présentéisme']Jours_avant]]-Base[[#This Row],['[Prod']'[Présentéisme']Jours_après]]</f>
        <v>0</v>
      </c>
      <c r="CD214" s="4">
        <f>Base[[#This Row],['[Prod']'[Présentéisme']Jours_gagnés]]/Base[[#This Row],['[Prod']Jours_ouvrés]]</f>
        <v>0</v>
      </c>
      <c r="CE214">
        <v>5.8333039429220801E-2</v>
      </c>
      <c r="CF214">
        <v>1.4658164114728258E-2</v>
      </c>
      <c r="CG214" s="4">
        <v>11</v>
      </c>
      <c r="CH214" s="4">
        <v>0.85076983926913452</v>
      </c>
      <c r="CI214" s="4">
        <v>0</v>
      </c>
      <c r="CJ214" s="4">
        <f>IF(Base[[#This Row],[Secteur]]&lt;&gt;"Moyenne",Base[[#This Row],['[Prod']'[Turnover']DMC_initiale]]*(1+Base[[#This Row],['[Prod']'[Turnover']Ecart_accidents]]*Base[[#This Row],['[Prod']Impact_motifs_turnover]]),CJ197*CI197+CJ198*CI198+CJ199*CI199+CJ200*CI200+CJ201*CI201+CJ202*CI202+CJ203*CI203+CJ204*CI204+CJ205*CI205+CJ206*CI206+CJ207*CI207+CJ208*CI208+CJ209*CI209+CJ210*CI210+CJ211*CI211+CJ212*CI212+CJ213*CI213)</f>
        <v>11.137177963206547</v>
      </c>
      <c r="CK214" s="4">
        <f>1/Base[[#This Row],['[Prod']'[Turnover']DMC_initiale]]</f>
        <v>9.0909090909090912E-2</v>
      </c>
      <c r="CL214" s="4">
        <f>1/Base[[#This Row],['[Prod']'[Turnover']DMC_finale]]</f>
        <v>8.9789352680154741E-2</v>
      </c>
    </row>
    <row r="215" spans="2:90" x14ac:dyDescent="0.25">
      <c r="B215" s="4" t="s">
        <v>315</v>
      </c>
      <c r="C215">
        <v>7.5</v>
      </c>
      <c r="D215" t="s">
        <v>84</v>
      </c>
      <c r="E215" t="s">
        <v>59</v>
      </c>
      <c r="F215" s="3">
        <v>0.14469353331290885</v>
      </c>
      <c r="G215" s="3">
        <v>1.7864082739021815E-3</v>
      </c>
      <c r="H215" s="3">
        <v>1.7864082739021815E-3</v>
      </c>
      <c r="I215" s="3">
        <v>0</v>
      </c>
      <c r="J215" s="3">
        <v>0</v>
      </c>
      <c r="K215" s="3">
        <v>7.0000000000000007E-2</v>
      </c>
      <c r="L215" s="2">
        <f>Base[[#This Row],[Coût]]*Base[[#This Row],[Part_ménages_dépenses_santé]]</f>
        <v>0</v>
      </c>
      <c r="M215" s="2">
        <v>0</v>
      </c>
      <c r="N215" s="6">
        <v>27700000</v>
      </c>
      <c r="O215" s="7">
        <f>Base[[#This Row],[Coût_salarié]]*10^9*Base[[#This Row],[Risque]]*Base[[#This Row],[Prévalence]]*Base[[#This Row],[Part_coûts_salarié]]/Base[[#This Row],[Population_emploi]]</f>
        <v>0</v>
      </c>
      <c r="P215">
        <v>50</v>
      </c>
      <c r="Q215">
        <v>50</v>
      </c>
      <c r="R215" s="2">
        <v>9.9999999999999978E-2</v>
      </c>
      <c r="S215" s="2">
        <v>0.33340000000000003</v>
      </c>
      <c r="T215" s="4">
        <v>0</v>
      </c>
      <c r="U215" s="4">
        <f>IF(Bases_annexes!$F$5=0,16.6587111018772,0.77*Bases_annexes!$F$5/(IF(OR(ISBLANK('Données_d''entrée'!$E$44),'Données_d''entrée'!$E$44=0),35,'Données_d''entrée'!$E$44)*52))</f>
        <v>16.658711101877199</v>
      </c>
      <c r="V215" s="4">
        <v>0</v>
      </c>
      <c r="W2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5" s="4">
        <v>234.5</v>
      </c>
      <c r="Y215" s="4">
        <f>(Base[[#This Row],['[Maladies']Coûts_évités_par_salarié]]+Base[[#This Row],['[Travail']Coûts_évités_par_salarié]])/Base[[#This Row],[Budget_santé_salarié]]</f>
        <v>0</v>
      </c>
      <c r="Z215" s="4">
        <v>0.8</v>
      </c>
      <c r="AA215" s="4">
        <f>Base[[#This Row],[Coût]]*Base[[#This Row],[Part_société_dépenses_santé]]</f>
        <v>0</v>
      </c>
      <c r="AB215" s="4">
        <v>67635124</v>
      </c>
      <c r="AC215" s="4">
        <v>82.297079063317852</v>
      </c>
      <c r="AD215" s="4">
        <v>0</v>
      </c>
      <c r="AE215" s="4">
        <f>Base[[#This Row],['[SC']Prévalence_travail]]*Base[[#This Row],[Population_emploi]]</f>
        <v>0</v>
      </c>
      <c r="AF215" s="4">
        <f>Base[[#This Row],[Risque]]*Base[[#This Row],['[SC']Patients_en_emploi]]</f>
        <v>0</v>
      </c>
      <c r="AG215" s="4">
        <v>0</v>
      </c>
      <c r="AH215" s="4">
        <f>IFERROR(Base[[#This Row],['[SC']Prestations]]/Base[[#This Row],['[SC']Patients_en_emploi]],0)</f>
        <v>0</v>
      </c>
      <c r="AI215" s="4">
        <v>51.7</v>
      </c>
      <c r="AJ2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5" s="4">
        <f>Base[[#This Row],['[SC']'[Travail']Coûts_évités]]/Base[[#This Row],[Population_emploi]]</f>
        <v>0</v>
      </c>
      <c r="AL215" s="4">
        <f>Base[[#This Row],[Coût_société]]*10^9*Base[[#This Row],[Risque]]*Base[[#This Row],[Prévalence]]*Base[[#This Row],[Part_coûts_salarié]]/Base[[#This Row],[Population_emploi]]</f>
        <v>0</v>
      </c>
      <c r="AM215" s="4">
        <f>IF(Base[[#This Row],[Pathologie]]&lt;&gt;"Dépendance",0,14909.24243952)</f>
        <v>0</v>
      </c>
      <c r="AN215" s="4">
        <f>IF(Base[[#This Row],[Pathologie]]&lt;&gt;"Dépendance",0,1316000)</f>
        <v>0</v>
      </c>
      <c r="AO215" s="4">
        <f>IF(Base[[#This Row],[Pathologie]]&lt;&gt;"Dépendance",0,Base[[#This Row],['[SC']Coût_personne_dépendante]]*Base[[#This Row],['[SC']Nb_personnes_dépendantes]])</f>
        <v>0</v>
      </c>
      <c r="AP215" s="4">
        <f>IF(Base[[#This Row],[Pathologie]]&lt;&gt;"Dépendance",0,Base[[#This Row],['[SC']Coût_total_dépendance]]/Base[[#This Row],[Population_totale]])</f>
        <v>0</v>
      </c>
      <c r="AQ215" s="4">
        <f>IF(Base[[#This Row],[Pathologie]]&lt;&gt;"Dépendance",0,4.5)</f>
        <v>0</v>
      </c>
      <c r="AR215" s="4">
        <v>0.50393265050357905</v>
      </c>
      <c r="AS215" s="4">
        <f>Base[[#This Row],[Espérance_vie]]+Base[[#This Row],['[SC']Hausse_esp_de_vie]]-Base[[#This Row],['[SC']Durée_moyenne_dépendance_avt]]+Base[[#This Row],[Risque]]</f>
        <v>82.945705247134342</v>
      </c>
      <c r="AT2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15" s="4">
        <v>62.9</v>
      </c>
      <c r="AW215" s="4">
        <f>336905600000</f>
        <v>336905600000</v>
      </c>
      <c r="AX215" s="4">
        <v>15049171</v>
      </c>
      <c r="AY215" s="4">
        <f>Base[[#This Row],['[SC']Budget_total_retraites]]/Base[[#This Row],['[SC']Nombre_de_retraités]]</f>
        <v>22386.987296509556</v>
      </c>
      <c r="AZ215" s="4">
        <f>Base[[#This Row],['[SC']Budget_par_retraité]]*Base[[#This Row],['[SC']Nb_personnes_dépendantes]]</f>
        <v>0</v>
      </c>
      <c r="BA215" s="4">
        <f>Base[[#This Row],['[SC']'[Dépendance']Coût_retraite_personnes_dépendantes]]/Base[[#This Row],[Population_totale]]</f>
        <v>0</v>
      </c>
      <c r="BB21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15" s="4">
        <f>Base[[#This Row],['[SC']'[Dépendance']Gains]]-Base[[#This Row],['[SC']'[Dépendance']Coûts]]</f>
        <v>0</v>
      </c>
      <c r="BD215" s="4">
        <f>IF(Base[[#This Row],[Pathologie]]&lt;&gt;"Mort prématurée",0,Base[[#This Row],[Risque]]*Base[[#This Row],[Prévalence]]*Base[[#This Row],[Population_totale]])</f>
        <v>17482.443528217791</v>
      </c>
      <c r="BE215" s="4">
        <v>52.74</v>
      </c>
      <c r="BF215" s="4">
        <f>Base[[#This Row],['[SC']Âge_moyen_retraite]]-Base[[#This Row],['[SC']'[Mort_prématurée']Âge_moyen_mort précoce]]</f>
        <v>10.159999999999997</v>
      </c>
      <c r="BG215" s="4">
        <f>Base[[#This Row],[Espérance_vie]]+Base[[#This Row],['[SC']Hausse_esp_de_vie]]-Base[[#This Row],['[SC']Âge_moyen_retraite]]</f>
        <v>19.90101171382144</v>
      </c>
      <c r="BH215" s="4">
        <v>106583.42676924677</v>
      </c>
      <c r="BI215" s="4">
        <v>97601.789429271477</v>
      </c>
      <c r="BJ215" s="4">
        <v>302038.31496633729</v>
      </c>
      <c r="BK215" s="4">
        <v>117293.58934859755</v>
      </c>
      <c r="BL215" s="4">
        <v>1523999.9999999995</v>
      </c>
      <c r="BM2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15" s="4">
        <v>294804.96027377353</v>
      </c>
      <c r="BO2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15" s="4">
        <f>(Base[[#This Row],['[SC']'[Mort_prématurée']Gains]]-Base[[#This Row],['[SC']'[Mort_prématurée']Coûts]])/Base[[#This Row],[Population_totale]]</f>
        <v>15.930675914489704</v>
      </c>
      <c r="BQ215" s="4">
        <f>IF(Base[[#This Row],[Pathologie]]&lt;&gt;"Mort prématurée",0,Base[[#This Row],[Risque]])</f>
        <v>0.14469353331290885</v>
      </c>
      <c r="BR215" s="4">
        <v>2680</v>
      </c>
      <c r="BS2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5" s="4">
        <f>Base[[#This Row],[Prévalence_prod]]*(1-Base[[#This Row],[Risque]])*Base[[#This Row],[Durée_arrêt]]*Base[[#This Row],[Population_emploi]]</f>
        <v>0</v>
      </c>
      <c r="BV215" s="4">
        <f>Base[[#This Row],['[Prod']'[Absentéisme']Total_jours_absence_avant]]-Base[[#This Row],['[Prod']'[Absentéisme']Total_jours_absence_après]]</f>
        <v>0</v>
      </c>
      <c r="BW215" s="4">
        <f>IF(AND(Base[[#This Row],[Pathologie]]&lt;&gt;"Dépendance",Base[[#This Row],[Pathologie]]&lt;&gt;"Mort prématurée",Base[[#This Row],[Pathologie]]&lt;&gt;"Migraine"),0.0619,0)</f>
        <v>0</v>
      </c>
      <c r="BX215" s="4">
        <v>254</v>
      </c>
      <c r="BY21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5" s="4">
        <f>Base[[#This Row],[Prévalence_prod]]*Base[[#This Row],[Présentéisme]]*Base[[#This Row],['[Prod']Jours_ouvrés]]</f>
        <v>0</v>
      </c>
      <c r="CB215" s="4">
        <f>Base[[#This Row],[Prévalence_prod]]*(1-Base[[#This Row],[Risque]])*Base[[#This Row],[Présentéisme]]*Base[[#This Row],['[Prod']Jours_ouvrés]]</f>
        <v>0</v>
      </c>
      <c r="CC215" s="4">
        <f>Base[[#This Row],['[Prod']'[Présentéisme']Jours_avant]]-Base[[#This Row],['[Prod']'[Présentéisme']Jours_après]]</f>
        <v>0</v>
      </c>
      <c r="CD215" s="4">
        <f>Base[[#This Row],['[Prod']'[Présentéisme']Jours_gagnés]]/Base[[#This Row],['[Prod']Jours_ouvrés]]</f>
        <v>0</v>
      </c>
      <c r="CE215">
        <v>5.8333039429220801E-2</v>
      </c>
      <c r="CF215">
        <v>1.4658164114728258E-2</v>
      </c>
      <c r="CG215" s="4">
        <v>11</v>
      </c>
      <c r="CH215" s="4">
        <v>1.3966184516047948</v>
      </c>
      <c r="CI215" s="4">
        <v>1.4392894727292521E-2</v>
      </c>
      <c r="CJ215" s="4">
        <f>IF(Base[[#This Row],[Secteur]]&lt;&gt;"Moyenne",Base[[#This Row],['[Prod']'[Turnover']DMC_initiale]]*(1+Base[[#This Row],['[Prod']'[Turnover']Ecart_accidents]]*Base[[#This Row],['[Prod']Impact_motifs_turnover]]),CJ198*CI198+CJ199*CI199+CJ200*CI200+CJ201*CI201+CJ202*CI202+CJ203*CI203+CJ204*CI204+CJ205*CI205+CJ206*CI206+CJ207*CI207+CJ208*CI208+CJ209*CI209+CJ210*CI210+CJ211*CI211+CJ212*CI212+CJ213*CI213+CJ214*CI214)</f>
        <v>11.225190487162088</v>
      </c>
      <c r="CK215" s="4">
        <f>1/Base[[#This Row],['[Prod']'[Turnover']DMC_initiale]]</f>
        <v>9.0909090909090912E-2</v>
      </c>
      <c r="CL215" s="4">
        <f>1/Base[[#This Row],['[Prod']'[Turnover']DMC_finale]]</f>
        <v>8.9085347918475846E-2</v>
      </c>
    </row>
    <row r="216" spans="2:90" x14ac:dyDescent="0.25">
      <c r="B216" s="4" t="s">
        <v>316</v>
      </c>
      <c r="C216">
        <v>7.5</v>
      </c>
      <c r="D216" t="s">
        <v>84</v>
      </c>
      <c r="E216" t="s">
        <v>59</v>
      </c>
      <c r="F216" s="3">
        <v>0.14469353331290885</v>
      </c>
      <c r="G216" s="3">
        <v>1.7864082739021815E-3</v>
      </c>
      <c r="H216" s="3">
        <v>1.7864082739021815E-3</v>
      </c>
      <c r="I216" s="3">
        <v>0</v>
      </c>
      <c r="J216" s="3">
        <v>0</v>
      </c>
      <c r="K216" s="3">
        <v>7.0000000000000007E-2</v>
      </c>
      <c r="L216" s="2">
        <f>Base[[#This Row],[Coût]]*Base[[#This Row],[Part_ménages_dépenses_santé]]</f>
        <v>0</v>
      </c>
      <c r="M216" s="2">
        <v>0</v>
      </c>
      <c r="N216" s="6">
        <v>27700000</v>
      </c>
      <c r="O216" s="7">
        <f>Base[[#This Row],[Coût_salarié]]*10^9*Base[[#This Row],[Risque]]*Base[[#This Row],[Prévalence]]*Base[[#This Row],[Part_coûts_salarié]]/Base[[#This Row],[Population_emploi]]</f>
        <v>0</v>
      </c>
      <c r="P216">
        <v>50</v>
      </c>
      <c r="Q216">
        <v>50</v>
      </c>
      <c r="R216" s="2">
        <v>9.9999999999999978E-2</v>
      </c>
      <c r="S216" s="2">
        <v>0.33340000000000003</v>
      </c>
      <c r="T216" s="4">
        <v>0</v>
      </c>
      <c r="U216" s="4">
        <f>IF(Bases_annexes!$F$5=0,16.6587111018772,0.77*Bases_annexes!$F$5/(IF(OR(ISBLANK('Données_d''entrée'!$E$44),'Données_d''entrée'!$E$44=0),35,'Données_d''entrée'!$E$44)*52))</f>
        <v>16.658711101877199</v>
      </c>
      <c r="V216" s="4">
        <v>0</v>
      </c>
      <c r="W2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6" s="4">
        <v>234.5</v>
      </c>
      <c r="Y216" s="4">
        <f>(Base[[#This Row],['[Maladies']Coûts_évités_par_salarié]]+Base[[#This Row],['[Travail']Coûts_évités_par_salarié]])/Base[[#This Row],[Budget_santé_salarié]]</f>
        <v>0</v>
      </c>
      <c r="Z216" s="4">
        <v>0.8</v>
      </c>
      <c r="AA216" s="4">
        <f>Base[[#This Row],[Coût]]*Base[[#This Row],[Part_société_dépenses_santé]]</f>
        <v>0</v>
      </c>
      <c r="AB216" s="4">
        <v>67635124</v>
      </c>
      <c r="AC216" s="4">
        <v>82.297079063317852</v>
      </c>
      <c r="AD216" s="4">
        <v>0</v>
      </c>
      <c r="AE216" s="4">
        <f>Base[[#This Row],['[SC']Prévalence_travail]]*Base[[#This Row],[Population_emploi]]</f>
        <v>0</v>
      </c>
      <c r="AF216" s="4">
        <f>Base[[#This Row],[Risque]]*Base[[#This Row],['[SC']Patients_en_emploi]]</f>
        <v>0</v>
      </c>
      <c r="AG216" s="4">
        <v>0</v>
      </c>
      <c r="AH216" s="4">
        <f>IFERROR(Base[[#This Row],['[SC']Prestations]]/Base[[#This Row],['[SC']Patients_en_emploi]],0)</f>
        <v>0</v>
      </c>
      <c r="AI216" s="4">
        <v>51.7</v>
      </c>
      <c r="AJ2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6" s="4">
        <f>Base[[#This Row],['[SC']'[Travail']Coûts_évités]]/Base[[#This Row],[Population_emploi]]</f>
        <v>0</v>
      </c>
      <c r="AL216" s="4">
        <f>Base[[#This Row],[Coût_société]]*10^9*Base[[#This Row],[Risque]]*Base[[#This Row],[Prévalence]]*Base[[#This Row],[Part_coûts_salarié]]/Base[[#This Row],[Population_emploi]]</f>
        <v>0</v>
      </c>
      <c r="AM216" s="4">
        <f>IF(Base[[#This Row],[Pathologie]]&lt;&gt;"Dépendance",0,14909.24243952)</f>
        <v>0</v>
      </c>
      <c r="AN216" s="4">
        <f>IF(Base[[#This Row],[Pathologie]]&lt;&gt;"Dépendance",0,1316000)</f>
        <v>0</v>
      </c>
      <c r="AO216" s="4">
        <f>IF(Base[[#This Row],[Pathologie]]&lt;&gt;"Dépendance",0,Base[[#This Row],['[SC']Coût_personne_dépendante]]*Base[[#This Row],['[SC']Nb_personnes_dépendantes]])</f>
        <v>0</v>
      </c>
      <c r="AP216" s="4">
        <f>IF(Base[[#This Row],[Pathologie]]&lt;&gt;"Dépendance",0,Base[[#This Row],['[SC']Coût_total_dépendance]]/Base[[#This Row],[Population_totale]])</f>
        <v>0</v>
      </c>
      <c r="AQ216" s="4">
        <f>IF(Base[[#This Row],[Pathologie]]&lt;&gt;"Dépendance",0,4.5)</f>
        <v>0</v>
      </c>
      <c r="AR216" s="4">
        <v>0.50393265050357905</v>
      </c>
      <c r="AS216" s="4">
        <f>Base[[#This Row],[Espérance_vie]]+Base[[#This Row],['[SC']Hausse_esp_de_vie]]-Base[[#This Row],['[SC']Durée_moyenne_dépendance_avt]]+Base[[#This Row],[Risque]]</f>
        <v>82.945705247134342</v>
      </c>
      <c r="AT2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16" s="4">
        <v>62.9</v>
      </c>
      <c r="AW216" s="4">
        <f t="shared" ref="AW216:AW232" si="1">336905600000</f>
        <v>336905600000</v>
      </c>
      <c r="AX216" s="4">
        <v>15049171</v>
      </c>
      <c r="AY216" s="4">
        <f>Base[[#This Row],['[SC']Budget_total_retraites]]/Base[[#This Row],['[SC']Nombre_de_retraités]]</f>
        <v>22386.987296509556</v>
      </c>
      <c r="AZ216" s="4">
        <f>Base[[#This Row],['[SC']Budget_par_retraité]]*Base[[#This Row],['[SC']Nb_personnes_dépendantes]]</f>
        <v>0</v>
      </c>
      <c r="BA216" s="4">
        <f>Base[[#This Row],['[SC']'[Dépendance']Coût_retraite_personnes_dépendantes]]/Base[[#This Row],[Population_totale]]</f>
        <v>0</v>
      </c>
      <c r="BB21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16" s="4">
        <f>Base[[#This Row],['[SC']'[Dépendance']Gains]]-Base[[#This Row],['[SC']'[Dépendance']Coûts]]</f>
        <v>0</v>
      </c>
      <c r="BD216" s="4">
        <f>IF(Base[[#This Row],[Pathologie]]&lt;&gt;"Mort prématurée",0,Base[[#This Row],[Risque]]*Base[[#This Row],[Prévalence]]*Base[[#This Row],[Population_totale]])</f>
        <v>17482.443528217791</v>
      </c>
      <c r="BE216" s="4">
        <v>52.74</v>
      </c>
      <c r="BF216" s="4">
        <f>Base[[#This Row],['[SC']Âge_moyen_retraite]]-Base[[#This Row],['[SC']'[Mort_prématurée']Âge_moyen_mort précoce]]</f>
        <v>10.159999999999997</v>
      </c>
      <c r="BG216" s="4">
        <f>Base[[#This Row],[Espérance_vie]]+Base[[#This Row],['[SC']Hausse_esp_de_vie]]-Base[[#This Row],['[SC']Âge_moyen_retraite]]</f>
        <v>19.90101171382144</v>
      </c>
      <c r="BH216" s="4">
        <v>106583.42676924677</v>
      </c>
      <c r="BI216" s="4">
        <v>97601.789429271477</v>
      </c>
      <c r="BJ216" s="4">
        <v>302038.31496633729</v>
      </c>
      <c r="BK216" s="4">
        <v>117293.58934859755</v>
      </c>
      <c r="BL216" s="4">
        <v>1523999.9999999995</v>
      </c>
      <c r="BM2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16" s="4">
        <v>294804.96027377353</v>
      </c>
      <c r="BO2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16" s="4">
        <f>(Base[[#This Row],['[SC']'[Mort_prématurée']Gains]]-Base[[#This Row],['[SC']'[Mort_prématurée']Coûts]])/Base[[#This Row],[Population_totale]]</f>
        <v>15.930675914489704</v>
      </c>
      <c r="BQ216" s="4">
        <f>IF(Base[[#This Row],[Pathologie]]&lt;&gt;"Mort prématurée",0,Base[[#This Row],[Risque]])</f>
        <v>0.14469353331290885</v>
      </c>
      <c r="BR216" s="4">
        <v>2680</v>
      </c>
      <c r="BS2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6" s="4">
        <f>Base[[#This Row],[Prévalence_prod]]*(1-Base[[#This Row],[Risque]])*Base[[#This Row],[Durée_arrêt]]*Base[[#This Row],[Population_emploi]]</f>
        <v>0</v>
      </c>
      <c r="BV216" s="4">
        <f>Base[[#This Row],['[Prod']'[Absentéisme']Total_jours_absence_avant]]-Base[[#This Row],['[Prod']'[Absentéisme']Total_jours_absence_après]]</f>
        <v>0</v>
      </c>
      <c r="BW216" s="4">
        <f>IF(AND(Base[[#This Row],[Pathologie]]&lt;&gt;"Dépendance",Base[[#This Row],[Pathologie]]&lt;&gt;"Mort prématurée",Base[[#This Row],[Pathologie]]&lt;&gt;"Migraine"),0.0619,0)</f>
        <v>0</v>
      </c>
      <c r="BX216" s="4">
        <v>254</v>
      </c>
      <c r="BY21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6" s="4">
        <f>Base[[#This Row],[Prévalence_prod]]*Base[[#This Row],[Présentéisme]]*Base[[#This Row],['[Prod']Jours_ouvrés]]</f>
        <v>0</v>
      </c>
      <c r="CB216" s="4">
        <f>Base[[#This Row],[Prévalence_prod]]*(1-Base[[#This Row],[Risque]])*Base[[#This Row],[Présentéisme]]*Base[[#This Row],['[Prod']Jours_ouvrés]]</f>
        <v>0</v>
      </c>
      <c r="CC216" s="4">
        <f>Base[[#This Row],['[Prod']'[Présentéisme']Jours_avant]]-Base[[#This Row],['[Prod']'[Présentéisme']Jours_après]]</f>
        <v>0</v>
      </c>
      <c r="CD216" s="4">
        <f>Base[[#This Row],['[Prod']'[Présentéisme']Jours_gagnés]]/Base[[#This Row],['[Prod']Jours_ouvrés]]</f>
        <v>0</v>
      </c>
      <c r="CE216">
        <v>5.8333039429220801E-2</v>
      </c>
      <c r="CF216">
        <v>1.4658164114728258E-2</v>
      </c>
      <c r="CG216" s="4">
        <v>11</v>
      </c>
      <c r="CH216" s="4">
        <v>0.68054183762612652</v>
      </c>
      <c r="CI216" s="4">
        <v>1.2135452577082654E-2</v>
      </c>
      <c r="CJ216" s="4">
        <f>IF(Base[[#This Row],[Secteur]]&lt;&gt;"Moyenne",Base[[#This Row],['[Prod']'[Turnover']DMC_initiale]]*(1+Base[[#This Row],['[Prod']'[Turnover']Ecart_accidents]]*Base[[#This Row],['[Prod']Impact_motifs_turnover]]),CJ199*CI199+CJ200*CI200+CJ201*CI201+CJ202*CI202+CJ203*CI203+CJ204*CI204+CJ205*CI205+CJ206*CI206+CJ207*CI207+CJ208*CI208+CJ209*CI209+CJ210*CI210+CJ211*CI211+CJ212*CI212+CJ213*CI213+CJ214*CI214+CJ215*CI215)</f>
        <v>11.109730433371487</v>
      </c>
      <c r="CK216" s="4">
        <f>1/Base[[#This Row],['[Prod']'[Turnover']DMC_initiale]]</f>
        <v>9.0909090909090912E-2</v>
      </c>
      <c r="CL216" s="4">
        <f>1/Base[[#This Row],['[Prod']'[Turnover']DMC_finale]]</f>
        <v>9.001118487953523E-2</v>
      </c>
    </row>
    <row r="217" spans="2:90" x14ac:dyDescent="0.25">
      <c r="B217" s="4" t="s">
        <v>317</v>
      </c>
      <c r="C217">
        <v>7.5</v>
      </c>
      <c r="D217" t="s">
        <v>84</v>
      </c>
      <c r="E217" t="s">
        <v>59</v>
      </c>
      <c r="F217" s="3">
        <v>0.14469353331290885</v>
      </c>
      <c r="G217" s="3">
        <v>1.7864082739021815E-3</v>
      </c>
      <c r="H217" s="3">
        <v>1.7864082739021815E-3</v>
      </c>
      <c r="I217" s="3">
        <v>0</v>
      </c>
      <c r="J217" s="3">
        <v>0</v>
      </c>
      <c r="K217" s="3">
        <v>7.0000000000000007E-2</v>
      </c>
      <c r="L217" s="2">
        <f>Base[[#This Row],[Coût]]*Base[[#This Row],[Part_ménages_dépenses_santé]]</f>
        <v>0</v>
      </c>
      <c r="M217" s="2">
        <v>0</v>
      </c>
      <c r="N217" s="6">
        <v>27700000</v>
      </c>
      <c r="O217" s="7">
        <f>Base[[#This Row],[Coût_salarié]]*10^9*Base[[#This Row],[Risque]]*Base[[#This Row],[Prévalence]]*Base[[#This Row],[Part_coûts_salarié]]/Base[[#This Row],[Population_emploi]]</f>
        <v>0</v>
      </c>
      <c r="P217">
        <v>50</v>
      </c>
      <c r="Q217">
        <v>50</v>
      </c>
      <c r="R217" s="2">
        <v>9.9999999999999978E-2</v>
      </c>
      <c r="S217" s="2">
        <v>0.33340000000000003</v>
      </c>
      <c r="T217" s="4">
        <v>0</v>
      </c>
      <c r="U217" s="4">
        <f>IF(Bases_annexes!$F$5=0,16.6587111018772,0.77*Bases_annexes!$F$5/(IF(OR(ISBLANK('Données_d''entrée'!$E$44),'Données_d''entrée'!$E$44=0),35,'Données_d''entrée'!$E$44)*52))</f>
        <v>16.658711101877199</v>
      </c>
      <c r="V217" s="4">
        <v>0</v>
      </c>
      <c r="W2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7" s="4">
        <v>234.5</v>
      </c>
      <c r="Y217" s="4">
        <f>(Base[[#This Row],['[Maladies']Coûts_évités_par_salarié]]+Base[[#This Row],['[Travail']Coûts_évités_par_salarié]])/Base[[#This Row],[Budget_santé_salarié]]</f>
        <v>0</v>
      </c>
      <c r="Z217" s="4">
        <v>0.8</v>
      </c>
      <c r="AA217" s="4">
        <f>Base[[#This Row],[Coût]]*Base[[#This Row],[Part_société_dépenses_santé]]</f>
        <v>0</v>
      </c>
      <c r="AB217" s="4">
        <v>67635124</v>
      </c>
      <c r="AC217" s="4">
        <v>82.297079063317852</v>
      </c>
      <c r="AD217" s="4">
        <v>0</v>
      </c>
      <c r="AE217" s="4">
        <f>Base[[#This Row],['[SC']Prévalence_travail]]*Base[[#This Row],[Population_emploi]]</f>
        <v>0</v>
      </c>
      <c r="AF217" s="4">
        <f>Base[[#This Row],[Risque]]*Base[[#This Row],['[SC']Patients_en_emploi]]</f>
        <v>0</v>
      </c>
      <c r="AG217" s="4">
        <v>0</v>
      </c>
      <c r="AH217" s="4">
        <f>IFERROR(Base[[#This Row],['[SC']Prestations]]/Base[[#This Row],['[SC']Patients_en_emploi]],0)</f>
        <v>0</v>
      </c>
      <c r="AI217" s="4">
        <v>51.7</v>
      </c>
      <c r="AJ2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7" s="4">
        <f>Base[[#This Row],['[SC']'[Travail']Coûts_évités]]/Base[[#This Row],[Population_emploi]]</f>
        <v>0</v>
      </c>
      <c r="AL217" s="4">
        <f>Base[[#This Row],[Coût_société]]*10^9*Base[[#This Row],[Risque]]*Base[[#This Row],[Prévalence]]*Base[[#This Row],[Part_coûts_salarié]]/Base[[#This Row],[Population_emploi]]</f>
        <v>0</v>
      </c>
      <c r="AM217" s="4">
        <f>IF(Base[[#This Row],[Pathologie]]&lt;&gt;"Dépendance",0,14909.24243952)</f>
        <v>0</v>
      </c>
      <c r="AN217" s="4">
        <f>IF(Base[[#This Row],[Pathologie]]&lt;&gt;"Dépendance",0,1316000)</f>
        <v>0</v>
      </c>
      <c r="AO217" s="4">
        <f>IF(Base[[#This Row],[Pathologie]]&lt;&gt;"Dépendance",0,Base[[#This Row],['[SC']Coût_personne_dépendante]]*Base[[#This Row],['[SC']Nb_personnes_dépendantes]])</f>
        <v>0</v>
      </c>
      <c r="AP217" s="4">
        <f>IF(Base[[#This Row],[Pathologie]]&lt;&gt;"Dépendance",0,Base[[#This Row],['[SC']Coût_total_dépendance]]/Base[[#This Row],[Population_totale]])</f>
        <v>0</v>
      </c>
      <c r="AQ217" s="4">
        <f>IF(Base[[#This Row],[Pathologie]]&lt;&gt;"Dépendance",0,4.5)</f>
        <v>0</v>
      </c>
      <c r="AR217" s="4">
        <v>0.50393265050357905</v>
      </c>
      <c r="AS217" s="4">
        <f>Base[[#This Row],[Espérance_vie]]+Base[[#This Row],['[SC']Hausse_esp_de_vie]]-Base[[#This Row],['[SC']Durée_moyenne_dépendance_avt]]+Base[[#This Row],[Risque]]</f>
        <v>82.945705247134342</v>
      </c>
      <c r="AT2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17" s="4">
        <v>62.9</v>
      </c>
      <c r="AW217" s="4">
        <f t="shared" si="1"/>
        <v>336905600000</v>
      </c>
      <c r="AX217" s="4">
        <v>15049171</v>
      </c>
      <c r="AY217" s="4">
        <f>Base[[#This Row],['[SC']Budget_total_retraites]]/Base[[#This Row],['[SC']Nombre_de_retraités]]</f>
        <v>22386.987296509556</v>
      </c>
      <c r="AZ217" s="4">
        <f>Base[[#This Row],['[SC']Budget_par_retraité]]*Base[[#This Row],['[SC']Nb_personnes_dépendantes]]</f>
        <v>0</v>
      </c>
      <c r="BA217" s="4">
        <f>Base[[#This Row],['[SC']'[Dépendance']Coût_retraite_personnes_dépendantes]]/Base[[#This Row],[Population_totale]]</f>
        <v>0</v>
      </c>
      <c r="BB21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17" s="4">
        <f>Base[[#This Row],['[SC']'[Dépendance']Gains]]-Base[[#This Row],['[SC']'[Dépendance']Coûts]]</f>
        <v>0</v>
      </c>
      <c r="BD217" s="4">
        <f>IF(Base[[#This Row],[Pathologie]]&lt;&gt;"Mort prématurée",0,Base[[#This Row],[Risque]]*Base[[#This Row],[Prévalence]]*Base[[#This Row],[Population_totale]])</f>
        <v>17482.443528217791</v>
      </c>
      <c r="BE217" s="4">
        <v>52.74</v>
      </c>
      <c r="BF217" s="4">
        <f>Base[[#This Row],['[SC']Âge_moyen_retraite]]-Base[[#This Row],['[SC']'[Mort_prématurée']Âge_moyen_mort précoce]]</f>
        <v>10.159999999999997</v>
      </c>
      <c r="BG217" s="4">
        <f>Base[[#This Row],[Espérance_vie]]+Base[[#This Row],['[SC']Hausse_esp_de_vie]]-Base[[#This Row],['[SC']Âge_moyen_retraite]]</f>
        <v>19.90101171382144</v>
      </c>
      <c r="BH217" s="4">
        <v>106583.42676924677</v>
      </c>
      <c r="BI217" s="4">
        <v>97601.789429271477</v>
      </c>
      <c r="BJ217" s="4">
        <v>302038.31496633729</v>
      </c>
      <c r="BK217" s="4">
        <v>117293.58934859755</v>
      </c>
      <c r="BL217" s="4">
        <v>1523999.9999999995</v>
      </c>
      <c r="BM2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17" s="4">
        <v>294804.96027377353</v>
      </c>
      <c r="BO2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17" s="4">
        <f>(Base[[#This Row],['[SC']'[Mort_prématurée']Gains]]-Base[[#This Row],['[SC']'[Mort_prématurée']Coûts]])/Base[[#This Row],[Population_totale]]</f>
        <v>15.930675914489704</v>
      </c>
      <c r="BQ217" s="4">
        <f>IF(Base[[#This Row],[Pathologie]]&lt;&gt;"Mort prématurée",0,Base[[#This Row],[Risque]])</f>
        <v>0.14469353331290885</v>
      </c>
      <c r="BR217" s="4">
        <v>2680</v>
      </c>
      <c r="BS2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7" s="4">
        <f>Base[[#This Row],[Prévalence_prod]]*(1-Base[[#This Row],[Risque]])*Base[[#This Row],[Durée_arrêt]]*Base[[#This Row],[Population_emploi]]</f>
        <v>0</v>
      </c>
      <c r="BV217" s="4">
        <f>Base[[#This Row],['[Prod']'[Absentéisme']Total_jours_absence_avant]]-Base[[#This Row],['[Prod']'[Absentéisme']Total_jours_absence_après]]</f>
        <v>0</v>
      </c>
      <c r="BW217" s="4">
        <f>IF(AND(Base[[#This Row],[Pathologie]]&lt;&gt;"Dépendance",Base[[#This Row],[Pathologie]]&lt;&gt;"Mort prématurée",Base[[#This Row],[Pathologie]]&lt;&gt;"Migraine"),0.0619,0)</f>
        <v>0</v>
      </c>
      <c r="BX217" s="4">
        <v>254</v>
      </c>
      <c r="BY21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7" s="4">
        <f>Base[[#This Row],[Prévalence_prod]]*Base[[#This Row],[Présentéisme]]*Base[[#This Row],['[Prod']Jours_ouvrés]]</f>
        <v>0</v>
      </c>
      <c r="CB217" s="4">
        <f>Base[[#This Row],[Prévalence_prod]]*(1-Base[[#This Row],[Risque]])*Base[[#This Row],[Présentéisme]]*Base[[#This Row],['[Prod']Jours_ouvrés]]</f>
        <v>0</v>
      </c>
      <c r="CC217" s="4">
        <f>Base[[#This Row],['[Prod']'[Présentéisme']Jours_avant]]-Base[[#This Row],['[Prod']'[Présentéisme']Jours_après]]</f>
        <v>0</v>
      </c>
      <c r="CD217" s="4">
        <f>Base[[#This Row],['[Prod']'[Présentéisme']Jours_gagnés]]/Base[[#This Row],['[Prod']Jours_ouvrés]]</f>
        <v>0</v>
      </c>
      <c r="CE217">
        <v>5.8333039429220801E-2</v>
      </c>
      <c r="CF217">
        <v>1.4658164114728258E-2</v>
      </c>
      <c r="CG217" s="4">
        <v>11</v>
      </c>
      <c r="CH217" s="4">
        <v>0.31563677172153043</v>
      </c>
      <c r="CI217" s="4">
        <v>1.3003350630813707E-4</v>
      </c>
      <c r="CJ217" s="4">
        <f>IF(Base[[#This Row],[Secteur]]&lt;&gt;"Moyenne",Base[[#This Row],['[Prod']'[Turnover']DMC_initiale]]*(1+Base[[#This Row],['[Prod']'[Turnover']Ecart_accidents]]*Base[[#This Row],['[Prod']Impact_motifs_turnover]]),CJ200*CI200+CJ201*CI201+CJ202*CI202+CJ203*CI203+CJ204*CI204+CJ205*CI205+CJ206*CI206+CJ207*CI207+CJ208*CI208+CJ209*CI209+CJ210*CI210+CJ211*CI211+CJ212*CI212+CJ213*CI213+CJ214*CI214+CJ215*CI215+CJ216*CI216)</f>
        <v>11.05089321160591</v>
      </c>
      <c r="CK217" s="4">
        <f>1/Base[[#This Row],['[Prod']'[Turnover']DMC_initiale]]</f>
        <v>9.0909090909090912E-2</v>
      </c>
      <c r="CL217" s="4">
        <f>1/Base[[#This Row],['[Prod']'[Turnover']DMC_finale]]</f>
        <v>9.0490422887244654E-2</v>
      </c>
    </row>
    <row r="218" spans="2:90" x14ac:dyDescent="0.25">
      <c r="B218" s="4" t="s">
        <v>318</v>
      </c>
      <c r="C218">
        <v>7.5</v>
      </c>
      <c r="D218" t="s">
        <v>84</v>
      </c>
      <c r="E218" t="s">
        <v>59</v>
      </c>
      <c r="F218" s="3">
        <v>0.14469353331290885</v>
      </c>
      <c r="G218" s="3">
        <v>1.7864082739021815E-3</v>
      </c>
      <c r="H218" s="3">
        <v>1.7864082739021815E-3</v>
      </c>
      <c r="I218" s="3">
        <v>0</v>
      </c>
      <c r="J218" s="3">
        <v>0</v>
      </c>
      <c r="K218" s="3">
        <v>7.0000000000000007E-2</v>
      </c>
      <c r="L218" s="2">
        <f>Base[[#This Row],[Coût]]*Base[[#This Row],[Part_ménages_dépenses_santé]]</f>
        <v>0</v>
      </c>
      <c r="M218" s="2">
        <v>0</v>
      </c>
      <c r="N218" s="6">
        <v>27700000</v>
      </c>
      <c r="O218" s="7">
        <f>Base[[#This Row],[Coût_salarié]]*10^9*Base[[#This Row],[Risque]]*Base[[#This Row],[Prévalence]]*Base[[#This Row],[Part_coûts_salarié]]/Base[[#This Row],[Population_emploi]]</f>
        <v>0</v>
      </c>
      <c r="P218">
        <v>50</v>
      </c>
      <c r="Q218">
        <v>50</v>
      </c>
      <c r="R218" s="2">
        <v>9.9999999999999978E-2</v>
      </c>
      <c r="S218" s="2">
        <v>0.33340000000000003</v>
      </c>
      <c r="T218" s="4">
        <v>0</v>
      </c>
      <c r="U218" s="4">
        <f>IF(Bases_annexes!$F$5=0,16.6587111018772,0.77*Bases_annexes!$F$5/(IF(OR(ISBLANK('Données_d''entrée'!$E$44),'Données_d''entrée'!$E$44=0),35,'Données_d''entrée'!$E$44)*52))</f>
        <v>16.658711101877199</v>
      </c>
      <c r="V218" s="4">
        <v>0</v>
      </c>
      <c r="W2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8" s="4">
        <v>234.5</v>
      </c>
      <c r="Y218" s="4">
        <f>(Base[[#This Row],['[Maladies']Coûts_évités_par_salarié]]+Base[[#This Row],['[Travail']Coûts_évités_par_salarié]])/Base[[#This Row],[Budget_santé_salarié]]</f>
        <v>0</v>
      </c>
      <c r="Z218" s="4">
        <v>0.8</v>
      </c>
      <c r="AA218" s="4">
        <f>Base[[#This Row],[Coût]]*Base[[#This Row],[Part_société_dépenses_santé]]</f>
        <v>0</v>
      </c>
      <c r="AB218" s="4">
        <v>67635124</v>
      </c>
      <c r="AC218" s="4">
        <v>82.297079063317852</v>
      </c>
      <c r="AD218" s="4">
        <v>0</v>
      </c>
      <c r="AE218" s="4">
        <f>Base[[#This Row],['[SC']Prévalence_travail]]*Base[[#This Row],[Population_emploi]]</f>
        <v>0</v>
      </c>
      <c r="AF218" s="4">
        <f>Base[[#This Row],[Risque]]*Base[[#This Row],['[SC']Patients_en_emploi]]</f>
        <v>0</v>
      </c>
      <c r="AG218" s="4">
        <v>0</v>
      </c>
      <c r="AH218" s="4">
        <f>IFERROR(Base[[#This Row],['[SC']Prestations]]/Base[[#This Row],['[SC']Patients_en_emploi]],0)</f>
        <v>0</v>
      </c>
      <c r="AI218" s="4">
        <v>51.7</v>
      </c>
      <c r="AJ2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8" s="4">
        <f>Base[[#This Row],['[SC']'[Travail']Coûts_évités]]/Base[[#This Row],[Population_emploi]]</f>
        <v>0</v>
      </c>
      <c r="AL218" s="4">
        <f>Base[[#This Row],[Coût_société]]*10^9*Base[[#This Row],[Risque]]*Base[[#This Row],[Prévalence]]*Base[[#This Row],[Part_coûts_salarié]]/Base[[#This Row],[Population_emploi]]</f>
        <v>0</v>
      </c>
      <c r="AM218" s="4">
        <f>IF(Base[[#This Row],[Pathologie]]&lt;&gt;"Dépendance",0,14909.24243952)</f>
        <v>0</v>
      </c>
      <c r="AN218" s="4">
        <f>IF(Base[[#This Row],[Pathologie]]&lt;&gt;"Dépendance",0,1316000)</f>
        <v>0</v>
      </c>
      <c r="AO218" s="4">
        <f>IF(Base[[#This Row],[Pathologie]]&lt;&gt;"Dépendance",0,Base[[#This Row],['[SC']Coût_personne_dépendante]]*Base[[#This Row],['[SC']Nb_personnes_dépendantes]])</f>
        <v>0</v>
      </c>
      <c r="AP218" s="4">
        <f>IF(Base[[#This Row],[Pathologie]]&lt;&gt;"Dépendance",0,Base[[#This Row],['[SC']Coût_total_dépendance]]/Base[[#This Row],[Population_totale]])</f>
        <v>0</v>
      </c>
      <c r="AQ218" s="4">
        <f>IF(Base[[#This Row],[Pathologie]]&lt;&gt;"Dépendance",0,4.5)</f>
        <v>0</v>
      </c>
      <c r="AR218" s="4">
        <v>0.50393265050357905</v>
      </c>
      <c r="AS218" s="4">
        <f>Base[[#This Row],[Espérance_vie]]+Base[[#This Row],['[SC']Hausse_esp_de_vie]]-Base[[#This Row],['[SC']Durée_moyenne_dépendance_avt]]+Base[[#This Row],[Risque]]</f>
        <v>82.945705247134342</v>
      </c>
      <c r="AT2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18" s="4">
        <v>62.9</v>
      </c>
      <c r="AW218" s="4">
        <f t="shared" si="1"/>
        <v>336905600000</v>
      </c>
      <c r="AX218" s="4">
        <v>15049171</v>
      </c>
      <c r="AY218" s="4">
        <f>Base[[#This Row],['[SC']Budget_total_retraites]]/Base[[#This Row],['[SC']Nombre_de_retraités]]</f>
        <v>22386.987296509556</v>
      </c>
      <c r="AZ218" s="4">
        <f>Base[[#This Row],['[SC']Budget_par_retraité]]*Base[[#This Row],['[SC']Nb_personnes_dépendantes]]</f>
        <v>0</v>
      </c>
      <c r="BA218" s="4">
        <f>Base[[#This Row],['[SC']'[Dépendance']Coût_retraite_personnes_dépendantes]]/Base[[#This Row],[Population_totale]]</f>
        <v>0</v>
      </c>
      <c r="BB21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18" s="4">
        <f>Base[[#This Row],['[SC']'[Dépendance']Gains]]-Base[[#This Row],['[SC']'[Dépendance']Coûts]]</f>
        <v>0</v>
      </c>
      <c r="BD218" s="4">
        <f>IF(Base[[#This Row],[Pathologie]]&lt;&gt;"Mort prématurée",0,Base[[#This Row],[Risque]]*Base[[#This Row],[Prévalence]]*Base[[#This Row],[Population_totale]])</f>
        <v>17482.443528217791</v>
      </c>
      <c r="BE218" s="4">
        <v>52.74</v>
      </c>
      <c r="BF218" s="4">
        <f>Base[[#This Row],['[SC']Âge_moyen_retraite]]-Base[[#This Row],['[SC']'[Mort_prématurée']Âge_moyen_mort précoce]]</f>
        <v>10.159999999999997</v>
      </c>
      <c r="BG218" s="4">
        <f>Base[[#This Row],[Espérance_vie]]+Base[[#This Row],['[SC']Hausse_esp_de_vie]]-Base[[#This Row],['[SC']Âge_moyen_retraite]]</f>
        <v>19.90101171382144</v>
      </c>
      <c r="BH218" s="4">
        <v>106583.42676924677</v>
      </c>
      <c r="BI218" s="4">
        <v>97601.789429271477</v>
      </c>
      <c r="BJ218" s="4">
        <v>302038.31496633729</v>
      </c>
      <c r="BK218" s="4">
        <v>117293.58934859755</v>
      </c>
      <c r="BL218" s="4">
        <v>1523999.9999999995</v>
      </c>
      <c r="BM2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18" s="4">
        <v>294804.96027377353</v>
      </c>
      <c r="BO2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18" s="4">
        <f>(Base[[#This Row],['[SC']'[Mort_prématurée']Gains]]-Base[[#This Row],['[SC']'[Mort_prématurée']Coûts]])/Base[[#This Row],[Population_totale]]</f>
        <v>15.930675914489704</v>
      </c>
      <c r="BQ218" s="4">
        <f>IF(Base[[#This Row],[Pathologie]]&lt;&gt;"Mort prématurée",0,Base[[#This Row],[Risque]])</f>
        <v>0.14469353331290885</v>
      </c>
      <c r="BR218" s="4">
        <v>2680</v>
      </c>
      <c r="BS2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8" s="4">
        <f>Base[[#This Row],[Prévalence_prod]]*(1-Base[[#This Row],[Risque]])*Base[[#This Row],[Durée_arrêt]]*Base[[#This Row],[Population_emploi]]</f>
        <v>0</v>
      </c>
      <c r="BV218" s="4">
        <f>Base[[#This Row],['[Prod']'[Absentéisme']Total_jours_absence_avant]]-Base[[#This Row],['[Prod']'[Absentéisme']Total_jours_absence_après]]</f>
        <v>0</v>
      </c>
      <c r="BW218" s="4">
        <f>IF(AND(Base[[#This Row],[Pathologie]]&lt;&gt;"Dépendance",Base[[#This Row],[Pathologie]]&lt;&gt;"Mort prématurée",Base[[#This Row],[Pathologie]]&lt;&gt;"Migraine"),0.0619,0)</f>
        <v>0</v>
      </c>
      <c r="BX218" s="4">
        <v>254</v>
      </c>
      <c r="BY21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8" s="4">
        <f>Base[[#This Row],[Prévalence_prod]]*Base[[#This Row],[Présentéisme]]*Base[[#This Row],['[Prod']Jours_ouvrés]]</f>
        <v>0</v>
      </c>
      <c r="CB218" s="4">
        <f>Base[[#This Row],[Prévalence_prod]]*(1-Base[[#This Row],[Risque]])*Base[[#This Row],[Présentéisme]]*Base[[#This Row],['[Prod']Jours_ouvrés]]</f>
        <v>0</v>
      </c>
      <c r="CC218" s="4">
        <f>Base[[#This Row],['[Prod']'[Présentéisme']Jours_avant]]-Base[[#This Row],['[Prod']'[Présentéisme']Jours_après]]</f>
        <v>0</v>
      </c>
      <c r="CD218" s="4">
        <f>Base[[#This Row],['[Prod']'[Présentéisme']Jours_gagnés]]/Base[[#This Row],['[Prod']Jours_ouvrés]]</f>
        <v>0</v>
      </c>
      <c r="CE218">
        <v>5.8333039429220801E-2</v>
      </c>
      <c r="CF218">
        <v>1.4658164114728258E-2</v>
      </c>
      <c r="CG218" s="4">
        <v>11</v>
      </c>
      <c r="CH218" s="4">
        <v>1.1688035738877327</v>
      </c>
      <c r="CI218" s="4">
        <v>9.6557438521367826E-3</v>
      </c>
      <c r="CJ218" s="4">
        <f>IF(Base[[#This Row],[Secteur]]&lt;&gt;"Moyenne",Base[[#This Row],['[Prod']'[Turnover']DMC_initiale]]*(1+Base[[#This Row],['[Prod']'[Turnover']Ecart_accidents]]*Base[[#This Row],['[Prod']Impact_motifs_turnover]]),CJ201*CI201+CJ202*CI202+CJ203*CI203+CJ204*CI204+CJ205*CI205+CJ206*CI206+CJ207*CI207+CJ208*CI208+CJ209*CI209+CJ210*CI210+CJ211*CI211+CJ212*CI212+CJ213*CI213+CJ214*CI214+CJ215*CI215+CJ216*CI216+CJ217*CI217)</f>
        <v>11.188457660643202</v>
      </c>
      <c r="CK218" s="4">
        <f>1/Base[[#This Row],['[Prod']'[Turnover']DMC_initiale]]</f>
        <v>9.0909090909090912E-2</v>
      </c>
      <c r="CL218" s="4">
        <f>1/Base[[#This Row],['[Prod']'[Turnover']DMC_finale]]</f>
        <v>8.9377824033568531E-2</v>
      </c>
    </row>
    <row r="219" spans="2:90" x14ac:dyDescent="0.25">
      <c r="B219" s="4" t="s">
        <v>319</v>
      </c>
      <c r="C219">
        <v>7.5</v>
      </c>
      <c r="D219" t="s">
        <v>84</v>
      </c>
      <c r="E219" t="s">
        <v>59</v>
      </c>
      <c r="F219" s="3">
        <v>0.14469353331290885</v>
      </c>
      <c r="G219" s="3">
        <v>1.7864082739021815E-3</v>
      </c>
      <c r="H219" s="3">
        <v>1.7864082739021815E-3</v>
      </c>
      <c r="I219" s="3">
        <v>0</v>
      </c>
      <c r="J219" s="3">
        <v>0</v>
      </c>
      <c r="K219" s="3">
        <v>7.0000000000000007E-2</v>
      </c>
      <c r="L219" s="2">
        <f>Base[[#This Row],[Coût]]*Base[[#This Row],[Part_ménages_dépenses_santé]]</f>
        <v>0</v>
      </c>
      <c r="M219" s="2">
        <v>0</v>
      </c>
      <c r="N219" s="6">
        <v>27700000</v>
      </c>
      <c r="O219" s="7">
        <f>Base[[#This Row],[Coût_salarié]]*10^9*Base[[#This Row],[Risque]]*Base[[#This Row],[Prévalence]]*Base[[#This Row],[Part_coûts_salarié]]/Base[[#This Row],[Population_emploi]]</f>
        <v>0</v>
      </c>
      <c r="P219">
        <v>50</v>
      </c>
      <c r="Q219">
        <v>50</v>
      </c>
      <c r="R219" s="2">
        <v>9.9999999999999978E-2</v>
      </c>
      <c r="S219" s="2">
        <v>0.33340000000000003</v>
      </c>
      <c r="T219" s="4">
        <v>0</v>
      </c>
      <c r="U219" s="4">
        <f>IF(Bases_annexes!$F$5=0,16.6587111018772,0.77*Bases_annexes!$F$5/(IF(OR(ISBLANK('Données_d''entrée'!$E$44),'Données_d''entrée'!$E$44=0),35,'Données_d''entrée'!$E$44)*52))</f>
        <v>16.658711101877199</v>
      </c>
      <c r="V219" s="4">
        <v>0</v>
      </c>
      <c r="W2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19" s="4">
        <v>234.5</v>
      </c>
      <c r="Y219" s="4">
        <f>(Base[[#This Row],['[Maladies']Coûts_évités_par_salarié]]+Base[[#This Row],['[Travail']Coûts_évités_par_salarié]])/Base[[#This Row],[Budget_santé_salarié]]</f>
        <v>0</v>
      </c>
      <c r="Z219" s="4">
        <v>0.8</v>
      </c>
      <c r="AA219" s="4">
        <f>Base[[#This Row],[Coût]]*Base[[#This Row],[Part_société_dépenses_santé]]</f>
        <v>0</v>
      </c>
      <c r="AB219" s="4">
        <v>67635124</v>
      </c>
      <c r="AC219" s="4">
        <v>82.297079063317852</v>
      </c>
      <c r="AD219" s="4">
        <v>0</v>
      </c>
      <c r="AE219" s="4">
        <f>Base[[#This Row],['[SC']Prévalence_travail]]*Base[[#This Row],[Population_emploi]]</f>
        <v>0</v>
      </c>
      <c r="AF219" s="4">
        <f>Base[[#This Row],[Risque]]*Base[[#This Row],['[SC']Patients_en_emploi]]</f>
        <v>0</v>
      </c>
      <c r="AG219" s="4">
        <v>0</v>
      </c>
      <c r="AH219" s="4">
        <f>IFERROR(Base[[#This Row],['[SC']Prestations]]/Base[[#This Row],['[SC']Patients_en_emploi]],0)</f>
        <v>0</v>
      </c>
      <c r="AI219" s="4">
        <v>51.7</v>
      </c>
      <c r="AJ2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19" s="4">
        <f>Base[[#This Row],['[SC']'[Travail']Coûts_évités]]/Base[[#This Row],[Population_emploi]]</f>
        <v>0</v>
      </c>
      <c r="AL219" s="4">
        <f>Base[[#This Row],[Coût_société]]*10^9*Base[[#This Row],[Risque]]*Base[[#This Row],[Prévalence]]*Base[[#This Row],[Part_coûts_salarié]]/Base[[#This Row],[Population_emploi]]</f>
        <v>0</v>
      </c>
      <c r="AM219" s="4">
        <f>IF(Base[[#This Row],[Pathologie]]&lt;&gt;"Dépendance",0,14909.24243952)</f>
        <v>0</v>
      </c>
      <c r="AN219" s="4">
        <f>IF(Base[[#This Row],[Pathologie]]&lt;&gt;"Dépendance",0,1316000)</f>
        <v>0</v>
      </c>
      <c r="AO219" s="4">
        <f>IF(Base[[#This Row],[Pathologie]]&lt;&gt;"Dépendance",0,Base[[#This Row],['[SC']Coût_personne_dépendante]]*Base[[#This Row],['[SC']Nb_personnes_dépendantes]])</f>
        <v>0</v>
      </c>
      <c r="AP219" s="4">
        <f>IF(Base[[#This Row],[Pathologie]]&lt;&gt;"Dépendance",0,Base[[#This Row],['[SC']Coût_total_dépendance]]/Base[[#This Row],[Population_totale]])</f>
        <v>0</v>
      </c>
      <c r="AQ219" s="4">
        <f>IF(Base[[#This Row],[Pathologie]]&lt;&gt;"Dépendance",0,4.5)</f>
        <v>0</v>
      </c>
      <c r="AR219" s="4">
        <v>0.50393265050357905</v>
      </c>
      <c r="AS219" s="4">
        <f>Base[[#This Row],[Espérance_vie]]+Base[[#This Row],['[SC']Hausse_esp_de_vie]]-Base[[#This Row],['[SC']Durée_moyenne_dépendance_avt]]+Base[[#This Row],[Risque]]</f>
        <v>82.945705247134342</v>
      </c>
      <c r="AT2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19" s="4">
        <v>62.9</v>
      </c>
      <c r="AW219" s="4">
        <f t="shared" si="1"/>
        <v>336905600000</v>
      </c>
      <c r="AX219" s="4">
        <v>15049171</v>
      </c>
      <c r="AY219" s="4">
        <f>Base[[#This Row],['[SC']Budget_total_retraites]]/Base[[#This Row],['[SC']Nombre_de_retraités]]</f>
        <v>22386.987296509556</v>
      </c>
      <c r="AZ219" s="4">
        <f>Base[[#This Row],['[SC']Budget_par_retraité]]*Base[[#This Row],['[SC']Nb_personnes_dépendantes]]</f>
        <v>0</v>
      </c>
      <c r="BA219" s="4">
        <f>Base[[#This Row],['[SC']'[Dépendance']Coût_retraite_personnes_dépendantes]]/Base[[#This Row],[Population_totale]]</f>
        <v>0</v>
      </c>
      <c r="BB21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19" s="4">
        <f>Base[[#This Row],['[SC']'[Dépendance']Gains]]-Base[[#This Row],['[SC']'[Dépendance']Coûts]]</f>
        <v>0</v>
      </c>
      <c r="BD219" s="4">
        <f>IF(Base[[#This Row],[Pathologie]]&lt;&gt;"Mort prématurée",0,Base[[#This Row],[Risque]]*Base[[#This Row],[Prévalence]]*Base[[#This Row],[Population_totale]])</f>
        <v>17482.443528217791</v>
      </c>
      <c r="BE219" s="4">
        <v>52.74</v>
      </c>
      <c r="BF219" s="4">
        <f>Base[[#This Row],['[SC']Âge_moyen_retraite]]-Base[[#This Row],['[SC']'[Mort_prématurée']Âge_moyen_mort précoce]]</f>
        <v>10.159999999999997</v>
      </c>
      <c r="BG219" s="4">
        <f>Base[[#This Row],[Espérance_vie]]+Base[[#This Row],['[SC']Hausse_esp_de_vie]]-Base[[#This Row],['[SC']Âge_moyen_retraite]]</f>
        <v>19.90101171382144</v>
      </c>
      <c r="BH219" s="4">
        <v>106583.42676924677</v>
      </c>
      <c r="BI219" s="4">
        <v>97601.789429271477</v>
      </c>
      <c r="BJ219" s="4">
        <v>302038.31496633729</v>
      </c>
      <c r="BK219" s="4">
        <v>117293.58934859755</v>
      </c>
      <c r="BL219" s="4">
        <v>1523999.9999999995</v>
      </c>
      <c r="BM2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19" s="4">
        <v>294804.96027377353</v>
      </c>
      <c r="BO2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19" s="4">
        <f>(Base[[#This Row],['[SC']'[Mort_prématurée']Gains]]-Base[[#This Row],['[SC']'[Mort_prématurée']Coûts]])/Base[[#This Row],[Population_totale]]</f>
        <v>15.930675914489704</v>
      </c>
      <c r="BQ219" s="4">
        <f>IF(Base[[#This Row],[Pathologie]]&lt;&gt;"Mort prématurée",0,Base[[#This Row],[Risque]])</f>
        <v>0.14469353331290885</v>
      </c>
      <c r="BR219" s="4">
        <v>2680</v>
      </c>
      <c r="BS2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19" s="4">
        <f>Base[[#This Row],[Prévalence_prod]]*(1-Base[[#This Row],[Risque]])*Base[[#This Row],[Durée_arrêt]]*Base[[#This Row],[Population_emploi]]</f>
        <v>0</v>
      </c>
      <c r="BV219" s="4">
        <f>Base[[#This Row],['[Prod']'[Absentéisme']Total_jours_absence_avant]]-Base[[#This Row],['[Prod']'[Absentéisme']Total_jours_absence_après]]</f>
        <v>0</v>
      </c>
      <c r="BW219" s="4">
        <f>IF(AND(Base[[#This Row],[Pathologie]]&lt;&gt;"Dépendance",Base[[#This Row],[Pathologie]]&lt;&gt;"Mort prématurée",Base[[#This Row],[Pathologie]]&lt;&gt;"Migraine"),0.0619,0)</f>
        <v>0</v>
      </c>
      <c r="BX219" s="4">
        <v>254</v>
      </c>
      <c r="BY21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1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19" s="4">
        <f>Base[[#This Row],[Prévalence_prod]]*Base[[#This Row],[Présentéisme]]*Base[[#This Row],['[Prod']Jours_ouvrés]]</f>
        <v>0</v>
      </c>
      <c r="CB219" s="4">
        <f>Base[[#This Row],[Prévalence_prod]]*(1-Base[[#This Row],[Risque]])*Base[[#This Row],[Présentéisme]]*Base[[#This Row],['[Prod']Jours_ouvrés]]</f>
        <v>0</v>
      </c>
      <c r="CC219" s="4">
        <f>Base[[#This Row],['[Prod']'[Présentéisme']Jours_avant]]-Base[[#This Row],['[Prod']'[Présentéisme']Jours_après]]</f>
        <v>0</v>
      </c>
      <c r="CD219" s="4">
        <f>Base[[#This Row],['[Prod']'[Présentéisme']Jours_gagnés]]/Base[[#This Row],['[Prod']Jours_ouvrés]]</f>
        <v>0</v>
      </c>
      <c r="CE219">
        <v>5.8333039429220801E-2</v>
      </c>
      <c r="CF219">
        <v>1.4658164114728258E-2</v>
      </c>
      <c r="CG219" s="4">
        <v>11</v>
      </c>
      <c r="CH219" s="4">
        <v>0.52204401140486179</v>
      </c>
      <c r="CI219" s="4">
        <v>1.2443904150185675E-2</v>
      </c>
      <c r="CJ219" s="4">
        <f>IF(Base[[#This Row],[Secteur]]&lt;&gt;"Moyenne",Base[[#This Row],['[Prod']'[Turnover']DMC_initiale]]*(1+Base[[#This Row],['[Prod']'[Turnover']Ecart_accidents]]*Base[[#This Row],['[Prod']Impact_motifs_turnover]]),CJ202*CI202+CJ203*CI203+CJ204*CI204+CJ205*CI205+CJ206*CI206+CJ207*CI207+CJ208*CI208+CJ209*CI209+CJ210*CI210+CJ211*CI211+CJ212*CI212+CJ213*CI213+CJ214*CI214+CJ215*CI215+CJ216*CI216+CJ217*CI217+CJ218*CI218)</f>
        <v>11.084174274737117</v>
      </c>
      <c r="CK219" s="4">
        <f>1/Base[[#This Row],['[Prod']'[Turnover']DMC_initiale]]</f>
        <v>9.0909090909090912E-2</v>
      </c>
      <c r="CL219" s="4">
        <f>1/Base[[#This Row],['[Prod']'[Turnover']DMC_finale]]</f>
        <v>9.0218718617514418E-2</v>
      </c>
    </row>
    <row r="220" spans="2:90" x14ac:dyDescent="0.25">
      <c r="B220" s="4" t="s">
        <v>320</v>
      </c>
      <c r="C220">
        <v>7.5</v>
      </c>
      <c r="D220" t="s">
        <v>84</v>
      </c>
      <c r="E220" t="s">
        <v>59</v>
      </c>
      <c r="F220" s="3">
        <v>0.14469353331290885</v>
      </c>
      <c r="G220" s="3">
        <v>1.7864082739021815E-3</v>
      </c>
      <c r="H220" s="3">
        <v>1.7864082739021815E-3</v>
      </c>
      <c r="I220" s="3">
        <v>0</v>
      </c>
      <c r="J220" s="3">
        <v>0</v>
      </c>
      <c r="K220" s="3">
        <v>7.0000000000000007E-2</v>
      </c>
      <c r="L220" s="2">
        <f>Base[[#This Row],[Coût]]*Base[[#This Row],[Part_ménages_dépenses_santé]]</f>
        <v>0</v>
      </c>
      <c r="M220" s="2">
        <v>0</v>
      </c>
      <c r="N220" s="6">
        <v>27700000</v>
      </c>
      <c r="O220" s="7">
        <f>Base[[#This Row],[Coût_salarié]]*10^9*Base[[#This Row],[Risque]]*Base[[#This Row],[Prévalence]]*Base[[#This Row],[Part_coûts_salarié]]/Base[[#This Row],[Population_emploi]]</f>
        <v>0</v>
      </c>
      <c r="P220">
        <v>50</v>
      </c>
      <c r="Q220">
        <v>50</v>
      </c>
      <c r="R220" s="2">
        <v>9.9999999999999978E-2</v>
      </c>
      <c r="S220" s="2">
        <v>0.33340000000000003</v>
      </c>
      <c r="T220" s="4">
        <v>0</v>
      </c>
      <c r="U220" s="4">
        <f>IF(Bases_annexes!$F$5=0,16.6587111018772,0.77*Bases_annexes!$F$5/(IF(OR(ISBLANK('Données_d''entrée'!$E$44),'Données_d''entrée'!$E$44=0),35,'Données_d''entrée'!$E$44)*52))</f>
        <v>16.658711101877199</v>
      </c>
      <c r="V220" s="4">
        <v>0</v>
      </c>
      <c r="W2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0" s="4">
        <v>234.5</v>
      </c>
      <c r="Y220" s="4">
        <f>(Base[[#This Row],['[Maladies']Coûts_évités_par_salarié]]+Base[[#This Row],['[Travail']Coûts_évités_par_salarié]])/Base[[#This Row],[Budget_santé_salarié]]</f>
        <v>0</v>
      </c>
      <c r="Z220" s="4">
        <v>0.8</v>
      </c>
      <c r="AA220" s="4">
        <f>Base[[#This Row],[Coût]]*Base[[#This Row],[Part_société_dépenses_santé]]</f>
        <v>0</v>
      </c>
      <c r="AB220" s="4">
        <v>67635124</v>
      </c>
      <c r="AC220" s="4">
        <v>82.297079063317852</v>
      </c>
      <c r="AD220" s="4">
        <v>0</v>
      </c>
      <c r="AE220" s="4">
        <f>Base[[#This Row],['[SC']Prévalence_travail]]*Base[[#This Row],[Population_emploi]]</f>
        <v>0</v>
      </c>
      <c r="AF220" s="4">
        <f>Base[[#This Row],[Risque]]*Base[[#This Row],['[SC']Patients_en_emploi]]</f>
        <v>0</v>
      </c>
      <c r="AG220" s="4">
        <v>0</v>
      </c>
      <c r="AH220" s="4">
        <f>IFERROR(Base[[#This Row],['[SC']Prestations]]/Base[[#This Row],['[SC']Patients_en_emploi]],0)</f>
        <v>0</v>
      </c>
      <c r="AI220" s="4">
        <v>51.7</v>
      </c>
      <c r="AJ2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0" s="4">
        <f>Base[[#This Row],['[SC']'[Travail']Coûts_évités]]/Base[[#This Row],[Population_emploi]]</f>
        <v>0</v>
      </c>
      <c r="AL220" s="4">
        <f>Base[[#This Row],[Coût_société]]*10^9*Base[[#This Row],[Risque]]*Base[[#This Row],[Prévalence]]*Base[[#This Row],[Part_coûts_salarié]]/Base[[#This Row],[Population_emploi]]</f>
        <v>0</v>
      </c>
      <c r="AM220" s="4">
        <f>IF(Base[[#This Row],[Pathologie]]&lt;&gt;"Dépendance",0,14909.24243952)</f>
        <v>0</v>
      </c>
      <c r="AN220" s="4">
        <f>IF(Base[[#This Row],[Pathologie]]&lt;&gt;"Dépendance",0,1316000)</f>
        <v>0</v>
      </c>
      <c r="AO220" s="4">
        <f>IF(Base[[#This Row],[Pathologie]]&lt;&gt;"Dépendance",0,Base[[#This Row],['[SC']Coût_personne_dépendante]]*Base[[#This Row],['[SC']Nb_personnes_dépendantes]])</f>
        <v>0</v>
      </c>
      <c r="AP220" s="4">
        <f>IF(Base[[#This Row],[Pathologie]]&lt;&gt;"Dépendance",0,Base[[#This Row],['[SC']Coût_total_dépendance]]/Base[[#This Row],[Population_totale]])</f>
        <v>0</v>
      </c>
      <c r="AQ220" s="4">
        <f>IF(Base[[#This Row],[Pathologie]]&lt;&gt;"Dépendance",0,4.5)</f>
        <v>0</v>
      </c>
      <c r="AR220" s="4">
        <v>0.50393265050357905</v>
      </c>
      <c r="AS220" s="4">
        <f>Base[[#This Row],[Espérance_vie]]+Base[[#This Row],['[SC']Hausse_esp_de_vie]]-Base[[#This Row],['[SC']Durée_moyenne_dépendance_avt]]+Base[[#This Row],[Risque]]</f>
        <v>82.945705247134342</v>
      </c>
      <c r="AT2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0" s="4">
        <v>62.9</v>
      </c>
      <c r="AW220" s="4">
        <f t="shared" si="1"/>
        <v>336905600000</v>
      </c>
      <c r="AX220" s="4">
        <v>15049171</v>
      </c>
      <c r="AY220" s="4">
        <f>Base[[#This Row],['[SC']Budget_total_retraites]]/Base[[#This Row],['[SC']Nombre_de_retraités]]</f>
        <v>22386.987296509556</v>
      </c>
      <c r="AZ220" s="4">
        <f>Base[[#This Row],['[SC']Budget_par_retraité]]*Base[[#This Row],['[SC']Nb_personnes_dépendantes]]</f>
        <v>0</v>
      </c>
      <c r="BA220" s="4">
        <f>Base[[#This Row],['[SC']'[Dépendance']Coût_retraite_personnes_dépendantes]]/Base[[#This Row],[Population_totale]]</f>
        <v>0</v>
      </c>
      <c r="BB22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0" s="4">
        <f>Base[[#This Row],['[SC']'[Dépendance']Gains]]-Base[[#This Row],['[SC']'[Dépendance']Coûts]]</f>
        <v>0</v>
      </c>
      <c r="BD220" s="4">
        <f>IF(Base[[#This Row],[Pathologie]]&lt;&gt;"Mort prématurée",0,Base[[#This Row],[Risque]]*Base[[#This Row],[Prévalence]]*Base[[#This Row],[Population_totale]])</f>
        <v>17482.443528217791</v>
      </c>
      <c r="BE220" s="4">
        <v>52.74</v>
      </c>
      <c r="BF220" s="4">
        <f>Base[[#This Row],['[SC']Âge_moyen_retraite]]-Base[[#This Row],['[SC']'[Mort_prématurée']Âge_moyen_mort précoce]]</f>
        <v>10.159999999999997</v>
      </c>
      <c r="BG220" s="4">
        <f>Base[[#This Row],[Espérance_vie]]+Base[[#This Row],['[SC']Hausse_esp_de_vie]]-Base[[#This Row],['[SC']Âge_moyen_retraite]]</f>
        <v>19.90101171382144</v>
      </c>
      <c r="BH220" s="4">
        <v>106583.42676924677</v>
      </c>
      <c r="BI220" s="4">
        <v>97601.789429271477</v>
      </c>
      <c r="BJ220" s="4">
        <v>302038.31496633729</v>
      </c>
      <c r="BK220" s="4">
        <v>117293.58934859755</v>
      </c>
      <c r="BL220" s="4">
        <v>1523999.9999999995</v>
      </c>
      <c r="BM2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0" s="4">
        <v>294804.96027377353</v>
      </c>
      <c r="BO2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0" s="4">
        <f>(Base[[#This Row],['[SC']'[Mort_prématurée']Gains]]-Base[[#This Row],['[SC']'[Mort_prématurée']Coûts]])/Base[[#This Row],[Population_totale]]</f>
        <v>15.930675914489704</v>
      </c>
      <c r="BQ220" s="4">
        <f>IF(Base[[#This Row],[Pathologie]]&lt;&gt;"Mort prématurée",0,Base[[#This Row],[Risque]])</f>
        <v>0.14469353331290885</v>
      </c>
      <c r="BR220" s="4">
        <v>2680</v>
      </c>
      <c r="BS2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0" s="4">
        <f>Base[[#This Row],[Prévalence_prod]]*(1-Base[[#This Row],[Risque]])*Base[[#This Row],[Durée_arrêt]]*Base[[#This Row],[Population_emploi]]</f>
        <v>0</v>
      </c>
      <c r="BV220" s="4">
        <f>Base[[#This Row],['[Prod']'[Absentéisme']Total_jours_absence_avant]]-Base[[#This Row],['[Prod']'[Absentéisme']Total_jours_absence_après]]</f>
        <v>0</v>
      </c>
      <c r="BW220" s="4">
        <f>IF(AND(Base[[#This Row],[Pathologie]]&lt;&gt;"Dépendance",Base[[#This Row],[Pathologie]]&lt;&gt;"Mort prématurée",Base[[#This Row],[Pathologie]]&lt;&gt;"Migraine"),0.0619,0)</f>
        <v>0</v>
      </c>
      <c r="BX220" s="4">
        <v>254</v>
      </c>
      <c r="BY22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0" s="4">
        <f>Base[[#This Row],[Prévalence_prod]]*Base[[#This Row],[Présentéisme]]*Base[[#This Row],['[Prod']Jours_ouvrés]]</f>
        <v>0</v>
      </c>
      <c r="CB220" s="4">
        <f>Base[[#This Row],[Prévalence_prod]]*(1-Base[[#This Row],[Risque]])*Base[[#This Row],[Présentéisme]]*Base[[#This Row],['[Prod']Jours_ouvrés]]</f>
        <v>0</v>
      </c>
      <c r="CC220" s="4">
        <f>Base[[#This Row],['[Prod']'[Présentéisme']Jours_avant]]-Base[[#This Row],['[Prod']'[Présentéisme']Jours_après]]</f>
        <v>0</v>
      </c>
      <c r="CD220" s="4">
        <f>Base[[#This Row],['[Prod']'[Présentéisme']Jours_gagnés]]/Base[[#This Row],['[Prod']Jours_ouvrés]]</f>
        <v>0</v>
      </c>
      <c r="CE220">
        <v>5.8333039429220801E-2</v>
      </c>
      <c r="CF220">
        <v>1.4658164114728258E-2</v>
      </c>
      <c r="CG220" s="4">
        <v>11</v>
      </c>
      <c r="CH220" s="4">
        <v>0.49446424657188709</v>
      </c>
      <c r="CI220" s="4">
        <v>1.0795805058605798E-2</v>
      </c>
      <c r="CJ220" s="4">
        <f>IF(Base[[#This Row],[Secteur]]&lt;&gt;"Moyenne",Base[[#This Row],['[Prod']'[Turnover']DMC_initiale]]*(1+Base[[#This Row],['[Prod']'[Turnover']Ecart_accidents]]*Base[[#This Row],['[Prod']Impact_motifs_turnover]]),CJ203*CI203+CJ204*CI204+CJ205*CI205+CJ206*CI206+CJ207*CI207+CJ208*CI208+CJ209*CI209+CJ210*CI210+CJ211*CI211+CJ212*CI212+CJ213*CI213+CJ214*CI214+CJ215*CI215+CJ216*CI216+CJ217*CI217+CJ218*CI218+CJ219*CI219)</f>
        <v>11.079727318826279</v>
      </c>
      <c r="CK220" s="4">
        <f>1/Base[[#This Row],['[Prod']'[Turnover']DMC_initiale]]</f>
        <v>9.0909090909090912E-2</v>
      </c>
      <c r="CL220" s="4">
        <f>1/Base[[#This Row],['[Prod']'[Turnover']DMC_finale]]</f>
        <v>9.025492877436031E-2</v>
      </c>
    </row>
    <row r="221" spans="2:90" x14ac:dyDescent="0.25">
      <c r="B221" s="4" t="s">
        <v>321</v>
      </c>
      <c r="C221">
        <v>7.5</v>
      </c>
      <c r="D221" t="s">
        <v>84</v>
      </c>
      <c r="E221" t="s">
        <v>59</v>
      </c>
      <c r="F221" s="3">
        <v>0.14469353331290885</v>
      </c>
      <c r="G221" s="3">
        <v>1.7864082739021815E-3</v>
      </c>
      <c r="H221" s="3">
        <v>1.7864082739021815E-3</v>
      </c>
      <c r="I221" s="3">
        <v>0</v>
      </c>
      <c r="J221" s="3">
        <v>0</v>
      </c>
      <c r="K221" s="3">
        <v>7.0000000000000007E-2</v>
      </c>
      <c r="L221" s="2">
        <f>Base[[#This Row],[Coût]]*Base[[#This Row],[Part_ménages_dépenses_santé]]</f>
        <v>0</v>
      </c>
      <c r="M221" s="2">
        <v>0</v>
      </c>
      <c r="N221" s="6">
        <v>27700000</v>
      </c>
      <c r="O221" s="7">
        <f>Base[[#This Row],[Coût_salarié]]*10^9*Base[[#This Row],[Risque]]*Base[[#This Row],[Prévalence]]*Base[[#This Row],[Part_coûts_salarié]]/Base[[#This Row],[Population_emploi]]</f>
        <v>0</v>
      </c>
      <c r="P221">
        <v>50</v>
      </c>
      <c r="Q221">
        <v>50</v>
      </c>
      <c r="R221" s="2">
        <v>9.9999999999999978E-2</v>
      </c>
      <c r="S221" s="2">
        <v>0.33340000000000003</v>
      </c>
      <c r="T221" s="4">
        <v>0</v>
      </c>
      <c r="U221" s="4">
        <f>IF(Bases_annexes!$F$5=0,16.6587111018772,0.77*Bases_annexes!$F$5/(IF(OR(ISBLANK('Données_d''entrée'!$E$44),'Données_d''entrée'!$E$44=0),35,'Données_d''entrée'!$E$44)*52))</f>
        <v>16.658711101877199</v>
      </c>
      <c r="V221" s="4">
        <v>0</v>
      </c>
      <c r="W2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1" s="4">
        <v>234.5</v>
      </c>
      <c r="Y221" s="4">
        <f>(Base[[#This Row],['[Maladies']Coûts_évités_par_salarié]]+Base[[#This Row],['[Travail']Coûts_évités_par_salarié]])/Base[[#This Row],[Budget_santé_salarié]]</f>
        <v>0</v>
      </c>
      <c r="Z221" s="4">
        <v>0.8</v>
      </c>
      <c r="AA221" s="4">
        <f>Base[[#This Row],[Coût]]*Base[[#This Row],[Part_société_dépenses_santé]]</f>
        <v>0</v>
      </c>
      <c r="AB221" s="4">
        <v>67635124</v>
      </c>
      <c r="AC221" s="4">
        <v>82.297079063317852</v>
      </c>
      <c r="AD221" s="4">
        <v>0</v>
      </c>
      <c r="AE221" s="4">
        <f>Base[[#This Row],['[SC']Prévalence_travail]]*Base[[#This Row],[Population_emploi]]</f>
        <v>0</v>
      </c>
      <c r="AF221" s="4">
        <f>Base[[#This Row],[Risque]]*Base[[#This Row],['[SC']Patients_en_emploi]]</f>
        <v>0</v>
      </c>
      <c r="AG221" s="4">
        <v>0</v>
      </c>
      <c r="AH221" s="4">
        <f>IFERROR(Base[[#This Row],['[SC']Prestations]]/Base[[#This Row],['[SC']Patients_en_emploi]],0)</f>
        <v>0</v>
      </c>
      <c r="AI221" s="4">
        <v>51.7</v>
      </c>
      <c r="AJ2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1" s="4">
        <f>Base[[#This Row],['[SC']'[Travail']Coûts_évités]]/Base[[#This Row],[Population_emploi]]</f>
        <v>0</v>
      </c>
      <c r="AL221" s="4">
        <f>Base[[#This Row],[Coût_société]]*10^9*Base[[#This Row],[Risque]]*Base[[#This Row],[Prévalence]]*Base[[#This Row],[Part_coûts_salarié]]/Base[[#This Row],[Population_emploi]]</f>
        <v>0</v>
      </c>
      <c r="AM221" s="4">
        <f>IF(Base[[#This Row],[Pathologie]]&lt;&gt;"Dépendance",0,14909.24243952)</f>
        <v>0</v>
      </c>
      <c r="AN221" s="4">
        <f>IF(Base[[#This Row],[Pathologie]]&lt;&gt;"Dépendance",0,1316000)</f>
        <v>0</v>
      </c>
      <c r="AO221" s="4">
        <f>IF(Base[[#This Row],[Pathologie]]&lt;&gt;"Dépendance",0,Base[[#This Row],['[SC']Coût_personne_dépendante]]*Base[[#This Row],['[SC']Nb_personnes_dépendantes]])</f>
        <v>0</v>
      </c>
      <c r="AP221" s="4">
        <f>IF(Base[[#This Row],[Pathologie]]&lt;&gt;"Dépendance",0,Base[[#This Row],['[SC']Coût_total_dépendance]]/Base[[#This Row],[Population_totale]])</f>
        <v>0</v>
      </c>
      <c r="AQ221" s="4">
        <f>IF(Base[[#This Row],[Pathologie]]&lt;&gt;"Dépendance",0,4.5)</f>
        <v>0</v>
      </c>
      <c r="AR221" s="4">
        <v>0.50393265050357905</v>
      </c>
      <c r="AS221" s="4">
        <f>Base[[#This Row],[Espérance_vie]]+Base[[#This Row],['[SC']Hausse_esp_de_vie]]-Base[[#This Row],['[SC']Durée_moyenne_dépendance_avt]]+Base[[#This Row],[Risque]]</f>
        <v>82.945705247134342</v>
      </c>
      <c r="AT2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1" s="4">
        <v>62.9</v>
      </c>
      <c r="AW221" s="4">
        <f t="shared" si="1"/>
        <v>336905600000</v>
      </c>
      <c r="AX221" s="4">
        <v>15049171</v>
      </c>
      <c r="AY221" s="4">
        <f>Base[[#This Row],['[SC']Budget_total_retraites]]/Base[[#This Row],['[SC']Nombre_de_retraités]]</f>
        <v>22386.987296509556</v>
      </c>
      <c r="AZ221" s="4">
        <f>Base[[#This Row],['[SC']Budget_par_retraité]]*Base[[#This Row],['[SC']Nb_personnes_dépendantes]]</f>
        <v>0</v>
      </c>
      <c r="BA221" s="4">
        <f>Base[[#This Row],['[SC']'[Dépendance']Coût_retraite_personnes_dépendantes]]/Base[[#This Row],[Population_totale]]</f>
        <v>0</v>
      </c>
      <c r="BB22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1" s="4">
        <f>Base[[#This Row],['[SC']'[Dépendance']Gains]]-Base[[#This Row],['[SC']'[Dépendance']Coûts]]</f>
        <v>0</v>
      </c>
      <c r="BD221" s="4">
        <f>IF(Base[[#This Row],[Pathologie]]&lt;&gt;"Mort prématurée",0,Base[[#This Row],[Risque]]*Base[[#This Row],[Prévalence]]*Base[[#This Row],[Population_totale]])</f>
        <v>17482.443528217791</v>
      </c>
      <c r="BE221" s="4">
        <v>52.74</v>
      </c>
      <c r="BF221" s="4">
        <f>Base[[#This Row],['[SC']Âge_moyen_retraite]]-Base[[#This Row],['[SC']'[Mort_prématurée']Âge_moyen_mort précoce]]</f>
        <v>10.159999999999997</v>
      </c>
      <c r="BG221" s="4">
        <f>Base[[#This Row],[Espérance_vie]]+Base[[#This Row],['[SC']Hausse_esp_de_vie]]-Base[[#This Row],['[SC']Âge_moyen_retraite]]</f>
        <v>19.90101171382144</v>
      </c>
      <c r="BH221" s="4">
        <v>106583.42676924677</v>
      </c>
      <c r="BI221" s="4">
        <v>97601.789429271477</v>
      </c>
      <c r="BJ221" s="4">
        <v>302038.31496633729</v>
      </c>
      <c r="BK221" s="4">
        <v>117293.58934859755</v>
      </c>
      <c r="BL221" s="4">
        <v>1523999.9999999995</v>
      </c>
      <c r="BM2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1" s="4">
        <v>294804.96027377353</v>
      </c>
      <c r="BO2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1" s="4">
        <f>(Base[[#This Row],['[SC']'[Mort_prématurée']Gains]]-Base[[#This Row],['[SC']'[Mort_prématurée']Coûts]])/Base[[#This Row],[Population_totale]]</f>
        <v>15.930675914489704</v>
      </c>
      <c r="BQ221" s="4">
        <f>IF(Base[[#This Row],[Pathologie]]&lt;&gt;"Mort prématurée",0,Base[[#This Row],[Risque]])</f>
        <v>0.14469353331290885</v>
      </c>
      <c r="BR221" s="4">
        <v>2680</v>
      </c>
      <c r="BS2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1" s="4">
        <f>Base[[#This Row],[Prévalence_prod]]*(1-Base[[#This Row],[Risque]])*Base[[#This Row],[Durée_arrêt]]*Base[[#This Row],[Population_emploi]]</f>
        <v>0</v>
      </c>
      <c r="BV221" s="4">
        <f>Base[[#This Row],['[Prod']'[Absentéisme']Total_jours_absence_avant]]-Base[[#This Row],['[Prod']'[Absentéisme']Total_jours_absence_après]]</f>
        <v>0</v>
      </c>
      <c r="BW221" s="4">
        <f>IF(AND(Base[[#This Row],[Pathologie]]&lt;&gt;"Dépendance",Base[[#This Row],[Pathologie]]&lt;&gt;"Mort prématurée",Base[[#This Row],[Pathologie]]&lt;&gt;"Migraine"),0.0619,0)</f>
        <v>0</v>
      </c>
      <c r="BX221" s="4">
        <v>254</v>
      </c>
      <c r="BY22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1" s="4">
        <f>Base[[#This Row],[Prévalence_prod]]*Base[[#This Row],[Présentéisme]]*Base[[#This Row],['[Prod']Jours_ouvrés]]</f>
        <v>0</v>
      </c>
      <c r="CB221" s="4">
        <f>Base[[#This Row],[Prévalence_prod]]*(1-Base[[#This Row],[Risque]])*Base[[#This Row],[Présentéisme]]*Base[[#This Row],['[Prod']Jours_ouvrés]]</f>
        <v>0</v>
      </c>
      <c r="CC221" s="4">
        <f>Base[[#This Row],['[Prod']'[Présentéisme']Jours_avant]]-Base[[#This Row],['[Prod']'[Présentéisme']Jours_après]]</f>
        <v>0</v>
      </c>
      <c r="CD221" s="4">
        <f>Base[[#This Row],['[Prod']'[Présentéisme']Jours_gagnés]]/Base[[#This Row],['[Prod']Jours_ouvrés]]</f>
        <v>0</v>
      </c>
      <c r="CE221">
        <v>5.8333039429220801E-2</v>
      </c>
      <c r="CF221">
        <v>1.4658164114728258E-2</v>
      </c>
      <c r="CG221" s="4">
        <v>11</v>
      </c>
      <c r="CH221" s="4">
        <v>0.85274500894619554</v>
      </c>
      <c r="CI221" s="4">
        <v>4.2903496994109176E-2</v>
      </c>
      <c r="CJ221" s="4">
        <f>IF(Base[[#This Row],[Secteur]]&lt;&gt;"Moyenne",Base[[#This Row],['[Prod']'[Turnover']DMC_initiale]]*(1+Base[[#This Row],['[Prod']'[Turnover']Ecart_accidents]]*Base[[#This Row],['[Prod']Impact_motifs_turnover]]),CJ204*CI204+CJ205*CI205+CJ206*CI206+CJ207*CI207+CJ208*CI208+CJ209*CI209+CJ210*CI210+CJ211*CI211+CJ212*CI212+CJ213*CI213+CJ214*CI214+CJ215*CI215+CJ216*CI216+CJ217*CI217+CJ218*CI218+CJ219*CI219+CJ220*CI220)</f>
        <v>11.137496439180635</v>
      </c>
      <c r="CK221" s="4">
        <f>1/Base[[#This Row],['[Prod']'[Turnover']DMC_initiale]]</f>
        <v>9.0909090909090912E-2</v>
      </c>
      <c r="CL221" s="4">
        <f>1/Base[[#This Row],['[Prod']'[Turnover']DMC_finale]]</f>
        <v>8.9786785159553156E-2</v>
      </c>
    </row>
    <row r="222" spans="2:90" x14ac:dyDescent="0.25">
      <c r="B222" s="4" t="s">
        <v>322</v>
      </c>
      <c r="C222">
        <v>7.5</v>
      </c>
      <c r="D222" t="s">
        <v>84</v>
      </c>
      <c r="E222" t="s">
        <v>59</v>
      </c>
      <c r="F222" s="3">
        <v>0.14469353331290885</v>
      </c>
      <c r="G222" s="3">
        <v>1.7864082739021815E-3</v>
      </c>
      <c r="H222" s="3">
        <v>1.7864082739021815E-3</v>
      </c>
      <c r="I222" s="3">
        <v>0</v>
      </c>
      <c r="J222" s="3">
        <v>0</v>
      </c>
      <c r="K222" s="3">
        <v>7.0000000000000007E-2</v>
      </c>
      <c r="L222" s="2">
        <f>Base[[#This Row],[Coût]]*Base[[#This Row],[Part_ménages_dépenses_santé]]</f>
        <v>0</v>
      </c>
      <c r="M222" s="2">
        <v>0</v>
      </c>
      <c r="N222" s="6">
        <v>27700000</v>
      </c>
      <c r="O222" s="7">
        <f>Base[[#This Row],[Coût_salarié]]*10^9*Base[[#This Row],[Risque]]*Base[[#This Row],[Prévalence]]*Base[[#This Row],[Part_coûts_salarié]]/Base[[#This Row],[Population_emploi]]</f>
        <v>0</v>
      </c>
      <c r="P222">
        <v>50</v>
      </c>
      <c r="Q222">
        <v>50</v>
      </c>
      <c r="R222" s="2">
        <v>9.9999999999999978E-2</v>
      </c>
      <c r="S222" s="2">
        <v>0.33340000000000003</v>
      </c>
      <c r="T222" s="4">
        <v>0</v>
      </c>
      <c r="U222" s="4">
        <f>IF(Bases_annexes!$F$5=0,16.6587111018772,0.77*Bases_annexes!$F$5/(IF(OR(ISBLANK('Données_d''entrée'!$E$44),'Données_d''entrée'!$E$44=0),35,'Données_d''entrée'!$E$44)*52))</f>
        <v>16.658711101877199</v>
      </c>
      <c r="V222" s="4">
        <v>0</v>
      </c>
      <c r="W2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2" s="4">
        <v>234.5</v>
      </c>
      <c r="Y222" s="4">
        <f>(Base[[#This Row],['[Maladies']Coûts_évités_par_salarié]]+Base[[#This Row],['[Travail']Coûts_évités_par_salarié]])/Base[[#This Row],[Budget_santé_salarié]]</f>
        <v>0</v>
      </c>
      <c r="Z222" s="4">
        <v>0.8</v>
      </c>
      <c r="AA222" s="4">
        <f>Base[[#This Row],[Coût]]*Base[[#This Row],[Part_société_dépenses_santé]]</f>
        <v>0</v>
      </c>
      <c r="AB222" s="4">
        <v>67635124</v>
      </c>
      <c r="AC222" s="4">
        <v>82.297079063317852</v>
      </c>
      <c r="AD222" s="4">
        <v>0</v>
      </c>
      <c r="AE222" s="4">
        <f>Base[[#This Row],['[SC']Prévalence_travail]]*Base[[#This Row],[Population_emploi]]</f>
        <v>0</v>
      </c>
      <c r="AF222" s="4">
        <f>Base[[#This Row],[Risque]]*Base[[#This Row],['[SC']Patients_en_emploi]]</f>
        <v>0</v>
      </c>
      <c r="AG222" s="4">
        <v>0</v>
      </c>
      <c r="AH222" s="4">
        <f>IFERROR(Base[[#This Row],['[SC']Prestations]]/Base[[#This Row],['[SC']Patients_en_emploi]],0)</f>
        <v>0</v>
      </c>
      <c r="AI222" s="4">
        <v>51.7</v>
      </c>
      <c r="AJ2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2" s="4">
        <f>Base[[#This Row],['[SC']'[Travail']Coûts_évités]]/Base[[#This Row],[Population_emploi]]</f>
        <v>0</v>
      </c>
      <c r="AL222" s="4">
        <f>Base[[#This Row],[Coût_société]]*10^9*Base[[#This Row],[Risque]]*Base[[#This Row],[Prévalence]]*Base[[#This Row],[Part_coûts_salarié]]/Base[[#This Row],[Population_emploi]]</f>
        <v>0</v>
      </c>
      <c r="AM222" s="4">
        <f>IF(Base[[#This Row],[Pathologie]]&lt;&gt;"Dépendance",0,14909.24243952)</f>
        <v>0</v>
      </c>
      <c r="AN222" s="4">
        <f>IF(Base[[#This Row],[Pathologie]]&lt;&gt;"Dépendance",0,1316000)</f>
        <v>0</v>
      </c>
      <c r="AO222" s="4">
        <f>IF(Base[[#This Row],[Pathologie]]&lt;&gt;"Dépendance",0,Base[[#This Row],['[SC']Coût_personne_dépendante]]*Base[[#This Row],['[SC']Nb_personnes_dépendantes]])</f>
        <v>0</v>
      </c>
      <c r="AP222" s="4">
        <f>IF(Base[[#This Row],[Pathologie]]&lt;&gt;"Dépendance",0,Base[[#This Row],['[SC']Coût_total_dépendance]]/Base[[#This Row],[Population_totale]])</f>
        <v>0</v>
      </c>
      <c r="AQ222" s="4">
        <f>IF(Base[[#This Row],[Pathologie]]&lt;&gt;"Dépendance",0,4.5)</f>
        <v>0</v>
      </c>
      <c r="AR222" s="4">
        <v>0.50393265050357905</v>
      </c>
      <c r="AS222" s="4">
        <f>Base[[#This Row],[Espérance_vie]]+Base[[#This Row],['[SC']Hausse_esp_de_vie]]-Base[[#This Row],['[SC']Durée_moyenne_dépendance_avt]]+Base[[#This Row],[Risque]]</f>
        <v>82.945705247134342</v>
      </c>
      <c r="AT2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2" s="4">
        <v>62.9</v>
      </c>
      <c r="AW222" s="4">
        <f t="shared" si="1"/>
        <v>336905600000</v>
      </c>
      <c r="AX222" s="4">
        <v>15049171</v>
      </c>
      <c r="AY222" s="4">
        <f>Base[[#This Row],['[SC']Budget_total_retraites]]/Base[[#This Row],['[SC']Nombre_de_retraités]]</f>
        <v>22386.987296509556</v>
      </c>
      <c r="AZ222" s="4">
        <f>Base[[#This Row],['[SC']Budget_par_retraité]]*Base[[#This Row],['[SC']Nb_personnes_dépendantes]]</f>
        <v>0</v>
      </c>
      <c r="BA222" s="4">
        <f>Base[[#This Row],['[SC']'[Dépendance']Coût_retraite_personnes_dépendantes]]/Base[[#This Row],[Population_totale]]</f>
        <v>0</v>
      </c>
      <c r="BB22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2" s="4">
        <f>Base[[#This Row],['[SC']'[Dépendance']Gains]]-Base[[#This Row],['[SC']'[Dépendance']Coûts]]</f>
        <v>0</v>
      </c>
      <c r="BD222" s="4">
        <f>IF(Base[[#This Row],[Pathologie]]&lt;&gt;"Mort prématurée",0,Base[[#This Row],[Risque]]*Base[[#This Row],[Prévalence]]*Base[[#This Row],[Population_totale]])</f>
        <v>17482.443528217791</v>
      </c>
      <c r="BE222" s="4">
        <v>52.74</v>
      </c>
      <c r="BF222" s="4">
        <f>Base[[#This Row],['[SC']Âge_moyen_retraite]]-Base[[#This Row],['[SC']'[Mort_prématurée']Âge_moyen_mort précoce]]</f>
        <v>10.159999999999997</v>
      </c>
      <c r="BG222" s="4">
        <f>Base[[#This Row],[Espérance_vie]]+Base[[#This Row],['[SC']Hausse_esp_de_vie]]-Base[[#This Row],['[SC']Âge_moyen_retraite]]</f>
        <v>19.90101171382144</v>
      </c>
      <c r="BH222" s="4">
        <v>106583.42676924677</v>
      </c>
      <c r="BI222" s="4">
        <v>97601.789429271477</v>
      </c>
      <c r="BJ222" s="4">
        <v>302038.31496633729</v>
      </c>
      <c r="BK222" s="4">
        <v>117293.58934859755</v>
      </c>
      <c r="BL222" s="4">
        <v>1523999.9999999995</v>
      </c>
      <c r="BM2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2" s="4">
        <v>294804.96027377353</v>
      </c>
      <c r="BO2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2" s="4">
        <f>(Base[[#This Row],['[SC']'[Mort_prématurée']Gains]]-Base[[#This Row],['[SC']'[Mort_prématurée']Coûts]])/Base[[#This Row],[Population_totale]]</f>
        <v>15.930675914489704</v>
      </c>
      <c r="BQ222" s="4">
        <f>IF(Base[[#This Row],[Pathologie]]&lt;&gt;"Mort prématurée",0,Base[[#This Row],[Risque]])</f>
        <v>0.14469353331290885</v>
      </c>
      <c r="BR222" s="4">
        <v>2680</v>
      </c>
      <c r="BS2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2" s="4">
        <f>Base[[#This Row],[Prévalence_prod]]*(1-Base[[#This Row],[Risque]])*Base[[#This Row],[Durée_arrêt]]*Base[[#This Row],[Population_emploi]]</f>
        <v>0</v>
      </c>
      <c r="BV222" s="4">
        <f>Base[[#This Row],['[Prod']'[Absentéisme']Total_jours_absence_avant]]-Base[[#This Row],['[Prod']'[Absentéisme']Total_jours_absence_après]]</f>
        <v>0</v>
      </c>
      <c r="BW222" s="4">
        <f>IF(AND(Base[[#This Row],[Pathologie]]&lt;&gt;"Dépendance",Base[[#This Row],[Pathologie]]&lt;&gt;"Mort prématurée",Base[[#This Row],[Pathologie]]&lt;&gt;"Migraine"),0.0619,0)</f>
        <v>0</v>
      </c>
      <c r="BX222" s="4">
        <v>254</v>
      </c>
      <c r="BY22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2" s="4">
        <f>Base[[#This Row],[Prévalence_prod]]*Base[[#This Row],[Présentéisme]]*Base[[#This Row],['[Prod']Jours_ouvrés]]</f>
        <v>0</v>
      </c>
      <c r="CB222" s="4">
        <f>Base[[#This Row],[Prévalence_prod]]*(1-Base[[#This Row],[Risque]])*Base[[#This Row],[Présentéisme]]*Base[[#This Row],['[Prod']Jours_ouvrés]]</f>
        <v>0</v>
      </c>
      <c r="CC222" s="4">
        <f>Base[[#This Row],['[Prod']'[Présentéisme']Jours_avant]]-Base[[#This Row],['[Prod']'[Présentéisme']Jours_après]]</f>
        <v>0</v>
      </c>
      <c r="CD222" s="4">
        <f>Base[[#This Row],['[Prod']'[Présentéisme']Jours_gagnés]]/Base[[#This Row],['[Prod']Jours_ouvrés]]</f>
        <v>0</v>
      </c>
      <c r="CE222">
        <v>5.8333039429220801E-2</v>
      </c>
      <c r="CF222">
        <v>1.4658164114728258E-2</v>
      </c>
      <c r="CG222" s="4">
        <v>11</v>
      </c>
      <c r="CH222" s="4">
        <v>1.6219398392978641</v>
      </c>
      <c r="CI222" s="4">
        <v>9.628527536862988E-2</v>
      </c>
      <c r="CJ222" s="4">
        <f>IF(Base[[#This Row],[Secteur]]&lt;&gt;"Moyenne",Base[[#This Row],['[Prod']'[Turnover']DMC_initiale]]*(1+Base[[#This Row],['[Prod']'[Turnover']Ecart_accidents]]*Base[[#This Row],['[Prod']Impact_motifs_turnover]]),CJ205*CI205+CJ206*CI206+CJ207*CI207+CJ208*CI208+CJ209*CI209+CJ210*CI210+CJ211*CI211+CJ212*CI212+CJ213*CI213+CJ214*CI214+CJ215*CI215+CJ216*CI216+CJ217*CI217+CJ218*CI218+CJ219*CI219+CJ220*CI220+CJ221*CI221)</f>
        <v>11.261521263835085</v>
      </c>
      <c r="CK222" s="4">
        <f>1/Base[[#This Row],['[Prod']'[Turnover']DMC_initiale]]</f>
        <v>9.0909090909090912E-2</v>
      </c>
      <c r="CL222" s="4">
        <f>1/Base[[#This Row],['[Prod']'[Turnover']DMC_finale]]</f>
        <v>8.8797949812639457E-2</v>
      </c>
    </row>
    <row r="223" spans="2:90" x14ac:dyDescent="0.25">
      <c r="B223" s="4" t="s">
        <v>323</v>
      </c>
      <c r="C223">
        <v>7.5</v>
      </c>
      <c r="D223" t="s">
        <v>84</v>
      </c>
      <c r="E223" t="s">
        <v>59</v>
      </c>
      <c r="F223" s="3">
        <v>0.14469353331290885</v>
      </c>
      <c r="G223" s="3">
        <v>1.7864082739021815E-3</v>
      </c>
      <c r="H223" s="3">
        <v>1.7864082739021815E-3</v>
      </c>
      <c r="I223" s="3">
        <v>0</v>
      </c>
      <c r="J223" s="3">
        <v>0</v>
      </c>
      <c r="K223" s="3">
        <v>7.0000000000000007E-2</v>
      </c>
      <c r="L223" s="2">
        <f>Base[[#This Row],[Coût]]*Base[[#This Row],[Part_ménages_dépenses_santé]]</f>
        <v>0</v>
      </c>
      <c r="M223" s="2">
        <v>0</v>
      </c>
      <c r="N223" s="6">
        <v>27700000</v>
      </c>
      <c r="O223" s="7">
        <f>Base[[#This Row],[Coût_salarié]]*10^9*Base[[#This Row],[Risque]]*Base[[#This Row],[Prévalence]]*Base[[#This Row],[Part_coûts_salarié]]/Base[[#This Row],[Population_emploi]]</f>
        <v>0</v>
      </c>
      <c r="P223">
        <v>50</v>
      </c>
      <c r="Q223">
        <v>50</v>
      </c>
      <c r="R223" s="2">
        <v>9.9999999999999978E-2</v>
      </c>
      <c r="S223" s="2">
        <v>0.33340000000000003</v>
      </c>
      <c r="T223" s="4">
        <v>0</v>
      </c>
      <c r="U223" s="4">
        <f>IF(Bases_annexes!$F$5=0,16.6587111018772,0.77*Bases_annexes!$F$5/(IF(OR(ISBLANK('Données_d''entrée'!$E$44),'Données_d''entrée'!$E$44=0),35,'Données_d''entrée'!$E$44)*52))</f>
        <v>16.658711101877199</v>
      </c>
      <c r="V223" s="4">
        <v>0</v>
      </c>
      <c r="W2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3" s="4">
        <v>234.5</v>
      </c>
      <c r="Y223" s="4">
        <f>(Base[[#This Row],['[Maladies']Coûts_évités_par_salarié]]+Base[[#This Row],['[Travail']Coûts_évités_par_salarié]])/Base[[#This Row],[Budget_santé_salarié]]</f>
        <v>0</v>
      </c>
      <c r="Z223" s="4">
        <v>0.8</v>
      </c>
      <c r="AA223" s="4">
        <f>Base[[#This Row],[Coût]]*Base[[#This Row],[Part_société_dépenses_santé]]</f>
        <v>0</v>
      </c>
      <c r="AB223" s="4">
        <v>67635124</v>
      </c>
      <c r="AC223" s="4">
        <v>82.297079063317852</v>
      </c>
      <c r="AD223" s="4">
        <v>0</v>
      </c>
      <c r="AE223" s="4">
        <f>Base[[#This Row],['[SC']Prévalence_travail]]*Base[[#This Row],[Population_emploi]]</f>
        <v>0</v>
      </c>
      <c r="AF223" s="4">
        <f>Base[[#This Row],[Risque]]*Base[[#This Row],['[SC']Patients_en_emploi]]</f>
        <v>0</v>
      </c>
      <c r="AG223" s="4">
        <v>0</v>
      </c>
      <c r="AH223" s="4">
        <f>IFERROR(Base[[#This Row],['[SC']Prestations]]/Base[[#This Row],['[SC']Patients_en_emploi]],0)</f>
        <v>0</v>
      </c>
      <c r="AI223" s="4">
        <v>51.7</v>
      </c>
      <c r="AJ2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3" s="4">
        <f>Base[[#This Row],['[SC']'[Travail']Coûts_évités]]/Base[[#This Row],[Population_emploi]]</f>
        <v>0</v>
      </c>
      <c r="AL223" s="4">
        <f>Base[[#This Row],[Coût_société]]*10^9*Base[[#This Row],[Risque]]*Base[[#This Row],[Prévalence]]*Base[[#This Row],[Part_coûts_salarié]]/Base[[#This Row],[Population_emploi]]</f>
        <v>0</v>
      </c>
      <c r="AM223" s="4">
        <f>IF(Base[[#This Row],[Pathologie]]&lt;&gt;"Dépendance",0,14909.24243952)</f>
        <v>0</v>
      </c>
      <c r="AN223" s="4">
        <f>IF(Base[[#This Row],[Pathologie]]&lt;&gt;"Dépendance",0,1316000)</f>
        <v>0</v>
      </c>
      <c r="AO223" s="4">
        <f>IF(Base[[#This Row],[Pathologie]]&lt;&gt;"Dépendance",0,Base[[#This Row],['[SC']Coût_personne_dépendante]]*Base[[#This Row],['[SC']Nb_personnes_dépendantes]])</f>
        <v>0</v>
      </c>
      <c r="AP223" s="4">
        <f>IF(Base[[#This Row],[Pathologie]]&lt;&gt;"Dépendance",0,Base[[#This Row],['[SC']Coût_total_dépendance]]/Base[[#This Row],[Population_totale]])</f>
        <v>0</v>
      </c>
      <c r="AQ223" s="4">
        <f>IF(Base[[#This Row],[Pathologie]]&lt;&gt;"Dépendance",0,4.5)</f>
        <v>0</v>
      </c>
      <c r="AR223" s="4">
        <v>0.50393265050357905</v>
      </c>
      <c r="AS223" s="4">
        <f>Base[[#This Row],[Espérance_vie]]+Base[[#This Row],['[SC']Hausse_esp_de_vie]]-Base[[#This Row],['[SC']Durée_moyenne_dépendance_avt]]+Base[[#This Row],[Risque]]</f>
        <v>82.945705247134342</v>
      </c>
      <c r="AT2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3" s="4">
        <v>62.9</v>
      </c>
      <c r="AW223" s="4">
        <f t="shared" si="1"/>
        <v>336905600000</v>
      </c>
      <c r="AX223" s="4">
        <v>15049171</v>
      </c>
      <c r="AY223" s="4">
        <f>Base[[#This Row],['[SC']Budget_total_retraites]]/Base[[#This Row],['[SC']Nombre_de_retraités]]</f>
        <v>22386.987296509556</v>
      </c>
      <c r="AZ223" s="4">
        <f>Base[[#This Row],['[SC']Budget_par_retraité]]*Base[[#This Row],['[SC']Nb_personnes_dépendantes]]</f>
        <v>0</v>
      </c>
      <c r="BA223" s="4">
        <f>Base[[#This Row],['[SC']'[Dépendance']Coût_retraite_personnes_dépendantes]]/Base[[#This Row],[Population_totale]]</f>
        <v>0</v>
      </c>
      <c r="BB22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3" s="4">
        <f>Base[[#This Row],['[SC']'[Dépendance']Gains]]-Base[[#This Row],['[SC']'[Dépendance']Coûts]]</f>
        <v>0</v>
      </c>
      <c r="BD223" s="4">
        <f>IF(Base[[#This Row],[Pathologie]]&lt;&gt;"Mort prématurée",0,Base[[#This Row],[Risque]]*Base[[#This Row],[Prévalence]]*Base[[#This Row],[Population_totale]])</f>
        <v>17482.443528217791</v>
      </c>
      <c r="BE223" s="4">
        <v>52.74</v>
      </c>
      <c r="BF223" s="4">
        <f>Base[[#This Row],['[SC']Âge_moyen_retraite]]-Base[[#This Row],['[SC']'[Mort_prématurée']Âge_moyen_mort précoce]]</f>
        <v>10.159999999999997</v>
      </c>
      <c r="BG223" s="4">
        <f>Base[[#This Row],[Espérance_vie]]+Base[[#This Row],['[SC']Hausse_esp_de_vie]]-Base[[#This Row],['[SC']Âge_moyen_retraite]]</f>
        <v>19.90101171382144</v>
      </c>
      <c r="BH223" s="4">
        <v>106583.42676924677</v>
      </c>
      <c r="BI223" s="4">
        <v>97601.789429271477</v>
      </c>
      <c r="BJ223" s="4">
        <v>302038.31496633729</v>
      </c>
      <c r="BK223" s="4">
        <v>117293.58934859755</v>
      </c>
      <c r="BL223" s="4">
        <v>1523999.9999999995</v>
      </c>
      <c r="BM2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3" s="4">
        <v>294804.96027377353</v>
      </c>
      <c r="BO2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3" s="4">
        <f>(Base[[#This Row],['[SC']'[Mort_prématurée']Gains]]-Base[[#This Row],['[SC']'[Mort_prématurée']Coûts]])/Base[[#This Row],[Population_totale]]</f>
        <v>15.930675914489704</v>
      </c>
      <c r="BQ223" s="4">
        <f>IF(Base[[#This Row],[Pathologie]]&lt;&gt;"Mort prématurée",0,Base[[#This Row],[Risque]])</f>
        <v>0.14469353331290885</v>
      </c>
      <c r="BR223" s="4">
        <v>2680</v>
      </c>
      <c r="BS2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3" s="4">
        <f>Base[[#This Row],[Prévalence_prod]]*(1-Base[[#This Row],[Risque]])*Base[[#This Row],[Durée_arrêt]]*Base[[#This Row],[Population_emploi]]</f>
        <v>0</v>
      </c>
      <c r="BV223" s="4">
        <f>Base[[#This Row],['[Prod']'[Absentéisme']Total_jours_absence_avant]]-Base[[#This Row],['[Prod']'[Absentéisme']Total_jours_absence_après]]</f>
        <v>0</v>
      </c>
      <c r="BW223" s="4">
        <f>IF(AND(Base[[#This Row],[Pathologie]]&lt;&gt;"Dépendance",Base[[#This Row],[Pathologie]]&lt;&gt;"Mort prématurée",Base[[#This Row],[Pathologie]]&lt;&gt;"Migraine"),0.0619,0)</f>
        <v>0</v>
      </c>
      <c r="BX223" s="4">
        <v>254</v>
      </c>
      <c r="BY22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3" s="4">
        <f>Base[[#This Row],[Prévalence_prod]]*Base[[#This Row],[Présentéisme]]*Base[[#This Row],['[Prod']Jours_ouvrés]]</f>
        <v>0</v>
      </c>
      <c r="CB223" s="4">
        <f>Base[[#This Row],[Prévalence_prod]]*(1-Base[[#This Row],[Risque]])*Base[[#This Row],[Présentéisme]]*Base[[#This Row],['[Prod']Jours_ouvrés]]</f>
        <v>0</v>
      </c>
      <c r="CC223" s="4">
        <f>Base[[#This Row],['[Prod']'[Présentéisme']Jours_avant]]-Base[[#This Row],['[Prod']'[Présentéisme']Jours_après]]</f>
        <v>0</v>
      </c>
      <c r="CD223" s="4">
        <f>Base[[#This Row],['[Prod']'[Présentéisme']Jours_gagnés]]/Base[[#This Row],['[Prod']Jours_ouvrés]]</f>
        <v>0</v>
      </c>
      <c r="CE223">
        <v>5.8333039429220801E-2</v>
      </c>
      <c r="CF223">
        <v>1.4658164114728258E-2</v>
      </c>
      <c r="CG223" s="4">
        <v>11</v>
      </c>
      <c r="CH223" s="4">
        <v>0.96913802401210614</v>
      </c>
      <c r="CI223" s="4">
        <v>0.10293966445307301</v>
      </c>
      <c r="CJ223" s="4">
        <f>IF(Base[[#This Row],[Secteur]]&lt;&gt;"Moyenne",Base[[#This Row],['[Prod']'[Turnover']DMC_initiale]]*(1+Base[[#This Row],['[Prod']'[Turnover']Ecart_accidents]]*Base[[#This Row],['[Prod']Impact_motifs_turnover]]),CJ206*CI206+CJ207*CI207+CJ208*CI208+CJ209*CI209+CJ210*CI210+CJ211*CI211+CJ212*CI212+CJ213*CI213+CJ214*CI214+CJ215*CI215+CJ216*CI216+CJ217*CI217+CJ218*CI218+CJ219*CI219+CJ220*CI220+CJ221*CI221+CJ222*CI222)</f>
        <v>11.156263626263723</v>
      </c>
      <c r="CK223" s="4">
        <f>1/Base[[#This Row],['[Prod']'[Turnover']DMC_initiale]]</f>
        <v>9.0909090909090912E-2</v>
      </c>
      <c r="CL223" s="4">
        <f>1/Base[[#This Row],['[Prod']'[Turnover']DMC_finale]]</f>
        <v>8.9635744860477456E-2</v>
      </c>
    </row>
    <row r="224" spans="2:90" x14ac:dyDescent="0.25">
      <c r="B224" s="4" t="s">
        <v>324</v>
      </c>
      <c r="C224">
        <v>7.5</v>
      </c>
      <c r="D224" t="s">
        <v>84</v>
      </c>
      <c r="E224" t="s">
        <v>59</v>
      </c>
      <c r="F224" s="3">
        <v>0.14469353331290885</v>
      </c>
      <c r="G224" s="3">
        <v>1.7864082739021815E-3</v>
      </c>
      <c r="H224" s="3">
        <v>1.7864082739021815E-3</v>
      </c>
      <c r="I224" s="3">
        <v>0</v>
      </c>
      <c r="J224" s="3">
        <v>0</v>
      </c>
      <c r="K224" s="3">
        <v>7.0000000000000007E-2</v>
      </c>
      <c r="L224" s="2">
        <f>Base[[#This Row],[Coût]]*Base[[#This Row],[Part_ménages_dépenses_santé]]</f>
        <v>0</v>
      </c>
      <c r="M224" s="2">
        <v>0</v>
      </c>
      <c r="N224" s="6">
        <v>27700000</v>
      </c>
      <c r="O224" s="7">
        <f>Base[[#This Row],[Coût_salarié]]*10^9*Base[[#This Row],[Risque]]*Base[[#This Row],[Prévalence]]*Base[[#This Row],[Part_coûts_salarié]]/Base[[#This Row],[Population_emploi]]</f>
        <v>0</v>
      </c>
      <c r="P224">
        <v>50</v>
      </c>
      <c r="Q224">
        <v>50</v>
      </c>
      <c r="R224" s="2">
        <v>9.9999999999999978E-2</v>
      </c>
      <c r="S224" s="2">
        <v>0.33340000000000003</v>
      </c>
      <c r="T224" s="4">
        <v>0</v>
      </c>
      <c r="U224" s="4">
        <f>IF(Bases_annexes!$F$5=0,16.6587111018772,0.77*Bases_annexes!$F$5/(IF(OR(ISBLANK('Données_d''entrée'!$E$44),'Données_d''entrée'!$E$44=0),35,'Données_d''entrée'!$E$44)*52))</f>
        <v>16.658711101877199</v>
      </c>
      <c r="V224" s="4">
        <v>0</v>
      </c>
      <c r="W2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4" s="4">
        <v>234.5</v>
      </c>
      <c r="Y224" s="4">
        <f>(Base[[#This Row],['[Maladies']Coûts_évités_par_salarié]]+Base[[#This Row],['[Travail']Coûts_évités_par_salarié]])/Base[[#This Row],[Budget_santé_salarié]]</f>
        <v>0</v>
      </c>
      <c r="Z224" s="4">
        <v>0.8</v>
      </c>
      <c r="AA224" s="4">
        <f>Base[[#This Row],[Coût]]*Base[[#This Row],[Part_société_dépenses_santé]]</f>
        <v>0</v>
      </c>
      <c r="AB224" s="4">
        <v>67635124</v>
      </c>
      <c r="AC224" s="4">
        <v>82.297079063317852</v>
      </c>
      <c r="AD224" s="4">
        <v>0</v>
      </c>
      <c r="AE224" s="4">
        <f>Base[[#This Row],['[SC']Prévalence_travail]]*Base[[#This Row],[Population_emploi]]</f>
        <v>0</v>
      </c>
      <c r="AF224" s="4">
        <f>Base[[#This Row],[Risque]]*Base[[#This Row],['[SC']Patients_en_emploi]]</f>
        <v>0</v>
      </c>
      <c r="AG224" s="4">
        <v>0</v>
      </c>
      <c r="AH224" s="4">
        <f>IFERROR(Base[[#This Row],['[SC']Prestations]]/Base[[#This Row],['[SC']Patients_en_emploi]],0)</f>
        <v>0</v>
      </c>
      <c r="AI224" s="4">
        <v>51.7</v>
      </c>
      <c r="AJ2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4" s="4">
        <f>Base[[#This Row],['[SC']'[Travail']Coûts_évités]]/Base[[#This Row],[Population_emploi]]</f>
        <v>0</v>
      </c>
      <c r="AL224" s="4">
        <f>Base[[#This Row],[Coût_société]]*10^9*Base[[#This Row],[Risque]]*Base[[#This Row],[Prévalence]]*Base[[#This Row],[Part_coûts_salarié]]/Base[[#This Row],[Population_emploi]]</f>
        <v>0</v>
      </c>
      <c r="AM224" s="4">
        <f>IF(Base[[#This Row],[Pathologie]]&lt;&gt;"Dépendance",0,14909.24243952)</f>
        <v>0</v>
      </c>
      <c r="AN224" s="4">
        <f>IF(Base[[#This Row],[Pathologie]]&lt;&gt;"Dépendance",0,1316000)</f>
        <v>0</v>
      </c>
      <c r="AO224" s="4">
        <f>IF(Base[[#This Row],[Pathologie]]&lt;&gt;"Dépendance",0,Base[[#This Row],['[SC']Coût_personne_dépendante]]*Base[[#This Row],['[SC']Nb_personnes_dépendantes]])</f>
        <v>0</v>
      </c>
      <c r="AP224" s="4">
        <f>IF(Base[[#This Row],[Pathologie]]&lt;&gt;"Dépendance",0,Base[[#This Row],['[SC']Coût_total_dépendance]]/Base[[#This Row],[Population_totale]])</f>
        <v>0</v>
      </c>
      <c r="AQ224" s="4">
        <f>IF(Base[[#This Row],[Pathologie]]&lt;&gt;"Dépendance",0,4.5)</f>
        <v>0</v>
      </c>
      <c r="AR224" s="4">
        <v>0.50393265050357905</v>
      </c>
      <c r="AS224" s="4">
        <f>Base[[#This Row],[Espérance_vie]]+Base[[#This Row],['[SC']Hausse_esp_de_vie]]-Base[[#This Row],['[SC']Durée_moyenne_dépendance_avt]]+Base[[#This Row],[Risque]]</f>
        <v>82.945705247134342</v>
      </c>
      <c r="AT2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4" s="4">
        <v>62.9</v>
      </c>
      <c r="AW224" s="4">
        <f t="shared" si="1"/>
        <v>336905600000</v>
      </c>
      <c r="AX224" s="4">
        <v>15049171</v>
      </c>
      <c r="AY224" s="4">
        <f>Base[[#This Row],['[SC']Budget_total_retraites]]/Base[[#This Row],['[SC']Nombre_de_retraités]]</f>
        <v>22386.987296509556</v>
      </c>
      <c r="AZ224" s="4">
        <f>Base[[#This Row],['[SC']Budget_par_retraité]]*Base[[#This Row],['[SC']Nb_personnes_dépendantes]]</f>
        <v>0</v>
      </c>
      <c r="BA224" s="4">
        <f>Base[[#This Row],['[SC']'[Dépendance']Coût_retraite_personnes_dépendantes]]/Base[[#This Row],[Population_totale]]</f>
        <v>0</v>
      </c>
      <c r="BB22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4" s="4">
        <f>Base[[#This Row],['[SC']'[Dépendance']Gains]]-Base[[#This Row],['[SC']'[Dépendance']Coûts]]</f>
        <v>0</v>
      </c>
      <c r="BD224" s="4">
        <f>IF(Base[[#This Row],[Pathologie]]&lt;&gt;"Mort prématurée",0,Base[[#This Row],[Risque]]*Base[[#This Row],[Prévalence]]*Base[[#This Row],[Population_totale]])</f>
        <v>17482.443528217791</v>
      </c>
      <c r="BE224" s="4">
        <v>52.74</v>
      </c>
      <c r="BF224" s="4">
        <f>Base[[#This Row],['[SC']Âge_moyen_retraite]]-Base[[#This Row],['[SC']'[Mort_prématurée']Âge_moyen_mort précoce]]</f>
        <v>10.159999999999997</v>
      </c>
      <c r="BG224" s="4">
        <f>Base[[#This Row],[Espérance_vie]]+Base[[#This Row],['[SC']Hausse_esp_de_vie]]-Base[[#This Row],['[SC']Âge_moyen_retraite]]</f>
        <v>19.90101171382144</v>
      </c>
      <c r="BH224" s="4">
        <v>106583.42676924677</v>
      </c>
      <c r="BI224" s="4">
        <v>97601.789429271477</v>
      </c>
      <c r="BJ224" s="4">
        <v>302038.31496633729</v>
      </c>
      <c r="BK224" s="4">
        <v>117293.58934859755</v>
      </c>
      <c r="BL224" s="4">
        <v>1523999.9999999995</v>
      </c>
      <c r="BM2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4" s="4">
        <v>294804.96027377353</v>
      </c>
      <c r="BO2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4" s="4">
        <f>(Base[[#This Row],['[SC']'[Mort_prématurée']Gains]]-Base[[#This Row],['[SC']'[Mort_prématurée']Coûts]])/Base[[#This Row],[Population_totale]]</f>
        <v>15.930675914489704</v>
      </c>
      <c r="BQ224" s="4">
        <f>IF(Base[[#This Row],[Pathologie]]&lt;&gt;"Mort prématurée",0,Base[[#This Row],[Risque]])</f>
        <v>0.14469353331290885</v>
      </c>
      <c r="BR224" s="4">
        <v>2680</v>
      </c>
      <c r="BS2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4" s="4">
        <f>Base[[#This Row],[Prévalence_prod]]*(1-Base[[#This Row],[Risque]])*Base[[#This Row],[Durée_arrêt]]*Base[[#This Row],[Population_emploi]]</f>
        <v>0</v>
      </c>
      <c r="BV224" s="4">
        <f>Base[[#This Row],['[Prod']'[Absentéisme']Total_jours_absence_avant]]-Base[[#This Row],['[Prod']'[Absentéisme']Total_jours_absence_après]]</f>
        <v>0</v>
      </c>
      <c r="BW224" s="4">
        <f>IF(AND(Base[[#This Row],[Pathologie]]&lt;&gt;"Dépendance",Base[[#This Row],[Pathologie]]&lt;&gt;"Mort prématurée",Base[[#This Row],[Pathologie]]&lt;&gt;"Migraine"),0.0619,0)</f>
        <v>0</v>
      </c>
      <c r="BX224" s="4">
        <v>254</v>
      </c>
      <c r="BY22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4" s="4">
        <f>Base[[#This Row],[Prévalence_prod]]*Base[[#This Row],[Présentéisme]]*Base[[#This Row],['[Prod']Jours_ouvrés]]</f>
        <v>0</v>
      </c>
      <c r="CB224" s="4">
        <f>Base[[#This Row],[Prévalence_prod]]*(1-Base[[#This Row],[Risque]])*Base[[#This Row],[Présentéisme]]*Base[[#This Row],['[Prod']Jours_ouvrés]]</f>
        <v>0</v>
      </c>
      <c r="CC224" s="4">
        <f>Base[[#This Row],['[Prod']'[Présentéisme']Jours_avant]]-Base[[#This Row],['[Prod']'[Présentéisme']Jours_après]]</f>
        <v>0</v>
      </c>
      <c r="CD224" s="4">
        <f>Base[[#This Row],['[Prod']'[Présentéisme']Jours_gagnés]]/Base[[#This Row],['[Prod']Jours_ouvrés]]</f>
        <v>0</v>
      </c>
      <c r="CE224">
        <v>5.8333039429220801E-2</v>
      </c>
      <c r="CF224">
        <v>1.4658164114728258E-2</v>
      </c>
      <c r="CG224" s="4">
        <v>11</v>
      </c>
      <c r="CH224" s="4">
        <v>1.3987208237662601</v>
      </c>
      <c r="CI224" s="4">
        <v>2.1768516166491274E-2</v>
      </c>
      <c r="CJ224" s="4">
        <f>IF(Base[[#This Row],[Secteur]]&lt;&gt;"Moyenne",Base[[#This Row],['[Prod']'[Turnover']DMC_initiale]]*(1+Base[[#This Row],['[Prod']'[Turnover']Ecart_accidents]]*Base[[#This Row],['[Prod']Impact_motifs_turnover]]),CJ207*CI207+CJ208*CI208+CJ209*CI209+CJ210*CI210+CJ211*CI211+CJ212*CI212+CJ213*CI213+CJ214*CI214+CJ215*CI215+CJ216*CI216+CJ217*CI217+CJ218*CI218+CJ219*CI219+CJ220*CI220+CJ221*CI221+CJ222*CI222+CJ223*CI223)</f>
        <v>11.225529473239991</v>
      </c>
      <c r="CK224" s="4">
        <f>1/Base[[#This Row],['[Prod']'[Turnover']DMC_initiale]]</f>
        <v>9.0909090909090912E-2</v>
      </c>
      <c r="CL224" s="4">
        <f>1/Base[[#This Row],['[Prod']'[Turnover']DMC_finale]]</f>
        <v>8.9082657738670828E-2</v>
      </c>
    </row>
    <row r="225" spans="2:90" x14ac:dyDescent="0.25">
      <c r="B225" s="4" t="s">
        <v>325</v>
      </c>
      <c r="C225">
        <v>7.5</v>
      </c>
      <c r="D225" t="s">
        <v>84</v>
      </c>
      <c r="E225" t="s">
        <v>59</v>
      </c>
      <c r="F225" s="3">
        <v>0.14469353331290885</v>
      </c>
      <c r="G225" s="3">
        <v>1.7864082739021815E-3</v>
      </c>
      <c r="H225" s="3">
        <v>1.7864082739021815E-3</v>
      </c>
      <c r="I225" s="3">
        <v>0</v>
      </c>
      <c r="J225" s="3">
        <v>0</v>
      </c>
      <c r="K225" s="3">
        <v>7.0000000000000007E-2</v>
      </c>
      <c r="L225" s="2">
        <f>Base[[#This Row],[Coût]]*Base[[#This Row],[Part_ménages_dépenses_santé]]</f>
        <v>0</v>
      </c>
      <c r="M225" s="2">
        <v>0</v>
      </c>
      <c r="N225" s="6">
        <v>27700000</v>
      </c>
      <c r="O225" s="7">
        <f>Base[[#This Row],[Coût_salarié]]*10^9*Base[[#This Row],[Risque]]*Base[[#This Row],[Prévalence]]*Base[[#This Row],[Part_coûts_salarié]]/Base[[#This Row],[Population_emploi]]</f>
        <v>0</v>
      </c>
      <c r="P225">
        <v>50</v>
      </c>
      <c r="Q225">
        <v>50</v>
      </c>
      <c r="R225" s="2">
        <v>9.9999999999999978E-2</v>
      </c>
      <c r="S225" s="2">
        <v>0.33340000000000003</v>
      </c>
      <c r="T225" s="4">
        <v>0</v>
      </c>
      <c r="U225" s="4">
        <f>IF(Bases_annexes!$F$5=0,16.6587111018772,0.77*Bases_annexes!$F$5/(IF(OR(ISBLANK('Données_d''entrée'!$E$44),'Données_d''entrée'!$E$44=0),35,'Données_d''entrée'!$E$44)*52))</f>
        <v>16.658711101877199</v>
      </c>
      <c r="V225" s="4">
        <v>0</v>
      </c>
      <c r="W2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5" s="4">
        <v>234.5</v>
      </c>
      <c r="Y225" s="4">
        <f>(Base[[#This Row],['[Maladies']Coûts_évités_par_salarié]]+Base[[#This Row],['[Travail']Coûts_évités_par_salarié]])/Base[[#This Row],[Budget_santé_salarié]]</f>
        <v>0</v>
      </c>
      <c r="Z225" s="4">
        <v>0.8</v>
      </c>
      <c r="AA225" s="4">
        <f>Base[[#This Row],[Coût]]*Base[[#This Row],[Part_société_dépenses_santé]]</f>
        <v>0</v>
      </c>
      <c r="AB225" s="4">
        <v>67635124</v>
      </c>
      <c r="AC225" s="4">
        <v>82.297079063317852</v>
      </c>
      <c r="AD225" s="4">
        <v>0</v>
      </c>
      <c r="AE225" s="4">
        <f>Base[[#This Row],['[SC']Prévalence_travail]]*Base[[#This Row],[Population_emploi]]</f>
        <v>0</v>
      </c>
      <c r="AF225" s="4">
        <f>Base[[#This Row],[Risque]]*Base[[#This Row],['[SC']Patients_en_emploi]]</f>
        <v>0</v>
      </c>
      <c r="AG225" s="4">
        <v>0</v>
      </c>
      <c r="AH225" s="4">
        <f>IFERROR(Base[[#This Row],['[SC']Prestations]]/Base[[#This Row],['[SC']Patients_en_emploi]],0)</f>
        <v>0</v>
      </c>
      <c r="AI225" s="4">
        <v>51.7</v>
      </c>
      <c r="AJ2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5" s="4">
        <f>Base[[#This Row],['[SC']'[Travail']Coûts_évités]]/Base[[#This Row],[Population_emploi]]</f>
        <v>0</v>
      </c>
      <c r="AL225" s="4">
        <f>Base[[#This Row],[Coût_société]]*10^9*Base[[#This Row],[Risque]]*Base[[#This Row],[Prévalence]]*Base[[#This Row],[Part_coûts_salarié]]/Base[[#This Row],[Population_emploi]]</f>
        <v>0</v>
      </c>
      <c r="AM225" s="4">
        <f>IF(Base[[#This Row],[Pathologie]]&lt;&gt;"Dépendance",0,14909.24243952)</f>
        <v>0</v>
      </c>
      <c r="AN225" s="4">
        <f>IF(Base[[#This Row],[Pathologie]]&lt;&gt;"Dépendance",0,1316000)</f>
        <v>0</v>
      </c>
      <c r="AO225" s="4">
        <f>IF(Base[[#This Row],[Pathologie]]&lt;&gt;"Dépendance",0,Base[[#This Row],['[SC']Coût_personne_dépendante]]*Base[[#This Row],['[SC']Nb_personnes_dépendantes]])</f>
        <v>0</v>
      </c>
      <c r="AP225" s="4">
        <f>IF(Base[[#This Row],[Pathologie]]&lt;&gt;"Dépendance",0,Base[[#This Row],['[SC']Coût_total_dépendance]]/Base[[#This Row],[Population_totale]])</f>
        <v>0</v>
      </c>
      <c r="AQ225" s="4">
        <f>IF(Base[[#This Row],[Pathologie]]&lt;&gt;"Dépendance",0,4.5)</f>
        <v>0</v>
      </c>
      <c r="AR225" s="4">
        <v>0.50393265050357905</v>
      </c>
      <c r="AS225" s="4">
        <f>Base[[#This Row],[Espérance_vie]]+Base[[#This Row],['[SC']Hausse_esp_de_vie]]-Base[[#This Row],['[SC']Durée_moyenne_dépendance_avt]]+Base[[#This Row],[Risque]]</f>
        <v>82.945705247134342</v>
      </c>
      <c r="AT2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5" s="4">
        <v>62.9</v>
      </c>
      <c r="AW225" s="4">
        <f t="shared" si="1"/>
        <v>336905600000</v>
      </c>
      <c r="AX225" s="4">
        <v>15049171</v>
      </c>
      <c r="AY225" s="4">
        <f>Base[[#This Row],['[SC']Budget_total_retraites]]/Base[[#This Row],['[SC']Nombre_de_retraités]]</f>
        <v>22386.987296509556</v>
      </c>
      <c r="AZ225" s="4">
        <f>Base[[#This Row],['[SC']Budget_par_retraité]]*Base[[#This Row],['[SC']Nb_personnes_dépendantes]]</f>
        <v>0</v>
      </c>
      <c r="BA225" s="4">
        <f>Base[[#This Row],['[SC']'[Dépendance']Coût_retraite_personnes_dépendantes]]/Base[[#This Row],[Population_totale]]</f>
        <v>0</v>
      </c>
      <c r="BB22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5" s="4">
        <f>Base[[#This Row],['[SC']'[Dépendance']Gains]]-Base[[#This Row],['[SC']'[Dépendance']Coûts]]</f>
        <v>0</v>
      </c>
      <c r="BD225" s="4">
        <f>IF(Base[[#This Row],[Pathologie]]&lt;&gt;"Mort prématurée",0,Base[[#This Row],[Risque]]*Base[[#This Row],[Prévalence]]*Base[[#This Row],[Population_totale]])</f>
        <v>17482.443528217791</v>
      </c>
      <c r="BE225" s="4">
        <v>52.74</v>
      </c>
      <c r="BF225" s="4">
        <f>Base[[#This Row],['[SC']Âge_moyen_retraite]]-Base[[#This Row],['[SC']'[Mort_prématurée']Âge_moyen_mort précoce]]</f>
        <v>10.159999999999997</v>
      </c>
      <c r="BG225" s="4">
        <f>Base[[#This Row],[Espérance_vie]]+Base[[#This Row],['[SC']Hausse_esp_de_vie]]-Base[[#This Row],['[SC']Âge_moyen_retraite]]</f>
        <v>19.90101171382144</v>
      </c>
      <c r="BH225" s="4">
        <v>106583.42676924677</v>
      </c>
      <c r="BI225" s="4">
        <v>97601.789429271477</v>
      </c>
      <c r="BJ225" s="4">
        <v>302038.31496633729</v>
      </c>
      <c r="BK225" s="4">
        <v>117293.58934859755</v>
      </c>
      <c r="BL225" s="4">
        <v>1523999.9999999995</v>
      </c>
      <c r="BM2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5" s="4">
        <v>294804.96027377353</v>
      </c>
      <c r="BO2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5" s="4">
        <f>(Base[[#This Row],['[SC']'[Mort_prématurée']Gains]]-Base[[#This Row],['[SC']'[Mort_prématurée']Coûts]])/Base[[#This Row],[Population_totale]]</f>
        <v>15.930675914489704</v>
      </c>
      <c r="BQ225" s="4">
        <f>IF(Base[[#This Row],[Pathologie]]&lt;&gt;"Mort prématurée",0,Base[[#This Row],[Risque]])</f>
        <v>0.14469353331290885</v>
      </c>
      <c r="BR225" s="4">
        <v>2680</v>
      </c>
      <c r="BS2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5" s="4">
        <f>Base[[#This Row],[Prévalence_prod]]*(1-Base[[#This Row],[Risque]])*Base[[#This Row],[Durée_arrêt]]*Base[[#This Row],[Population_emploi]]</f>
        <v>0</v>
      </c>
      <c r="BV225" s="4">
        <f>Base[[#This Row],['[Prod']'[Absentéisme']Total_jours_absence_avant]]-Base[[#This Row],['[Prod']'[Absentéisme']Total_jours_absence_après]]</f>
        <v>0</v>
      </c>
      <c r="BW225" s="4">
        <f>IF(AND(Base[[#This Row],[Pathologie]]&lt;&gt;"Dépendance",Base[[#This Row],[Pathologie]]&lt;&gt;"Mort prématurée",Base[[#This Row],[Pathologie]]&lt;&gt;"Migraine"),0.0619,0)</f>
        <v>0</v>
      </c>
      <c r="BX225" s="4">
        <v>254</v>
      </c>
      <c r="BY22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5" s="4">
        <f>Base[[#This Row],[Prévalence_prod]]*Base[[#This Row],[Présentéisme]]*Base[[#This Row],['[Prod']Jours_ouvrés]]</f>
        <v>0</v>
      </c>
      <c r="CB225" s="4">
        <f>Base[[#This Row],[Prévalence_prod]]*(1-Base[[#This Row],[Risque]])*Base[[#This Row],[Présentéisme]]*Base[[#This Row],['[Prod']Jours_ouvrés]]</f>
        <v>0</v>
      </c>
      <c r="CC225" s="4">
        <f>Base[[#This Row],['[Prod']'[Présentéisme']Jours_avant]]-Base[[#This Row],['[Prod']'[Présentéisme']Jours_après]]</f>
        <v>0</v>
      </c>
      <c r="CD225" s="4">
        <f>Base[[#This Row],['[Prod']'[Présentéisme']Jours_gagnés]]/Base[[#This Row],['[Prod']Jours_ouvrés]]</f>
        <v>0</v>
      </c>
      <c r="CE225">
        <v>5.8333039429220801E-2</v>
      </c>
      <c r="CF225">
        <v>1.4658164114728258E-2</v>
      </c>
      <c r="CG225" s="4">
        <v>11</v>
      </c>
      <c r="CH225" s="4">
        <v>1.1624525375985588</v>
      </c>
      <c r="CI225" s="4">
        <v>3.7953151649308701E-2</v>
      </c>
      <c r="CJ225" s="4">
        <f>IF(Base[[#This Row],[Secteur]]&lt;&gt;"Moyenne",Base[[#This Row],['[Prod']'[Turnover']DMC_initiale]]*(1+Base[[#This Row],['[Prod']'[Turnover']Ecart_accidents]]*Base[[#This Row],['[Prod']Impact_motifs_turnover]]),CJ208*CI208+CJ209*CI209+CJ210*CI210+CJ211*CI211+CJ212*CI212+CJ213*CI213+CJ214*CI214+CJ215*CI215+CJ216*CI216+CJ217*CI217+CJ218*CI218+CJ219*CI219+CJ220*CI220+CJ221*CI221+CJ222*CI222+CJ223*CI223+CJ224*CI224)</f>
        <v>11.18743362078872</v>
      </c>
      <c r="CK225" s="4">
        <f>1/Base[[#This Row],['[Prod']'[Turnover']DMC_initiale]]</f>
        <v>9.0909090909090912E-2</v>
      </c>
      <c r="CL225" s="4">
        <f>1/Base[[#This Row],['[Prod']'[Turnover']DMC_finale]]</f>
        <v>8.9386005217655939E-2</v>
      </c>
    </row>
    <row r="226" spans="2:90" x14ac:dyDescent="0.25">
      <c r="B226" s="4" t="s">
        <v>326</v>
      </c>
      <c r="C226">
        <v>7.5</v>
      </c>
      <c r="D226" t="s">
        <v>84</v>
      </c>
      <c r="E226" t="s">
        <v>59</v>
      </c>
      <c r="F226" s="3">
        <v>0.14469353331290885</v>
      </c>
      <c r="G226" s="3">
        <v>1.7864082739021815E-3</v>
      </c>
      <c r="H226" s="3">
        <v>1.7864082739021815E-3</v>
      </c>
      <c r="I226" s="3">
        <v>0</v>
      </c>
      <c r="J226" s="3">
        <v>0</v>
      </c>
      <c r="K226" s="3">
        <v>7.0000000000000007E-2</v>
      </c>
      <c r="L226" s="2">
        <f>Base[[#This Row],[Coût]]*Base[[#This Row],[Part_ménages_dépenses_santé]]</f>
        <v>0</v>
      </c>
      <c r="M226" s="2">
        <v>0</v>
      </c>
      <c r="N226" s="6">
        <v>27700000</v>
      </c>
      <c r="O226" s="7">
        <f>Base[[#This Row],[Coût_salarié]]*10^9*Base[[#This Row],[Risque]]*Base[[#This Row],[Prévalence]]*Base[[#This Row],[Part_coûts_salarié]]/Base[[#This Row],[Population_emploi]]</f>
        <v>0</v>
      </c>
      <c r="P226">
        <v>50</v>
      </c>
      <c r="Q226">
        <v>50</v>
      </c>
      <c r="R226" s="2">
        <v>9.9999999999999978E-2</v>
      </c>
      <c r="S226" s="2">
        <v>0.33340000000000003</v>
      </c>
      <c r="T226" s="4">
        <v>0</v>
      </c>
      <c r="U226" s="4">
        <f>IF(Bases_annexes!$F$5=0,16.6587111018772,0.77*Bases_annexes!$F$5/(IF(OR(ISBLANK('Données_d''entrée'!$E$44),'Données_d''entrée'!$E$44=0),35,'Données_d''entrée'!$E$44)*52))</f>
        <v>16.658711101877199</v>
      </c>
      <c r="V226" s="4">
        <v>0</v>
      </c>
      <c r="W2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6" s="4">
        <v>234.5</v>
      </c>
      <c r="Y226" s="4">
        <f>(Base[[#This Row],['[Maladies']Coûts_évités_par_salarié]]+Base[[#This Row],['[Travail']Coûts_évités_par_salarié]])/Base[[#This Row],[Budget_santé_salarié]]</f>
        <v>0</v>
      </c>
      <c r="Z226" s="4">
        <v>0.8</v>
      </c>
      <c r="AA226" s="4">
        <f>Base[[#This Row],[Coût]]*Base[[#This Row],[Part_société_dépenses_santé]]</f>
        <v>0</v>
      </c>
      <c r="AB226" s="4">
        <v>67635124</v>
      </c>
      <c r="AC226" s="4">
        <v>82.297079063317852</v>
      </c>
      <c r="AD226" s="4">
        <v>0</v>
      </c>
      <c r="AE226" s="4">
        <f>Base[[#This Row],['[SC']Prévalence_travail]]*Base[[#This Row],[Population_emploi]]</f>
        <v>0</v>
      </c>
      <c r="AF226" s="4">
        <f>Base[[#This Row],[Risque]]*Base[[#This Row],['[SC']Patients_en_emploi]]</f>
        <v>0</v>
      </c>
      <c r="AG226" s="4">
        <v>0</v>
      </c>
      <c r="AH226" s="4">
        <f>IFERROR(Base[[#This Row],['[SC']Prestations]]/Base[[#This Row],['[SC']Patients_en_emploi]],0)</f>
        <v>0</v>
      </c>
      <c r="AI226" s="4">
        <v>51.7</v>
      </c>
      <c r="AJ2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6" s="4">
        <f>Base[[#This Row],['[SC']'[Travail']Coûts_évités]]/Base[[#This Row],[Population_emploi]]</f>
        <v>0</v>
      </c>
      <c r="AL226" s="4">
        <f>Base[[#This Row],[Coût_société]]*10^9*Base[[#This Row],[Risque]]*Base[[#This Row],[Prévalence]]*Base[[#This Row],[Part_coûts_salarié]]/Base[[#This Row],[Population_emploi]]</f>
        <v>0</v>
      </c>
      <c r="AM226" s="4">
        <f>IF(Base[[#This Row],[Pathologie]]&lt;&gt;"Dépendance",0,14909.24243952)</f>
        <v>0</v>
      </c>
      <c r="AN226" s="4">
        <f>IF(Base[[#This Row],[Pathologie]]&lt;&gt;"Dépendance",0,1316000)</f>
        <v>0</v>
      </c>
      <c r="AO226" s="4">
        <f>IF(Base[[#This Row],[Pathologie]]&lt;&gt;"Dépendance",0,Base[[#This Row],['[SC']Coût_personne_dépendante]]*Base[[#This Row],['[SC']Nb_personnes_dépendantes]])</f>
        <v>0</v>
      </c>
      <c r="AP226" s="4">
        <f>IF(Base[[#This Row],[Pathologie]]&lt;&gt;"Dépendance",0,Base[[#This Row],['[SC']Coût_total_dépendance]]/Base[[#This Row],[Population_totale]])</f>
        <v>0</v>
      </c>
      <c r="AQ226" s="4">
        <f>IF(Base[[#This Row],[Pathologie]]&lt;&gt;"Dépendance",0,4.5)</f>
        <v>0</v>
      </c>
      <c r="AR226" s="4">
        <v>0.50393265050357905</v>
      </c>
      <c r="AS226" s="4">
        <f>Base[[#This Row],[Espérance_vie]]+Base[[#This Row],['[SC']Hausse_esp_de_vie]]-Base[[#This Row],['[SC']Durée_moyenne_dépendance_avt]]+Base[[#This Row],[Risque]]</f>
        <v>82.945705247134342</v>
      </c>
      <c r="AT2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6" s="4">
        <v>62.9</v>
      </c>
      <c r="AW226" s="4">
        <f t="shared" si="1"/>
        <v>336905600000</v>
      </c>
      <c r="AX226" s="4">
        <v>15049171</v>
      </c>
      <c r="AY226" s="4">
        <f>Base[[#This Row],['[SC']Budget_total_retraites]]/Base[[#This Row],['[SC']Nombre_de_retraités]]</f>
        <v>22386.987296509556</v>
      </c>
      <c r="AZ226" s="4">
        <f>Base[[#This Row],['[SC']Budget_par_retraité]]*Base[[#This Row],['[SC']Nb_personnes_dépendantes]]</f>
        <v>0</v>
      </c>
      <c r="BA226" s="4">
        <f>Base[[#This Row],['[SC']'[Dépendance']Coût_retraite_personnes_dépendantes]]/Base[[#This Row],[Population_totale]]</f>
        <v>0</v>
      </c>
      <c r="BB22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6" s="4">
        <f>Base[[#This Row],['[SC']'[Dépendance']Gains]]-Base[[#This Row],['[SC']'[Dépendance']Coûts]]</f>
        <v>0</v>
      </c>
      <c r="BD226" s="4">
        <f>IF(Base[[#This Row],[Pathologie]]&lt;&gt;"Mort prématurée",0,Base[[#This Row],[Risque]]*Base[[#This Row],[Prévalence]]*Base[[#This Row],[Population_totale]])</f>
        <v>17482.443528217791</v>
      </c>
      <c r="BE226" s="4">
        <v>52.74</v>
      </c>
      <c r="BF226" s="4">
        <f>Base[[#This Row],['[SC']Âge_moyen_retraite]]-Base[[#This Row],['[SC']'[Mort_prématurée']Âge_moyen_mort précoce]]</f>
        <v>10.159999999999997</v>
      </c>
      <c r="BG226" s="4">
        <f>Base[[#This Row],[Espérance_vie]]+Base[[#This Row],['[SC']Hausse_esp_de_vie]]-Base[[#This Row],['[SC']Âge_moyen_retraite]]</f>
        <v>19.90101171382144</v>
      </c>
      <c r="BH226" s="4">
        <v>106583.42676924677</v>
      </c>
      <c r="BI226" s="4">
        <v>97601.789429271477</v>
      </c>
      <c r="BJ226" s="4">
        <v>302038.31496633729</v>
      </c>
      <c r="BK226" s="4">
        <v>117293.58934859755</v>
      </c>
      <c r="BL226" s="4">
        <v>1523999.9999999995</v>
      </c>
      <c r="BM2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6" s="4">
        <v>294804.96027377353</v>
      </c>
      <c r="BO2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6" s="4">
        <f>(Base[[#This Row],['[SC']'[Mort_prématurée']Gains]]-Base[[#This Row],['[SC']'[Mort_prématurée']Coûts]])/Base[[#This Row],[Population_totale]]</f>
        <v>15.930675914489704</v>
      </c>
      <c r="BQ226" s="4">
        <f>IF(Base[[#This Row],[Pathologie]]&lt;&gt;"Mort prématurée",0,Base[[#This Row],[Risque]])</f>
        <v>0.14469353331290885</v>
      </c>
      <c r="BR226" s="4">
        <v>2680</v>
      </c>
      <c r="BS2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6" s="4">
        <f>Base[[#This Row],[Prévalence_prod]]*(1-Base[[#This Row],[Risque]])*Base[[#This Row],[Durée_arrêt]]*Base[[#This Row],[Population_emploi]]</f>
        <v>0</v>
      </c>
      <c r="BV226" s="4">
        <f>Base[[#This Row],['[Prod']'[Absentéisme']Total_jours_absence_avant]]-Base[[#This Row],['[Prod']'[Absentéisme']Total_jours_absence_après]]</f>
        <v>0</v>
      </c>
      <c r="BW226" s="4">
        <f>IF(AND(Base[[#This Row],[Pathologie]]&lt;&gt;"Dépendance",Base[[#This Row],[Pathologie]]&lt;&gt;"Mort prématurée",Base[[#This Row],[Pathologie]]&lt;&gt;"Migraine"),0.0619,0)</f>
        <v>0</v>
      </c>
      <c r="BX226" s="4">
        <v>254</v>
      </c>
      <c r="BY22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6" s="4">
        <f>Base[[#This Row],[Prévalence_prod]]*Base[[#This Row],[Présentéisme]]*Base[[#This Row],['[Prod']Jours_ouvrés]]</f>
        <v>0</v>
      </c>
      <c r="CB226" s="4">
        <f>Base[[#This Row],[Prévalence_prod]]*(1-Base[[#This Row],[Risque]])*Base[[#This Row],[Présentéisme]]*Base[[#This Row],['[Prod']Jours_ouvrés]]</f>
        <v>0</v>
      </c>
      <c r="CC226" s="4">
        <f>Base[[#This Row],['[Prod']'[Présentéisme']Jours_avant]]-Base[[#This Row],['[Prod']'[Présentéisme']Jours_après]]</f>
        <v>0</v>
      </c>
      <c r="CD226" s="4">
        <f>Base[[#This Row],['[Prod']'[Présentéisme']Jours_gagnés]]/Base[[#This Row],['[Prod']Jours_ouvrés]]</f>
        <v>0</v>
      </c>
      <c r="CE226">
        <v>5.8333039429220801E-2</v>
      </c>
      <c r="CF226">
        <v>1.4658164114728258E-2</v>
      </c>
      <c r="CG226" s="4">
        <v>11</v>
      </c>
      <c r="CH226" s="4">
        <v>0.19346787829229528</v>
      </c>
      <c r="CI226" s="4">
        <v>2.8126549817953091E-2</v>
      </c>
      <c r="CJ226" s="4">
        <f>IF(Base[[#This Row],[Secteur]]&lt;&gt;"Moyenne",Base[[#This Row],['[Prod']'[Turnover']DMC_initiale]]*(1+Base[[#This Row],['[Prod']'[Turnover']Ecart_accidents]]*Base[[#This Row],['[Prod']Impact_motifs_turnover]]),CJ209*CI209+CJ210*CI210+CJ211*CI211+CJ212*CI212+CJ213*CI213+CJ214*CI214+CJ215*CI215+CJ216*CI216+CJ217*CI217+CJ218*CI218+CJ219*CI219+CJ220*CI220+CJ221*CI221+CJ222*CI222+CJ223*CI223+CJ224*CI224+CJ225*CI225)</f>
        <v>11.031194723020304</v>
      </c>
      <c r="CK226" s="4">
        <f>1/Base[[#This Row],['[Prod']'[Turnover']DMC_initiale]]</f>
        <v>9.0909090909090912E-2</v>
      </c>
      <c r="CL226" s="4">
        <f>1/Base[[#This Row],['[Prod']'[Turnover']DMC_finale]]</f>
        <v>9.065201232584201E-2</v>
      </c>
    </row>
    <row r="227" spans="2:90" x14ac:dyDescent="0.25">
      <c r="B227" s="4" t="s">
        <v>327</v>
      </c>
      <c r="C227">
        <v>7.5</v>
      </c>
      <c r="D227" t="s">
        <v>84</v>
      </c>
      <c r="E227" t="s">
        <v>59</v>
      </c>
      <c r="F227" s="3">
        <v>0.14469353331290885</v>
      </c>
      <c r="G227" s="3">
        <v>1.7864082739021815E-3</v>
      </c>
      <c r="H227" s="3">
        <v>1.7864082739021815E-3</v>
      </c>
      <c r="I227" s="3">
        <v>0</v>
      </c>
      <c r="J227" s="3">
        <v>0</v>
      </c>
      <c r="K227" s="3">
        <v>7.0000000000000007E-2</v>
      </c>
      <c r="L227" s="2">
        <f>Base[[#This Row],[Coût]]*Base[[#This Row],[Part_ménages_dépenses_santé]]</f>
        <v>0</v>
      </c>
      <c r="M227" s="2">
        <v>0</v>
      </c>
      <c r="N227" s="6">
        <v>27700000</v>
      </c>
      <c r="O227" s="7">
        <f>Base[[#This Row],[Coût_salarié]]*10^9*Base[[#This Row],[Risque]]*Base[[#This Row],[Prévalence]]*Base[[#This Row],[Part_coûts_salarié]]/Base[[#This Row],[Population_emploi]]</f>
        <v>0</v>
      </c>
      <c r="P227">
        <v>50</v>
      </c>
      <c r="Q227">
        <v>50</v>
      </c>
      <c r="R227" s="2">
        <v>9.9999999999999978E-2</v>
      </c>
      <c r="S227" s="2">
        <v>0.33340000000000003</v>
      </c>
      <c r="T227" s="4">
        <v>0</v>
      </c>
      <c r="U227" s="4">
        <f>IF(Bases_annexes!$F$5=0,16.6587111018772,0.77*Bases_annexes!$F$5/(IF(OR(ISBLANK('Données_d''entrée'!$E$44),'Données_d''entrée'!$E$44=0),35,'Données_d''entrée'!$E$44)*52))</f>
        <v>16.658711101877199</v>
      </c>
      <c r="V227" s="4">
        <v>0</v>
      </c>
      <c r="W2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7" s="4">
        <v>234.5</v>
      </c>
      <c r="Y227" s="4">
        <f>(Base[[#This Row],['[Maladies']Coûts_évités_par_salarié]]+Base[[#This Row],['[Travail']Coûts_évités_par_salarié]])/Base[[#This Row],[Budget_santé_salarié]]</f>
        <v>0</v>
      </c>
      <c r="Z227" s="4">
        <v>0.8</v>
      </c>
      <c r="AA227" s="4">
        <f>Base[[#This Row],[Coût]]*Base[[#This Row],[Part_société_dépenses_santé]]</f>
        <v>0</v>
      </c>
      <c r="AB227" s="4">
        <v>67635124</v>
      </c>
      <c r="AC227" s="4">
        <v>82.297079063317852</v>
      </c>
      <c r="AD227" s="4">
        <v>0</v>
      </c>
      <c r="AE227" s="4">
        <f>Base[[#This Row],['[SC']Prévalence_travail]]*Base[[#This Row],[Population_emploi]]</f>
        <v>0</v>
      </c>
      <c r="AF227" s="4">
        <f>Base[[#This Row],[Risque]]*Base[[#This Row],['[SC']Patients_en_emploi]]</f>
        <v>0</v>
      </c>
      <c r="AG227" s="4">
        <v>0</v>
      </c>
      <c r="AH227" s="4">
        <f>IFERROR(Base[[#This Row],['[SC']Prestations]]/Base[[#This Row],['[SC']Patients_en_emploi]],0)</f>
        <v>0</v>
      </c>
      <c r="AI227" s="4">
        <v>51.7</v>
      </c>
      <c r="AJ2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7" s="4">
        <f>Base[[#This Row],['[SC']'[Travail']Coûts_évités]]/Base[[#This Row],[Population_emploi]]</f>
        <v>0</v>
      </c>
      <c r="AL227" s="4">
        <f>Base[[#This Row],[Coût_société]]*10^9*Base[[#This Row],[Risque]]*Base[[#This Row],[Prévalence]]*Base[[#This Row],[Part_coûts_salarié]]/Base[[#This Row],[Population_emploi]]</f>
        <v>0</v>
      </c>
      <c r="AM227" s="4">
        <f>IF(Base[[#This Row],[Pathologie]]&lt;&gt;"Dépendance",0,14909.24243952)</f>
        <v>0</v>
      </c>
      <c r="AN227" s="4">
        <f>IF(Base[[#This Row],[Pathologie]]&lt;&gt;"Dépendance",0,1316000)</f>
        <v>0</v>
      </c>
      <c r="AO227" s="4">
        <f>IF(Base[[#This Row],[Pathologie]]&lt;&gt;"Dépendance",0,Base[[#This Row],['[SC']Coût_personne_dépendante]]*Base[[#This Row],['[SC']Nb_personnes_dépendantes]])</f>
        <v>0</v>
      </c>
      <c r="AP227" s="4">
        <f>IF(Base[[#This Row],[Pathologie]]&lt;&gt;"Dépendance",0,Base[[#This Row],['[SC']Coût_total_dépendance]]/Base[[#This Row],[Population_totale]])</f>
        <v>0</v>
      </c>
      <c r="AQ227" s="4">
        <f>IF(Base[[#This Row],[Pathologie]]&lt;&gt;"Dépendance",0,4.5)</f>
        <v>0</v>
      </c>
      <c r="AR227" s="4">
        <v>0.50393265050357905</v>
      </c>
      <c r="AS227" s="4">
        <f>Base[[#This Row],[Espérance_vie]]+Base[[#This Row],['[SC']Hausse_esp_de_vie]]-Base[[#This Row],['[SC']Durée_moyenne_dépendance_avt]]+Base[[#This Row],[Risque]]</f>
        <v>82.945705247134342</v>
      </c>
      <c r="AT2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7" s="4">
        <v>62.9</v>
      </c>
      <c r="AW227" s="4">
        <f t="shared" si="1"/>
        <v>336905600000</v>
      </c>
      <c r="AX227" s="4">
        <v>15049171</v>
      </c>
      <c r="AY227" s="4">
        <f>Base[[#This Row],['[SC']Budget_total_retraites]]/Base[[#This Row],['[SC']Nombre_de_retraités]]</f>
        <v>22386.987296509556</v>
      </c>
      <c r="AZ227" s="4">
        <f>Base[[#This Row],['[SC']Budget_par_retraité]]*Base[[#This Row],['[SC']Nb_personnes_dépendantes]]</f>
        <v>0</v>
      </c>
      <c r="BA227" s="4">
        <f>Base[[#This Row],['[SC']'[Dépendance']Coût_retraite_personnes_dépendantes]]/Base[[#This Row],[Population_totale]]</f>
        <v>0</v>
      </c>
      <c r="BB22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7" s="4">
        <f>Base[[#This Row],['[SC']'[Dépendance']Gains]]-Base[[#This Row],['[SC']'[Dépendance']Coûts]]</f>
        <v>0</v>
      </c>
      <c r="BD227" s="4">
        <f>IF(Base[[#This Row],[Pathologie]]&lt;&gt;"Mort prématurée",0,Base[[#This Row],[Risque]]*Base[[#This Row],[Prévalence]]*Base[[#This Row],[Population_totale]])</f>
        <v>17482.443528217791</v>
      </c>
      <c r="BE227" s="4">
        <v>52.74</v>
      </c>
      <c r="BF227" s="4">
        <f>Base[[#This Row],['[SC']Âge_moyen_retraite]]-Base[[#This Row],['[SC']'[Mort_prématurée']Âge_moyen_mort précoce]]</f>
        <v>10.159999999999997</v>
      </c>
      <c r="BG227" s="4">
        <f>Base[[#This Row],[Espérance_vie]]+Base[[#This Row],['[SC']Hausse_esp_de_vie]]-Base[[#This Row],['[SC']Âge_moyen_retraite]]</f>
        <v>19.90101171382144</v>
      </c>
      <c r="BH227" s="4">
        <v>106583.42676924677</v>
      </c>
      <c r="BI227" s="4">
        <v>97601.789429271477</v>
      </c>
      <c r="BJ227" s="4">
        <v>302038.31496633729</v>
      </c>
      <c r="BK227" s="4">
        <v>117293.58934859755</v>
      </c>
      <c r="BL227" s="4">
        <v>1523999.9999999995</v>
      </c>
      <c r="BM2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7" s="4">
        <v>294804.96027377353</v>
      </c>
      <c r="BO2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7" s="4">
        <f>(Base[[#This Row],['[SC']'[Mort_prématurée']Gains]]-Base[[#This Row],['[SC']'[Mort_prématurée']Coûts]])/Base[[#This Row],[Population_totale]]</f>
        <v>15.930675914489704</v>
      </c>
      <c r="BQ227" s="4">
        <f>IF(Base[[#This Row],[Pathologie]]&lt;&gt;"Mort prématurée",0,Base[[#This Row],[Risque]])</f>
        <v>0.14469353331290885</v>
      </c>
      <c r="BR227" s="4">
        <v>2680</v>
      </c>
      <c r="BS2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7" s="4">
        <f>Base[[#This Row],[Prévalence_prod]]*(1-Base[[#This Row],[Risque]])*Base[[#This Row],[Durée_arrêt]]*Base[[#This Row],[Population_emploi]]</f>
        <v>0</v>
      </c>
      <c r="BV227" s="4">
        <f>Base[[#This Row],['[Prod']'[Absentéisme']Total_jours_absence_avant]]-Base[[#This Row],['[Prod']'[Absentéisme']Total_jours_absence_après]]</f>
        <v>0</v>
      </c>
      <c r="BW227" s="4">
        <f>IF(AND(Base[[#This Row],[Pathologie]]&lt;&gt;"Dépendance",Base[[#This Row],[Pathologie]]&lt;&gt;"Mort prématurée",Base[[#This Row],[Pathologie]]&lt;&gt;"Migraine"),0.0619,0)</f>
        <v>0</v>
      </c>
      <c r="BX227" s="4">
        <v>254</v>
      </c>
      <c r="BY22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7" s="4">
        <f>Base[[#This Row],[Prévalence_prod]]*Base[[#This Row],[Présentéisme]]*Base[[#This Row],['[Prod']Jours_ouvrés]]</f>
        <v>0</v>
      </c>
      <c r="CB227" s="4">
        <f>Base[[#This Row],[Prévalence_prod]]*(1-Base[[#This Row],[Risque]])*Base[[#This Row],[Présentéisme]]*Base[[#This Row],['[Prod']Jours_ouvrés]]</f>
        <v>0</v>
      </c>
      <c r="CC227" s="4">
        <f>Base[[#This Row],['[Prod']'[Présentéisme']Jours_avant]]-Base[[#This Row],['[Prod']'[Présentéisme']Jours_après]]</f>
        <v>0</v>
      </c>
      <c r="CD227" s="4">
        <f>Base[[#This Row],['[Prod']'[Présentéisme']Jours_gagnés]]/Base[[#This Row],['[Prod']Jours_ouvrés]]</f>
        <v>0</v>
      </c>
      <c r="CE227">
        <v>5.8333039429220801E-2</v>
      </c>
      <c r="CF227">
        <v>1.4658164114728258E-2</v>
      </c>
      <c r="CG227" s="4">
        <v>11</v>
      </c>
      <c r="CH227" s="4">
        <v>0.13729577077682142</v>
      </c>
      <c r="CI227" s="4">
        <v>1.373516710817578E-2</v>
      </c>
      <c r="CJ227" s="4">
        <f>IF(Base[[#This Row],[Secteur]]&lt;&gt;"Moyenne",Base[[#This Row],['[Prod']'[Turnover']DMC_initiale]]*(1+Base[[#This Row],['[Prod']'[Turnover']Ecart_accidents]]*Base[[#This Row],['[Prod']Impact_motifs_turnover]]),CJ210*CI210+CJ211*CI211+CJ212*CI212+CJ213*CI213+CJ214*CI214+CJ215*CI215+CJ216*CI216+CJ217*CI217+CJ218*CI218+CJ219*CI219+CJ220*CI220+CJ221*CI221+CJ222*CI222+CJ223*CI223+CJ224*CI224+CJ225*CI225+CJ226*CI226)</f>
        <v>11.022137543343351</v>
      </c>
      <c r="CK227" s="4">
        <f>1/Base[[#This Row],['[Prod']'[Turnover']DMC_initiale]]</f>
        <v>9.0909090909090912E-2</v>
      </c>
      <c r="CL227" s="4">
        <f>1/Base[[#This Row],['[Prod']'[Turnover']DMC_finale]]</f>
        <v>9.0726503463380792E-2</v>
      </c>
    </row>
    <row r="228" spans="2:90" x14ac:dyDescent="0.25">
      <c r="B228" s="4" t="s">
        <v>328</v>
      </c>
      <c r="C228">
        <v>7.5</v>
      </c>
      <c r="D228" t="s">
        <v>84</v>
      </c>
      <c r="E228" t="s">
        <v>59</v>
      </c>
      <c r="F228" s="3">
        <v>0.14469353331290885</v>
      </c>
      <c r="G228" s="3">
        <v>1.7864082739021815E-3</v>
      </c>
      <c r="H228" s="3">
        <v>1.7864082739021815E-3</v>
      </c>
      <c r="I228" s="3">
        <v>0</v>
      </c>
      <c r="J228" s="3">
        <v>0</v>
      </c>
      <c r="K228" s="3">
        <v>7.0000000000000007E-2</v>
      </c>
      <c r="L228" s="2">
        <f>Base[[#This Row],[Coût]]*Base[[#This Row],[Part_ménages_dépenses_santé]]</f>
        <v>0</v>
      </c>
      <c r="M228" s="2">
        <v>0</v>
      </c>
      <c r="N228" s="6">
        <v>27700000</v>
      </c>
      <c r="O228" s="7">
        <f>Base[[#This Row],[Coût_salarié]]*10^9*Base[[#This Row],[Risque]]*Base[[#This Row],[Prévalence]]*Base[[#This Row],[Part_coûts_salarié]]/Base[[#This Row],[Population_emploi]]</f>
        <v>0</v>
      </c>
      <c r="P228">
        <v>50</v>
      </c>
      <c r="Q228">
        <v>50</v>
      </c>
      <c r="R228" s="2">
        <v>9.9999999999999978E-2</v>
      </c>
      <c r="S228" s="2">
        <v>0.33340000000000003</v>
      </c>
      <c r="T228" s="4">
        <v>0</v>
      </c>
      <c r="U228" s="4">
        <f>IF(Bases_annexes!$F$5=0,16.6587111018772,0.77*Bases_annexes!$F$5/(IF(OR(ISBLANK('Données_d''entrée'!$E$44),'Données_d''entrée'!$E$44=0),35,'Données_d''entrée'!$E$44)*52))</f>
        <v>16.658711101877199</v>
      </c>
      <c r="V228" s="4">
        <v>0</v>
      </c>
      <c r="W2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8" s="4">
        <v>234.5</v>
      </c>
      <c r="Y228" s="4">
        <f>(Base[[#This Row],['[Maladies']Coûts_évités_par_salarié]]+Base[[#This Row],['[Travail']Coûts_évités_par_salarié]])/Base[[#This Row],[Budget_santé_salarié]]</f>
        <v>0</v>
      </c>
      <c r="Z228" s="4">
        <v>0.8</v>
      </c>
      <c r="AA228" s="4">
        <f>Base[[#This Row],[Coût]]*Base[[#This Row],[Part_société_dépenses_santé]]</f>
        <v>0</v>
      </c>
      <c r="AB228" s="4">
        <v>67635124</v>
      </c>
      <c r="AC228" s="4">
        <v>82.297079063317852</v>
      </c>
      <c r="AD228" s="4">
        <v>0</v>
      </c>
      <c r="AE228" s="4">
        <f>Base[[#This Row],['[SC']Prévalence_travail]]*Base[[#This Row],[Population_emploi]]</f>
        <v>0</v>
      </c>
      <c r="AF228" s="4">
        <f>Base[[#This Row],[Risque]]*Base[[#This Row],['[SC']Patients_en_emploi]]</f>
        <v>0</v>
      </c>
      <c r="AG228" s="4">
        <v>0</v>
      </c>
      <c r="AH228" s="4">
        <f>IFERROR(Base[[#This Row],['[SC']Prestations]]/Base[[#This Row],['[SC']Patients_en_emploi]],0)</f>
        <v>0</v>
      </c>
      <c r="AI228" s="4">
        <v>51.7</v>
      </c>
      <c r="AJ2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8" s="4">
        <f>Base[[#This Row],['[SC']'[Travail']Coûts_évités]]/Base[[#This Row],[Population_emploi]]</f>
        <v>0</v>
      </c>
      <c r="AL228" s="4">
        <f>Base[[#This Row],[Coût_société]]*10^9*Base[[#This Row],[Risque]]*Base[[#This Row],[Prévalence]]*Base[[#This Row],[Part_coûts_salarié]]/Base[[#This Row],[Population_emploi]]</f>
        <v>0</v>
      </c>
      <c r="AM228" s="4">
        <f>IF(Base[[#This Row],[Pathologie]]&lt;&gt;"Dépendance",0,14909.24243952)</f>
        <v>0</v>
      </c>
      <c r="AN228" s="4">
        <f>IF(Base[[#This Row],[Pathologie]]&lt;&gt;"Dépendance",0,1316000)</f>
        <v>0</v>
      </c>
      <c r="AO228" s="4">
        <f>IF(Base[[#This Row],[Pathologie]]&lt;&gt;"Dépendance",0,Base[[#This Row],['[SC']Coût_personne_dépendante]]*Base[[#This Row],['[SC']Nb_personnes_dépendantes]])</f>
        <v>0</v>
      </c>
      <c r="AP228" s="4">
        <f>IF(Base[[#This Row],[Pathologie]]&lt;&gt;"Dépendance",0,Base[[#This Row],['[SC']Coût_total_dépendance]]/Base[[#This Row],[Population_totale]])</f>
        <v>0</v>
      </c>
      <c r="AQ228" s="4">
        <f>IF(Base[[#This Row],[Pathologie]]&lt;&gt;"Dépendance",0,4.5)</f>
        <v>0</v>
      </c>
      <c r="AR228" s="4">
        <v>0.50393265050357905</v>
      </c>
      <c r="AS228" s="4">
        <f>Base[[#This Row],[Espérance_vie]]+Base[[#This Row],['[SC']Hausse_esp_de_vie]]-Base[[#This Row],['[SC']Durée_moyenne_dépendance_avt]]+Base[[#This Row],[Risque]]</f>
        <v>82.945705247134342</v>
      </c>
      <c r="AT2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8" s="4">
        <v>62.9</v>
      </c>
      <c r="AW228" s="4">
        <f t="shared" si="1"/>
        <v>336905600000</v>
      </c>
      <c r="AX228" s="4">
        <v>15049171</v>
      </c>
      <c r="AY228" s="4">
        <f>Base[[#This Row],['[SC']Budget_total_retraites]]/Base[[#This Row],['[SC']Nombre_de_retraités]]</f>
        <v>22386.987296509556</v>
      </c>
      <c r="AZ228" s="4">
        <f>Base[[#This Row],['[SC']Budget_par_retraité]]*Base[[#This Row],['[SC']Nb_personnes_dépendantes]]</f>
        <v>0</v>
      </c>
      <c r="BA228" s="4">
        <f>Base[[#This Row],['[SC']'[Dépendance']Coût_retraite_personnes_dépendantes]]/Base[[#This Row],[Population_totale]]</f>
        <v>0</v>
      </c>
      <c r="BB22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8" s="4">
        <f>Base[[#This Row],['[SC']'[Dépendance']Gains]]-Base[[#This Row],['[SC']'[Dépendance']Coûts]]</f>
        <v>0</v>
      </c>
      <c r="BD228" s="4">
        <f>IF(Base[[#This Row],[Pathologie]]&lt;&gt;"Mort prématurée",0,Base[[#This Row],[Risque]]*Base[[#This Row],[Prévalence]]*Base[[#This Row],[Population_totale]])</f>
        <v>17482.443528217791</v>
      </c>
      <c r="BE228" s="4">
        <v>52.74</v>
      </c>
      <c r="BF228" s="4">
        <f>Base[[#This Row],['[SC']Âge_moyen_retraite]]-Base[[#This Row],['[SC']'[Mort_prématurée']Âge_moyen_mort précoce]]</f>
        <v>10.159999999999997</v>
      </c>
      <c r="BG228" s="4">
        <f>Base[[#This Row],[Espérance_vie]]+Base[[#This Row],['[SC']Hausse_esp_de_vie]]-Base[[#This Row],['[SC']Âge_moyen_retraite]]</f>
        <v>19.90101171382144</v>
      </c>
      <c r="BH228" s="4">
        <v>106583.42676924677</v>
      </c>
      <c r="BI228" s="4">
        <v>97601.789429271477</v>
      </c>
      <c r="BJ228" s="4">
        <v>302038.31496633729</v>
      </c>
      <c r="BK228" s="4">
        <v>117293.58934859755</v>
      </c>
      <c r="BL228" s="4">
        <v>1523999.9999999995</v>
      </c>
      <c r="BM2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8" s="4">
        <v>294804.96027377353</v>
      </c>
      <c r="BO2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8" s="4">
        <f>(Base[[#This Row],['[SC']'[Mort_prématurée']Gains]]-Base[[#This Row],['[SC']'[Mort_prématurée']Coûts]])/Base[[#This Row],[Population_totale]]</f>
        <v>15.930675914489704</v>
      </c>
      <c r="BQ228" s="4">
        <f>IF(Base[[#This Row],[Pathologie]]&lt;&gt;"Mort prématurée",0,Base[[#This Row],[Risque]])</f>
        <v>0.14469353331290885</v>
      </c>
      <c r="BR228" s="4">
        <v>2680</v>
      </c>
      <c r="BS2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8" s="4">
        <f>Base[[#This Row],[Prévalence_prod]]*(1-Base[[#This Row],[Risque]])*Base[[#This Row],[Durée_arrêt]]*Base[[#This Row],[Population_emploi]]</f>
        <v>0</v>
      </c>
      <c r="BV228" s="4">
        <f>Base[[#This Row],['[Prod']'[Absentéisme']Total_jours_absence_avant]]-Base[[#This Row],['[Prod']'[Absentéisme']Total_jours_absence_après]]</f>
        <v>0</v>
      </c>
      <c r="BW228" s="4">
        <f>IF(AND(Base[[#This Row],[Pathologie]]&lt;&gt;"Dépendance",Base[[#This Row],[Pathologie]]&lt;&gt;"Mort prématurée",Base[[#This Row],[Pathologie]]&lt;&gt;"Migraine"),0.0619,0)</f>
        <v>0</v>
      </c>
      <c r="BX228" s="4">
        <v>254</v>
      </c>
      <c r="BY22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8" s="4">
        <f>Base[[#This Row],[Prévalence_prod]]*Base[[#This Row],[Présentéisme]]*Base[[#This Row],['[Prod']Jours_ouvrés]]</f>
        <v>0</v>
      </c>
      <c r="CB228" s="4">
        <f>Base[[#This Row],[Prévalence_prod]]*(1-Base[[#This Row],[Risque]])*Base[[#This Row],[Présentéisme]]*Base[[#This Row],['[Prod']Jours_ouvrés]]</f>
        <v>0</v>
      </c>
      <c r="CC228" s="4">
        <f>Base[[#This Row],['[Prod']'[Présentéisme']Jours_avant]]-Base[[#This Row],['[Prod']'[Présentéisme']Jours_après]]</f>
        <v>0</v>
      </c>
      <c r="CD228" s="4">
        <f>Base[[#This Row],['[Prod']'[Présentéisme']Jours_gagnés]]/Base[[#This Row],['[Prod']Jours_ouvrés]]</f>
        <v>0</v>
      </c>
      <c r="CE228">
        <v>5.8333039429220801E-2</v>
      </c>
      <c r="CF228">
        <v>1.4658164114728258E-2</v>
      </c>
      <c r="CG228" s="4">
        <v>11</v>
      </c>
      <c r="CH228" s="4">
        <v>0.60922528771817497</v>
      </c>
      <c r="CI228" s="4">
        <v>3.8601807163334179E-3</v>
      </c>
      <c r="CJ228" s="4">
        <f>IF(Base[[#This Row],[Secteur]]&lt;&gt;"Moyenne",Base[[#This Row],['[Prod']'[Turnover']DMC_initiale]]*(1+Base[[#This Row],['[Prod']'[Turnover']Ecart_accidents]]*Base[[#This Row],['[Prod']Impact_motifs_turnover]]),CJ211*CI211+CJ212*CI212+CJ213*CI213+CJ214*CI214+CJ215*CI215+CJ216*CI216+CJ217*CI217+CJ218*CI218+CJ219*CI219+CJ220*CI220+CJ221*CI221+CJ222*CI222+CJ223*CI223+CJ224*CI224+CJ225*CI225+CJ226*CI226+CJ227*CI227)</f>
        <v>11.098231366752371</v>
      </c>
      <c r="CK228" s="4">
        <f>1/Base[[#This Row],['[Prod']'[Turnover']DMC_initiale]]</f>
        <v>9.0909090909090912E-2</v>
      </c>
      <c r="CL228" s="4">
        <f>1/Base[[#This Row],['[Prod']'[Turnover']DMC_finale]]</f>
        <v>9.0104447001867274E-2</v>
      </c>
    </row>
    <row r="229" spans="2:90" x14ac:dyDescent="0.25">
      <c r="B229" s="4" t="s">
        <v>329</v>
      </c>
      <c r="C229">
        <v>7.5</v>
      </c>
      <c r="D229" t="s">
        <v>84</v>
      </c>
      <c r="E229" t="s">
        <v>59</v>
      </c>
      <c r="F229" s="3">
        <v>0.14469353331290885</v>
      </c>
      <c r="G229" s="3">
        <v>1.7864082739021815E-3</v>
      </c>
      <c r="H229" s="3">
        <v>1.7864082739021815E-3</v>
      </c>
      <c r="I229" s="3">
        <v>0</v>
      </c>
      <c r="J229" s="3">
        <v>0</v>
      </c>
      <c r="K229" s="3">
        <v>7.0000000000000007E-2</v>
      </c>
      <c r="L229" s="2">
        <f>Base[[#This Row],[Coût]]*Base[[#This Row],[Part_ménages_dépenses_santé]]</f>
        <v>0</v>
      </c>
      <c r="M229" s="2">
        <v>0</v>
      </c>
      <c r="N229" s="6">
        <v>27700000</v>
      </c>
      <c r="O229" s="7">
        <f>Base[[#This Row],[Coût_salarié]]*10^9*Base[[#This Row],[Risque]]*Base[[#This Row],[Prévalence]]*Base[[#This Row],[Part_coûts_salarié]]/Base[[#This Row],[Population_emploi]]</f>
        <v>0</v>
      </c>
      <c r="P229">
        <v>50</v>
      </c>
      <c r="Q229">
        <v>50</v>
      </c>
      <c r="R229" s="2">
        <v>9.9999999999999978E-2</v>
      </c>
      <c r="S229" s="2">
        <v>0.33340000000000003</v>
      </c>
      <c r="T229" s="4">
        <v>0</v>
      </c>
      <c r="U229" s="4">
        <f>IF(Bases_annexes!$F$5=0,16.6587111018772,0.77*Bases_annexes!$F$5/(IF(OR(ISBLANK('Données_d''entrée'!$E$44),'Données_d''entrée'!$E$44=0),35,'Données_d''entrée'!$E$44)*52))</f>
        <v>16.658711101877199</v>
      </c>
      <c r="V229" s="4">
        <v>0</v>
      </c>
      <c r="W2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29" s="4">
        <v>234.5</v>
      </c>
      <c r="Y229" s="4">
        <f>(Base[[#This Row],['[Maladies']Coûts_évités_par_salarié]]+Base[[#This Row],['[Travail']Coûts_évités_par_salarié]])/Base[[#This Row],[Budget_santé_salarié]]</f>
        <v>0</v>
      </c>
      <c r="Z229" s="4">
        <v>0.8</v>
      </c>
      <c r="AA229" s="4">
        <f>Base[[#This Row],[Coût]]*Base[[#This Row],[Part_société_dépenses_santé]]</f>
        <v>0</v>
      </c>
      <c r="AB229" s="4">
        <v>67635124</v>
      </c>
      <c r="AC229" s="4">
        <v>82.297079063317852</v>
      </c>
      <c r="AD229" s="4">
        <v>0</v>
      </c>
      <c r="AE229" s="4">
        <f>Base[[#This Row],['[SC']Prévalence_travail]]*Base[[#This Row],[Population_emploi]]</f>
        <v>0</v>
      </c>
      <c r="AF229" s="4">
        <f>Base[[#This Row],[Risque]]*Base[[#This Row],['[SC']Patients_en_emploi]]</f>
        <v>0</v>
      </c>
      <c r="AG229" s="4">
        <v>0</v>
      </c>
      <c r="AH229" s="4">
        <f>IFERROR(Base[[#This Row],['[SC']Prestations]]/Base[[#This Row],['[SC']Patients_en_emploi]],0)</f>
        <v>0</v>
      </c>
      <c r="AI229" s="4">
        <v>51.7</v>
      </c>
      <c r="AJ2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29" s="4">
        <f>Base[[#This Row],['[SC']'[Travail']Coûts_évités]]/Base[[#This Row],[Population_emploi]]</f>
        <v>0</v>
      </c>
      <c r="AL229" s="4">
        <f>Base[[#This Row],[Coût_société]]*10^9*Base[[#This Row],[Risque]]*Base[[#This Row],[Prévalence]]*Base[[#This Row],[Part_coûts_salarié]]/Base[[#This Row],[Population_emploi]]</f>
        <v>0</v>
      </c>
      <c r="AM229" s="4">
        <f>IF(Base[[#This Row],[Pathologie]]&lt;&gt;"Dépendance",0,14909.24243952)</f>
        <v>0</v>
      </c>
      <c r="AN229" s="4">
        <f>IF(Base[[#This Row],[Pathologie]]&lt;&gt;"Dépendance",0,1316000)</f>
        <v>0</v>
      </c>
      <c r="AO229" s="4">
        <f>IF(Base[[#This Row],[Pathologie]]&lt;&gt;"Dépendance",0,Base[[#This Row],['[SC']Coût_personne_dépendante]]*Base[[#This Row],['[SC']Nb_personnes_dépendantes]])</f>
        <v>0</v>
      </c>
      <c r="AP229" s="4">
        <f>IF(Base[[#This Row],[Pathologie]]&lt;&gt;"Dépendance",0,Base[[#This Row],['[SC']Coût_total_dépendance]]/Base[[#This Row],[Population_totale]])</f>
        <v>0</v>
      </c>
      <c r="AQ229" s="4">
        <f>IF(Base[[#This Row],[Pathologie]]&lt;&gt;"Dépendance",0,4.5)</f>
        <v>0</v>
      </c>
      <c r="AR229" s="4">
        <v>0.50393265050357905</v>
      </c>
      <c r="AS229" s="4">
        <f>Base[[#This Row],[Espérance_vie]]+Base[[#This Row],['[SC']Hausse_esp_de_vie]]-Base[[#This Row],['[SC']Durée_moyenne_dépendance_avt]]+Base[[#This Row],[Risque]]</f>
        <v>82.945705247134342</v>
      </c>
      <c r="AT2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29" s="4">
        <v>62.9</v>
      </c>
      <c r="AW229" s="4">
        <f t="shared" si="1"/>
        <v>336905600000</v>
      </c>
      <c r="AX229" s="4">
        <v>15049171</v>
      </c>
      <c r="AY229" s="4">
        <f>Base[[#This Row],['[SC']Budget_total_retraites]]/Base[[#This Row],['[SC']Nombre_de_retraités]]</f>
        <v>22386.987296509556</v>
      </c>
      <c r="AZ229" s="4">
        <f>Base[[#This Row],['[SC']Budget_par_retraité]]*Base[[#This Row],['[SC']Nb_personnes_dépendantes]]</f>
        <v>0</v>
      </c>
      <c r="BA229" s="4">
        <f>Base[[#This Row],['[SC']'[Dépendance']Coût_retraite_personnes_dépendantes]]/Base[[#This Row],[Population_totale]]</f>
        <v>0</v>
      </c>
      <c r="BB22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29" s="4">
        <f>Base[[#This Row],['[SC']'[Dépendance']Gains]]-Base[[#This Row],['[SC']'[Dépendance']Coûts]]</f>
        <v>0</v>
      </c>
      <c r="BD229" s="4">
        <f>IF(Base[[#This Row],[Pathologie]]&lt;&gt;"Mort prématurée",0,Base[[#This Row],[Risque]]*Base[[#This Row],[Prévalence]]*Base[[#This Row],[Population_totale]])</f>
        <v>17482.443528217791</v>
      </c>
      <c r="BE229" s="4">
        <v>52.74</v>
      </c>
      <c r="BF229" s="4">
        <f>Base[[#This Row],['[SC']Âge_moyen_retraite]]-Base[[#This Row],['[SC']'[Mort_prématurée']Âge_moyen_mort précoce]]</f>
        <v>10.159999999999997</v>
      </c>
      <c r="BG229" s="4">
        <f>Base[[#This Row],[Espérance_vie]]+Base[[#This Row],['[SC']Hausse_esp_de_vie]]-Base[[#This Row],['[SC']Âge_moyen_retraite]]</f>
        <v>19.90101171382144</v>
      </c>
      <c r="BH229" s="4">
        <v>106583.42676924677</v>
      </c>
      <c r="BI229" s="4">
        <v>97601.789429271477</v>
      </c>
      <c r="BJ229" s="4">
        <v>302038.31496633729</v>
      </c>
      <c r="BK229" s="4">
        <v>117293.58934859755</v>
      </c>
      <c r="BL229" s="4">
        <v>1523999.9999999995</v>
      </c>
      <c r="BM2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29" s="4">
        <v>294804.96027377353</v>
      </c>
      <c r="BO2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29" s="4">
        <f>(Base[[#This Row],['[SC']'[Mort_prématurée']Gains]]-Base[[#This Row],['[SC']'[Mort_prématurée']Coûts]])/Base[[#This Row],[Population_totale]]</f>
        <v>15.930675914489704</v>
      </c>
      <c r="BQ229" s="4">
        <f>IF(Base[[#This Row],[Pathologie]]&lt;&gt;"Mort prématurée",0,Base[[#This Row],[Risque]])</f>
        <v>0.14469353331290885</v>
      </c>
      <c r="BR229" s="4">
        <v>2680</v>
      </c>
      <c r="BS2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29" s="4">
        <f>Base[[#This Row],[Prévalence_prod]]*(1-Base[[#This Row],[Risque]])*Base[[#This Row],[Durée_arrêt]]*Base[[#This Row],[Population_emploi]]</f>
        <v>0</v>
      </c>
      <c r="BV229" s="4">
        <f>Base[[#This Row],['[Prod']'[Absentéisme']Total_jours_absence_avant]]-Base[[#This Row],['[Prod']'[Absentéisme']Total_jours_absence_après]]</f>
        <v>0</v>
      </c>
      <c r="BW229" s="4">
        <f>IF(AND(Base[[#This Row],[Pathologie]]&lt;&gt;"Dépendance",Base[[#This Row],[Pathologie]]&lt;&gt;"Mort prématurée",Base[[#This Row],[Pathologie]]&lt;&gt;"Migraine"),0.0619,0)</f>
        <v>0</v>
      </c>
      <c r="BX229" s="4">
        <v>254</v>
      </c>
      <c r="BY22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2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29" s="4">
        <f>Base[[#This Row],[Prévalence_prod]]*Base[[#This Row],[Présentéisme]]*Base[[#This Row],['[Prod']Jours_ouvrés]]</f>
        <v>0</v>
      </c>
      <c r="CB229" s="4">
        <f>Base[[#This Row],[Prévalence_prod]]*(1-Base[[#This Row],[Risque]])*Base[[#This Row],[Présentéisme]]*Base[[#This Row],['[Prod']Jours_ouvrés]]</f>
        <v>0</v>
      </c>
      <c r="CC229" s="4">
        <f>Base[[#This Row],['[Prod']'[Présentéisme']Jours_avant]]-Base[[#This Row],['[Prod']'[Présentéisme']Jours_après]]</f>
        <v>0</v>
      </c>
      <c r="CD229" s="4">
        <f>Base[[#This Row],['[Prod']'[Présentéisme']Jours_gagnés]]/Base[[#This Row],['[Prod']Jours_ouvrés]]</f>
        <v>0</v>
      </c>
      <c r="CE229">
        <v>5.8333039429220801E-2</v>
      </c>
      <c r="CF229">
        <v>1.4658164114728258E-2</v>
      </c>
      <c r="CG229" s="4">
        <v>11</v>
      </c>
      <c r="CH229" s="4">
        <v>0.78414927716175975</v>
      </c>
      <c r="CI229" s="4">
        <v>0.12835819090128339</v>
      </c>
      <c r="CJ229" s="4">
        <f>IF(Base[[#This Row],[Secteur]]&lt;&gt;"Moyenne",Base[[#This Row],['[Prod']'[Turnover']DMC_initiale]]*(1+Base[[#This Row],['[Prod']'[Turnover']Ecart_accidents]]*Base[[#This Row],['[Prod']Impact_motifs_turnover]]),CJ212*CI212+CJ213*CI213+CJ214*CI214+CJ215*CI215+CJ216*CI216+CJ217*CI217+CJ218*CI218+CJ219*CI219+CJ220*CI220+CJ221*CI221+CJ222*CI222+CJ223*CI223+CJ224*CI224+CJ225*CI225+CJ226*CI226+CJ227*CI227+CJ228*CI228)</f>
        <v>11.126436076745907</v>
      </c>
      <c r="CK229" s="4">
        <f>1/Base[[#This Row],['[Prod']'[Turnover']DMC_initiale]]</f>
        <v>9.0909090909090912E-2</v>
      </c>
      <c r="CL229" s="4">
        <f>1/Base[[#This Row],['[Prod']'[Turnover']DMC_finale]]</f>
        <v>8.9876038751526707E-2</v>
      </c>
    </row>
    <row r="230" spans="2:90" x14ac:dyDescent="0.25">
      <c r="B230" s="4" t="s">
        <v>330</v>
      </c>
      <c r="C230">
        <v>7.5</v>
      </c>
      <c r="D230" t="s">
        <v>84</v>
      </c>
      <c r="E230" t="s">
        <v>59</v>
      </c>
      <c r="F230" s="3">
        <v>0.14469353331290885</v>
      </c>
      <c r="G230" s="3">
        <v>1.7864082739021815E-3</v>
      </c>
      <c r="H230" s="3">
        <v>1.7864082739021815E-3</v>
      </c>
      <c r="I230" s="3">
        <v>0</v>
      </c>
      <c r="J230" s="3">
        <v>0</v>
      </c>
      <c r="K230" s="3">
        <v>7.0000000000000007E-2</v>
      </c>
      <c r="L230" s="2">
        <f>Base[[#This Row],[Coût]]*Base[[#This Row],[Part_ménages_dépenses_santé]]</f>
        <v>0</v>
      </c>
      <c r="M230" s="2">
        <v>0</v>
      </c>
      <c r="N230" s="6">
        <v>27700000</v>
      </c>
      <c r="O230" s="7">
        <f>Base[[#This Row],[Coût_salarié]]*10^9*Base[[#This Row],[Risque]]*Base[[#This Row],[Prévalence]]*Base[[#This Row],[Part_coûts_salarié]]/Base[[#This Row],[Population_emploi]]</f>
        <v>0</v>
      </c>
      <c r="P230">
        <v>50</v>
      </c>
      <c r="Q230">
        <v>50</v>
      </c>
      <c r="R230" s="2">
        <v>9.9999999999999978E-2</v>
      </c>
      <c r="S230" s="2">
        <v>0.33340000000000003</v>
      </c>
      <c r="T230" s="4">
        <v>0</v>
      </c>
      <c r="U230" s="4">
        <f>IF(Bases_annexes!$F$5=0,16.6587111018772,0.77*Bases_annexes!$F$5/(IF(OR(ISBLANK('Données_d''entrée'!$E$44),'Données_d''entrée'!$E$44=0),35,'Données_d''entrée'!$E$44)*52))</f>
        <v>16.658711101877199</v>
      </c>
      <c r="V230" s="4">
        <v>0</v>
      </c>
      <c r="W2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0" s="4">
        <v>234.5</v>
      </c>
      <c r="Y230" s="4">
        <f>(Base[[#This Row],['[Maladies']Coûts_évités_par_salarié]]+Base[[#This Row],['[Travail']Coûts_évités_par_salarié]])/Base[[#This Row],[Budget_santé_salarié]]</f>
        <v>0</v>
      </c>
      <c r="Z230" s="4">
        <v>0.8</v>
      </c>
      <c r="AA230" s="4">
        <f>Base[[#This Row],[Coût]]*Base[[#This Row],[Part_société_dépenses_santé]]</f>
        <v>0</v>
      </c>
      <c r="AB230" s="4">
        <v>67635124</v>
      </c>
      <c r="AC230" s="4">
        <v>82.297079063317852</v>
      </c>
      <c r="AD230" s="4">
        <v>0</v>
      </c>
      <c r="AE230" s="4">
        <f>Base[[#This Row],['[SC']Prévalence_travail]]*Base[[#This Row],[Population_emploi]]</f>
        <v>0</v>
      </c>
      <c r="AF230" s="4">
        <f>Base[[#This Row],[Risque]]*Base[[#This Row],['[SC']Patients_en_emploi]]</f>
        <v>0</v>
      </c>
      <c r="AG230" s="4">
        <v>0</v>
      </c>
      <c r="AH230" s="4">
        <f>IFERROR(Base[[#This Row],['[SC']Prestations]]/Base[[#This Row],['[SC']Patients_en_emploi]],0)</f>
        <v>0</v>
      </c>
      <c r="AI230" s="4">
        <v>51.7</v>
      </c>
      <c r="AJ2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0" s="4">
        <f>Base[[#This Row],['[SC']'[Travail']Coûts_évités]]/Base[[#This Row],[Population_emploi]]</f>
        <v>0</v>
      </c>
      <c r="AL230" s="4">
        <f>Base[[#This Row],[Coût_société]]*10^9*Base[[#This Row],[Risque]]*Base[[#This Row],[Prévalence]]*Base[[#This Row],[Part_coûts_salarié]]/Base[[#This Row],[Population_emploi]]</f>
        <v>0</v>
      </c>
      <c r="AM230" s="4">
        <f>IF(Base[[#This Row],[Pathologie]]&lt;&gt;"Dépendance",0,14909.24243952)</f>
        <v>0</v>
      </c>
      <c r="AN230" s="4">
        <f>IF(Base[[#This Row],[Pathologie]]&lt;&gt;"Dépendance",0,1316000)</f>
        <v>0</v>
      </c>
      <c r="AO230" s="4">
        <f>IF(Base[[#This Row],[Pathologie]]&lt;&gt;"Dépendance",0,Base[[#This Row],['[SC']Coût_personne_dépendante]]*Base[[#This Row],['[SC']Nb_personnes_dépendantes]])</f>
        <v>0</v>
      </c>
      <c r="AP230" s="4">
        <f>IF(Base[[#This Row],[Pathologie]]&lt;&gt;"Dépendance",0,Base[[#This Row],['[SC']Coût_total_dépendance]]/Base[[#This Row],[Population_totale]])</f>
        <v>0</v>
      </c>
      <c r="AQ230" s="4">
        <f>IF(Base[[#This Row],[Pathologie]]&lt;&gt;"Dépendance",0,4.5)</f>
        <v>0</v>
      </c>
      <c r="AR230" s="4">
        <v>0.50393265050357905</v>
      </c>
      <c r="AS230" s="4">
        <f>Base[[#This Row],[Espérance_vie]]+Base[[#This Row],['[SC']Hausse_esp_de_vie]]-Base[[#This Row],['[SC']Durée_moyenne_dépendance_avt]]+Base[[#This Row],[Risque]]</f>
        <v>82.945705247134342</v>
      </c>
      <c r="AT2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0" s="4">
        <v>62.9</v>
      </c>
      <c r="AW230" s="4">
        <f t="shared" si="1"/>
        <v>336905600000</v>
      </c>
      <c r="AX230" s="4">
        <v>15049171</v>
      </c>
      <c r="AY230" s="4">
        <f>Base[[#This Row],['[SC']Budget_total_retraites]]/Base[[#This Row],['[SC']Nombre_de_retraités]]</f>
        <v>22386.987296509556</v>
      </c>
      <c r="AZ230" s="4">
        <f>Base[[#This Row],['[SC']Budget_par_retraité]]*Base[[#This Row],['[SC']Nb_personnes_dépendantes]]</f>
        <v>0</v>
      </c>
      <c r="BA230" s="4">
        <f>Base[[#This Row],['[SC']'[Dépendance']Coût_retraite_personnes_dépendantes]]/Base[[#This Row],[Population_totale]]</f>
        <v>0</v>
      </c>
      <c r="BB23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0" s="4">
        <f>Base[[#This Row],['[SC']'[Dépendance']Gains]]-Base[[#This Row],['[SC']'[Dépendance']Coûts]]</f>
        <v>0</v>
      </c>
      <c r="BD230" s="4">
        <f>IF(Base[[#This Row],[Pathologie]]&lt;&gt;"Mort prématurée",0,Base[[#This Row],[Risque]]*Base[[#This Row],[Prévalence]]*Base[[#This Row],[Population_totale]])</f>
        <v>17482.443528217791</v>
      </c>
      <c r="BE230" s="4">
        <v>52.74</v>
      </c>
      <c r="BF230" s="4">
        <f>Base[[#This Row],['[SC']Âge_moyen_retraite]]-Base[[#This Row],['[SC']'[Mort_prématurée']Âge_moyen_mort précoce]]</f>
        <v>10.159999999999997</v>
      </c>
      <c r="BG230" s="4">
        <f>Base[[#This Row],[Espérance_vie]]+Base[[#This Row],['[SC']Hausse_esp_de_vie]]-Base[[#This Row],['[SC']Âge_moyen_retraite]]</f>
        <v>19.90101171382144</v>
      </c>
      <c r="BH230" s="4">
        <v>106583.42676924677</v>
      </c>
      <c r="BI230" s="4">
        <v>97601.789429271477</v>
      </c>
      <c r="BJ230" s="4">
        <v>302038.31496633729</v>
      </c>
      <c r="BK230" s="4">
        <v>117293.58934859755</v>
      </c>
      <c r="BL230" s="4">
        <v>1523999.9999999995</v>
      </c>
      <c r="BM2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30" s="4">
        <v>294804.96027377353</v>
      </c>
      <c r="BO2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30" s="4">
        <f>(Base[[#This Row],['[SC']'[Mort_prématurée']Gains]]-Base[[#This Row],['[SC']'[Mort_prématurée']Coûts]])/Base[[#This Row],[Population_totale]]</f>
        <v>15.930675914489704</v>
      </c>
      <c r="BQ230" s="4">
        <f>IF(Base[[#This Row],[Pathologie]]&lt;&gt;"Mort prématurée",0,Base[[#This Row],[Risque]])</f>
        <v>0.14469353331290885</v>
      </c>
      <c r="BR230" s="4">
        <v>2680</v>
      </c>
      <c r="BS2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0" s="4">
        <f>Base[[#This Row],[Prévalence_prod]]*(1-Base[[#This Row],[Risque]])*Base[[#This Row],[Durée_arrêt]]*Base[[#This Row],[Population_emploi]]</f>
        <v>0</v>
      </c>
      <c r="BV230" s="4">
        <f>Base[[#This Row],['[Prod']'[Absentéisme']Total_jours_absence_avant]]-Base[[#This Row],['[Prod']'[Absentéisme']Total_jours_absence_après]]</f>
        <v>0</v>
      </c>
      <c r="BW230" s="4">
        <f>IF(AND(Base[[#This Row],[Pathologie]]&lt;&gt;"Dépendance",Base[[#This Row],[Pathologie]]&lt;&gt;"Mort prématurée",Base[[#This Row],[Pathologie]]&lt;&gt;"Migraine"),0.0619,0)</f>
        <v>0</v>
      </c>
      <c r="BX230" s="4">
        <v>254</v>
      </c>
      <c r="BY23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0" s="4">
        <f>Base[[#This Row],[Prévalence_prod]]*Base[[#This Row],[Présentéisme]]*Base[[#This Row],['[Prod']Jours_ouvrés]]</f>
        <v>0</v>
      </c>
      <c r="CB230" s="4">
        <f>Base[[#This Row],[Prévalence_prod]]*(1-Base[[#This Row],[Risque]])*Base[[#This Row],[Présentéisme]]*Base[[#This Row],['[Prod']Jours_ouvrés]]</f>
        <v>0</v>
      </c>
      <c r="CC230" s="4">
        <f>Base[[#This Row],['[Prod']'[Présentéisme']Jours_avant]]-Base[[#This Row],['[Prod']'[Présentéisme']Jours_après]]</f>
        <v>0</v>
      </c>
      <c r="CD230" s="4">
        <f>Base[[#This Row],['[Prod']'[Présentéisme']Jours_gagnés]]/Base[[#This Row],['[Prod']Jours_ouvrés]]</f>
        <v>0</v>
      </c>
      <c r="CE230">
        <v>5.8333039429220801E-2</v>
      </c>
      <c r="CF230">
        <v>1.4658164114728258E-2</v>
      </c>
      <c r="CG230" s="4">
        <v>11</v>
      </c>
      <c r="CH230" s="4">
        <v>0.99648427619813984</v>
      </c>
      <c r="CI230" s="4">
        <v>0.42377466100567313</v>
      </c>
      <c r="CJ230" s="4">
        <f>IF(Base[[#This Row],[Secteur]]&lt;&gt;"Moyenne",Base[[#This Row],['[Prod']'[Turnover']DMC_initiale]]*(1+Base[[#This Row],['[Prod']'[Turnover']Ecart_accidents]]*Base[[#This Row],['[Prod']Impact_motifs_turnover]]),CJ213*CI213+CJ214*CI214+CJ215*CI215+CJ216*CI216+CJ217*CI217+CJ218*CI218+CJ219*CI219+CJ220*CI220+CJ221*CI221+CJ222*CI222+CJ223*CI223+CJ224*CI224+CJ225*CI225+CJ226*CI226+CJ227*CI227+CJ228*CI228+CJ229*CI229)</f>
        <v>11.160672930640844</v>
      </c>
      <c r="CK230" s="4">
        <f>1/Base[[#This Row],['[Prod']'[Turnover']DMC_initiale]]</f>
        <v>9.0909090909090912E-2</v>
      </c>
      <c r="CL230" s="4">
        <f>1/Base[[#This Row],['[Prod']'[Turnover']DMC_finale]]</f>
        <v>8.9600332006376626E-2</v>
      </c>
    </row>
    <row r="231" spans="2:90" x14ac:dyDescent="0.25">
      <c r="B231" s="4" t="s">
        <v>331</v>
      </c>
      <c r="C231">
        <v>7.5</v>
      </c>
      <c r="D231" t="s">
        <v>84</v>
      </c>
      <c r="E231" t="s">
        <v>59</v>
      </c>
      <c r="F231" s="3">
        <v>0.14469353331290885</v>
      </c>
      <c r="G231" s="3">
        <v>1.7864082739021815E-3</v>
      </c>
      <c r="H231" s="3">
        <v>1.7864082739021815E-3</v>
      </c>
      <c r="I231" s="3">
        <v>0</v>
      </c>
      <c r="J231" s="3">
        <v>0</v>
      </c>
      <c r="K231" s="3">
        <v>7.0000000000000007E-2</v>
      </c>
      <c r="L231" s="2">
        <f>Base[[#This Row],[Coût]]*Base[[#This Row],[Part_ménages_dépenses_santé]]</f>
        <v>0</v>
      </c>
      <c r="M231" s="2">
        <v>0</v>
      </c>
      <c r="N231" s="6">
        <v>27700000</v>
      </c>
      <c r="O231" s="7">
        <f>Base[[#This Row],[Coût_salarié]]*10^9*Base[[#This Row],[Risque]]*Base[[#This Row],[Prévalence]]*Base[[#This Row],[Part_coûts_salarié]]/Base[[#This Row],[Population_emploi]]</f>
        <v>0</v>
      </c>
      <c r="P231">
        <v>50</v>
      </c>
      <c r="Q231">
        <v>50</v>
      </c>
      <c r="R231" s="2">
        <v>9.9999999999999978E-2</v>
      </c>
      <c r="S231" s="2">
        <v>0.33340000000000003</v>
      </c>
      <c r="T231" s="4">
        <v>0</v>
      </c>
      <c r="U231" s="4">
        <f>IF(Bases_annexes!$F$5=0,16.6587111018772,0.77*Bases_annexes!$F$5/(IF(OR(ISBLANK('Données_d''entrée'!$E$44),'Données_d''entrée'!$E$44=0),35,'Données_d''entrée'!$E$44)*52))</f>
        <v>16.658711101877199</v>
      </c>
      <c r="V231" s="4">
        <v>0</v>
      </c>
      <c r="W2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1" s="4">
        <v>234.5</v>
      </c>
      <c r="Y231" s="4">
        <f>(Base[[#This Row],['[Maladies']Coûts_évités_par_salarié]]+Base[[#This Row],['[Travail']Coûts_évités_par_salarié]])/Base[[#This Row],[Budget_santé_salarié]]</f>
        <v>0</v>
      </c>
      <c r="Z231" s="4">
        <v>0.8</v>
      </c>
      <c r="AA231" s="4">
        <f>Base[[#This Row],[Coût]]*Base[[#This Row],[Part_société_dépenses_santé]]</f>
        <v>0</v>
      </c>
      <c r="AB231" s="4">
        <v>67635124</v>
      </c>
      <c r="AC231" s="4">
        <v>82.297079063317852</v>
      </c>
      <c r="AD231" s="4">
        <v>0</v>
      </c>
      <c r="AE231" s="4">
        <f>Base[[#This Row],['[SC']Prévalence_travail]]*Base[[#This Row],[Population_emploi]]</f>
        <v>0</v>
      </c>
      <c r="AF231" s="4">
        <f>Base[[#This Row],[Risque]]*Base[[#This Row],['[SC']Patients_en_emploi]]</f>
        <v>0</v>
      </c>
      <c r="AG231" s="4">
        <v>0</v>
      </c>
      <c r="AH231" s="4">
        <f>IFERROR(Base[[#This Row],['[SC']Prestations]]/Base[[#This Row],['[SC']Patients_en_emploi]],0)</f>
        <v>0</v>
      </c>
      <c r="AI231" s="4">
        <v>51.7</v>
      </c>
      <c r="AJ2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1" s="4">
        <f>Base[[#This Row],['[SC']'[Travail']Coûts_évités]]/Base[[#This Row],[Population_emploi]]</f>
        <v>0</v>
      </c>
      <c r="AL231" s="4">
        <f>Base[[#This Row],[Coût_société]]*10^9*Base[[#This Row],[Risque]]*Base[[#This Row],[Prévalence]]*Base[[#This Row],[Part_coûts_salarié]]/Base[[#This Row],[Population_emploi]]</f>
        <v>0</v>
      </c>
      <c r="AM231" s="4">
        <f>IF(Base[[#This Row],[Pathologie]]&lt;&gt;"Dépendance",0,14909.24243952)</f>
        <v>0</v>
      </c>
      <c r="AN231" s="4">
        <f>IF(Base[[#This Row],[Pathologie]]&lt;&gt;"Dépendance",0,1316000)</f>
        <v>0</v>
      </c>
      <c r="AO231" s="4">
        <f>IF(Base[[#This Row],[Pathologie]]&lt;&gt;"Dépendance",0,Base[[#This Row],['[SC']Coût_personne_dépendante]]*Base[[#This Row],['[SC']Nb_personnes_dépendantes]])</f>
        <v>0</v>
      </c>
      <c r="AP231" s="4">
        <f>IF(Base[[#This Row],[Pathologie]]&lt;&gt;"Dépendance",0,Base[[#This Row],['[SC']Coût_total_dépendance]]/Base[[#This Row],[Population_totale]])</f>
        <v>0</v>
      </c>
      <c r="AQ231" s="4">
        <f>IF(Base[[#This Row],[Pathologie]]&lt;&gt;"Dépendance",0,4.5)</f>
        <v>0</v>
      </c>
      <c r="AR231" s="4">
        <v>0.50393265050357905</v>
      </c>
      <c r="AS231" s="4">
        <f>Base[[#This Row],[Espérance_vie]]+Base[[#This Row],['[SC']Hausse_esp_de_vie]]-Base[[#This Row],['[SC']Durée_moyenne_dépendance_avt]]+Base[[#This Row],[Risque]]</f>
        <v>82.945705247134342</v>
      </c>
      <c r="AT2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1" s="4">
        <v>62.9</v>
      </c>
      <c r="AW231" s="4">
        <f t="shared" si="1"/>
        <v>336905600000</v>
      </c>
      <c r="AX231" s="4">
        <v>15049171</v>
      </c>
      <c r="AY231" s="4">
        <f>Base[[#This Row],['[SC']Budget_total_retraites]]/Base[[#This Row],['[SC']Nombre_de_retraités]]</f>
        <v>22386.987296509556</v>
      </c>
      <c r="AZ231" s="4">
        <f>Base[[#This Row],['[SC']Budget_par_retraité]]*Base[[#This Row],['[SC']Nb_personnes_dépendantes]]</f>
        <v>0</v>
      </c>
      <c r="BA231" s="4">
        <f>Base[[#This Row],['[SC']'[Dépendance']Coût_retraite_personnes_dépendantes]]/Base[[#This Row],[Population_totale]]</f>
        <v>0</v>
      </c>
      <c r="BB23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1" s="4">
        <f>Base[[#This Row],['[SC']'[Dépendance']Gains]]-Base[[#This Row],['[SC']'[Dépendance']Coûts]]</f>
        <v>0</v>
      </c>
      <c r="BD231" s="4">
        <f>IF(Base[[#This Row],[Pathologie]]&lt;&gt;"Mort prématurée",0,Base[[#This Row],[Risque]]*Base[[#This Row],[Prévalence]]*Base[[#This Row],[Population_totale]])</f>
        <v>17482.443528217791</v>
      </c>
      <c r="BE231" s="4">
        <v>52.74</v>
      </c>
      <c r="BF231" s="4">
        <f>Base[[#This Row],['[SC']Âge_moyen_retraite]]-Base[[#This Row],['[SC']'[Mort_prématurée']Âge_moyen_mort précoce]]</f>
        <v>10.159999999999997</v>
      </c>
      <c r="BG231" s="4">
        <f>Base[[#This Row],[Espérance_vie]]+Base[[#This Row],['[SC']Hausse_esp_de_vie]]-Base[[#This Row],['[SC']Âge_moyen_retraite]]</f>
        <v>19.90101171382144</v>
      </c>
      <c r="BH231" s="4">
        <v>106583.42676924677</v>
      </c>
      <c r="BI231" s="4">
        <v>97601.789429271477</v>
      </c>
      <c r="BJ231" s="4">
        <v>302038.31496633729</v>
      </c>
      <c r="BK231" s="4">
        <v>117293.58934859755</v>
      </c>
      <c r="BL231" s="4">
        <v>1523999.9999999995</v>
      </c>
      <c r="BM2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31" s="4">
        <v>294804.96027377353</v>
      </c>
      <c r="BO2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31" s="4">
        <f>(Base[[#This Row],['[SC']'[Mort_prématurée']Gains]]-Base[[#This Row],['[SC']'[Mort_prématurée']Coûts]])/Base[[#This Row],[Population_totale]]</f>
        <v>15.930675914489704</v>
      </c>
      <c r="BQ231" s="4">
        <f>IF(Base[[#This Row],[Pathologie]]&lt;&gt;"Mort prématurée",0,Base[[#This Row],[Risque]])</f>
        <v>0.14469353331290885</v>
      </c>
      <c r="BR231" s="4">
        <v>2680</v>
      </c>
      <c r="BS2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1" s="4">
        <f>Base[[#This Row],[Prévalence_prod]]*(1-Base[[#This Row],[Risque]])*Base[[#This Row],[Durée_arrêt]]*Base[[#This Row],[Population_emploi]]</f>
        <v>0</v>
      </c>
      <c r="BV231" s="4">
        <f>Base[[#This Row],['[Prod']'[Absentéisme']Total_jours_absence_avant]]-Base[[#This Row],['[Prod']'[Absentéisme']Total_jours_absence_après]]</f>
        <v>0</v>
      </c>
      <c r="BW231" s="4">
        <f>IF(AND(Base[[#This Row],[Pathologie]]&lt;&gt;"Dépendance",Base[[#This Row],[Pathologie]]&lt;&gt;"Mort prématurée",Base[[#This Row],[Pathologie]]&lt;&gt;"Migraine"),0.0619,0)</f>
        <v>0</v>
      </c>
      <c r="BX231" s="4">
        <v>254</v>
      </c>
      <c r="BY23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1" s="4">
        <f>Base[[#This Row],[Prévalence_prod]]*Base[[#This Row],[Présentéisme]]*Base[[#This Row],['[Prod']Jours_ouvrés]]</f>
        <v>0</v>
      </c>
      <c r="CB231" s="4">
        <f>Base[[#This Row],[Prévalence_prod]]*(1-Base[[#This Row],[Risque]])*Base[[#This Row],[Présentéisme]]*Base[[#This Row],['[Prod']Jours_ouvrés]]</f>
        <v>0</v>
      </c>
      <c r="CC231" s="4">
        <f>Base[[#This Row],['[Prod']'[Présentéisme']Jours_avant]]-Base[[#This Row],['[Prod']'[Présentéisme']Jours_après]]</f>
        <v>0</v>
      </c>
      <c r="CD231" s="4">
        <f>Base[[#This Row],['[Prod']'[Présentéisme']Jours_gagnés]]/Base[[#This Row],['[Prod']Jours_ouvrés]]</f>
        <v>0</v>
      </c>
      <c r="CE231">
        <v>5.8333039429220801E-2</v>
      </c>
      <c r="CF231">
        <v>1.4658164114728258E-2</v>
      </c>
      <c r="CG231" s="4">
        <v>11</v>
      </c>
      <c r="CH231" s="4">
        <v>1.1593596509901765</v>
      </c>
      <c r="CI231" s="4">
        <v>4.0741311947357597E-2</v>
      </c>
      <c r="CJ231" s="4">
        <f>IF(Base[[#This Row],[Secteur]]&lt;&gt;"Moyenne",Base[[#This Row],['[Prod']'[Turnover']DMC_initiale]]*(1+Base[[#This Row],['[Prod']'[Turnover']Ecart_accidents]]*Base[[#This Row],['[Prod']Impact_motifs_turnover]]),CJ214*CI214+CJ215*CI215+CJ216*CI216+CJ217*CI217+CJ218*CI218+CJ219*CI219+CJ220*CI220+CJ221*CI221+CJ222*CI222+CJ223*CI223+CJ224*CI224+CJ225*CI225+CJ226*CI226+CJ227*CI227+CJ228*CI228+CJ229*CI229+CJ230*CI230)</f>
        <v>11.186934924354288</v>
      </c>
      <c r="CK231" s="4">
        <f>1/Base[[#This Row],['[Prod']'[Turnover']DMC_initiale]]</f>
        <v>9.0909090909090912E-2</v>
      </c>
      <c r="CL231" s="4">
        <f>1/Base[[#This Row],['[Prod']'[Turnover']DMC_finale]]</f>
        <v>8.9389989908940148E-2</v>
      </c>
    </row>
    <row r="232" spans="2:90" x14ac:dyDescent="0.25">
      <c r="B232" s="4" t="s">
        <v>332</v>
      </c>
      <c r="C232">
        <v>7.5</v>
      </c>
      <c r="D232" t="s">
        <v>84</v>
      </c>
      <c r="E232" t="s">
        <v>59</v>
      </c>
      <c r="F232" s="3">
        <v>0.14469353331290885</v>
      </c>
      <c r="G232" s="3">
        <v>1.7864082739021815E-3</v>
      </c>
      <c r="H232" s="3">
        <v>1.7864082739021815E-3</v>
      </c>
      <c r="I232" s="3">
        <v>0</v>
      </c>
      <c r="J232" s="3">
        <v>0</v>
      </c>
      <c r="K232" s="3">
        <v>7.0000000000000007E-2</v>
      </c>
      <c r="L232" s="2">
        <f>Base[[#This Row],[Coût]]*Base[[#This Row],[Part_ménages_dépenses_santé]]</f>
        <v>0</v>
      </c>
      <c r="M232" s="2">
        <v>0</v>
      </c>
      <c r="N232" s="6">
        <v>27700000</v>
      </c>
      <c r="O232" s="7">
        <f>Base[[#This Row],[Coût_salarié]]*10^9*Base[[#This Row],[Risque]]*Base[[#This Row],[Prévalence]]*Base[[#This Row],[Part_coûts_salarié]]/Base[[#This Row],[Population_emploi]]</f>
        <v>0</v>
      </c>
      <c r="P232">
        <v>50</v>
      </c>
      <c r="Q232">
        <v>50</v>
      </c>
      <c r="R232" s="2">
        <v>9.9999999999999978E-2</v>
      </c>
      <c r="S232" s="2">
        <v>0.33340000000000003</v>
      </c>
      <c r="T232" s="4">
        <v>0</v>
      </c>
      <c r="U232" s="4">
        <f>IF(Bases_annexes!$F$5=0,16.6587111018772,0.77*Bases_annexes!$F$5/(IF(OR(ISBLANK('Données_d''entrée'!$E$44),'Données_d''entrée'!$E$44=0),35,'Données_d''entrée'!$E$44)*52))</f>
        <v>16.658711101877199</v>
      </c>
      <c r="V232" s="4">
        <v>0</v>
      </c>
      <c r="W2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2" s="4">
        <v>234.5</v>
      </c>
      <c r="Y232" s="4">
        <f>(Base[[#This Row],['[Maladies']Coûts_évités_par_salarié]]+Base[[#This Row],['[Travail']Coûts_évités_par_salarié]])/Base[[#This Row],[Budget_santé_salarié]]</f>
        <v>0</v>
      </c>
      <c r="Z232" s="4">
        <v>0.8</v>
      </c>
      <c r="AA232" s="4">
        <f>Base[[#This Row],[Coût]]*Base[[#This Row],[Part_société_dépenses_santé]]</f>
        <v>0</v>
      </c>
      <c r="AB232" s="4">
        <v>67635124</v>
      </c>
      <c r="AC232" s="4">
        <v>82.297079063317852</v>
      </c>
      <c r="AD232" s="4">
        <v>0</v>
      </c>
      <c r="AE232" s="4">
        <f>Base[[#This Row],['[SC']Prévalence_travail]]*Base[[#This Row],[Population_emploi]]</f>
        <v>0</v>
      </c>
      <c r="AF232" s="4">
        <f>Base[[#This Row],[Risque]]*Base[[#This Row],['[SC']Patients_en_emploi]]</f>
        <v>0</v>
      </c>
      <c r="AG232" s="4">
        <v>0</v>
      </c>
      <c r="AH232" s="4">
        <f>IFERROR(Base[[#This Row],['[SC']Prestations]]/Base[[#This Row],['[SC']Patients_en_emploi]],0)</f>
        <v>0</v>
      </c>
      <c r="AI232" s="4">
        <v>51.7</v>
      </c>
      <c r="AJ2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2" s="4">
        <f>Base[[#This Row],['[SC']'[Travail']Coûts_évités]]/Base[[#This Row],[Population_emploi]]</f>
        <v>0</v>
      </c>
      <c r="AL232" s="4">
        <f>Base[[#This Row],[Coût_société]]*10^9*Base[[#This Row],[Risque]]*Base[[#This Row],[Prévalence]]*Base[[#This Row],[Part_coûts_salarié]]/Base[[#This Row],[Population_emploi]]</f>
        <v>0</v>
      </c>
      <c r="AM232" s="4">
        <f>IF(Base[[#This Row],[Pathologie]]&lt;&gt;"Dépendance",0,14909.24243952)</f>
        <v>0</v>
      </c>
      <c r="AN232" s="4">
        <f>IF(Base[[#This Row],[Pathologie]]&lt;&gt;"Dépendance",0,1316000)</f>
        <v>0</v>
      </c>
      <c r="AO232" s="4">
        <f>IF(Base[[#This Row],[Pathologie]]&lt;&gt;"Dépendance",0,Base[[#This Row],['[SC']Coût_personne_dépendante]]*Base[[#This Row],['[SC']Nb_personnes_dépendantes]])</f>
        <v>0</v>
      </c>
      <c r="AP232" s="4">
        <f>IF(Base[[#This Row],[Pathologie]]&lt;&gt;"Dépendance",0,Base[[#This Row],['[SC']Coût_total_dépendance]]/Base[[#This Row],[Population_totale]])</f>
        <v>0</v>
      </c>
      <c r="AQ232" s="4">
        <f>IF(Base[[#This Row],[Pathologie]]&lt;&gt;"Dépendance",0,4.5)</f>
        <v>0</v>
      </c>
      <c r="AR232" s="4">
        <v>0.50393265050357905</v>
      </c>
      <c r="AS232" s="4">
        <f>Base[[#This Row],[Espérance_vie]]+Base[[#This Row],['[SC']Hausse_esp_de_vie]]-Base[[#This Row],['[SC']Durée_moyenne_dépendance_avt]]+Base[[#This Row],[Risque]]</f>
        <v>82.945705247134342</v>
      </c>
      <c r="AT2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2" s="4">
        <v>62.9</v>
      </c>
      <c r="AW232" s="4">
        <f t="shared" si="1"/>
        <v>336905600000</v>
      </c>
      <c r="AX232" s="4">
        <v>15049171</v>
      </c>
      <c r="AY232" s="4">
        <f>Base[[#This Row],['[SC']Budget_total_retraites]]/Base[[#This Row],['[SC']Nombre_de_retraités]]</f>
        <v>22386.987296509556</v>
      </c>
      <c r="AZ232" s="4">
        <f>Base[[#This Row],['[SC']Budget_par_retraité]]*Base[[#This Row],['[SC']Nb_personnes_dépendantes]]</f>
        <v>0</v>
      </c>
      <c r="BA232" s="4">
        <f>Base[[#This Row],['[SC']'[Dépendance']Coût_retraite_personnes_dépendantes]]/Base[[#This Row],[Population_totale]]</f>
        <v>0</v>
      </c>
      <c r="BB23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2" s="4">
        <f>Base[[#This Row],['[SC']'[Dépendance']Gains]]-Base[[#This Row],['[SC']'[Dépendance']Coûts]]</f>
        <v>0</v>
      </c>
      <c r="BD232" s="4">
        <f>IF(Base[[#This Row],[Pathologie]]&lt;&gt;"Mort prématurée",0,Base[[#This Row],[Risque]]*Base[[#This Row],[Prévalence]]*Base[[#This Row],[Population_totale]])</f>
        <v>17482.443528217791</v>
      </c>
      <c r="BE232" s="4">
        <v>52.74</v>
      </c>
      <c r="BF232" s="4">
        <f>Base[[#This Row],['[SC']Âge_moyen_retraite]]-Base[[#This Row],['[SC']'[Mort_prématurée']Âge_moyen_mort précoce]]</f>
        <v>10.159999999999997</v>
      </c>
      <c r="BG232" s="4">
        <f>Base[[#This Row],[Espérance_vie]]+Base[[#This Row],['[SC']Hausse_esp_de_vie]]-Base[[#This Row],['[SC']Âge_moyen_retraite]]</f>
        <v>19.90101171382144</v>
      </c>
      <c r="BH232" s="4">
        <v>106583.42676924677</v>
      </c>
      <c r="BI232" s="4">
        <v>97601.789429271477</v>
      </c>
      <c r="BJ232" s="4">
        <v>302038.31496633729</v>
      </c>
      <c r="BK232" s="4">
        <v>117293.58934859755</v>
      </c>
      <c r="BL232" s="4">
        <v>1523999.9999999995</v>
      </c>
      <c r="BM2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1248921597.9379506</v>
      </c>
      <c r="BN232" s="4">
        <v>294804.96027377353</v>
      </c>
      <c r="BO2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171448357.05762598</v>
      </c>
      <c r="BP232" s="4">
        <f>(Base[[#This Row],['[SC']'[Mort_prématurée']Gains]]-Base[[#This Row],['[SC']'[Mort_prématurée']Coûts]])/Base[[#This Row],[Population_totale]]</f>
        <v>15.930675914489704</v>
      </c>
      <c r="BQ232" s="4">
        <f>IF(Base[[#This Row],[Pathologie]]&lt;&gt;"Mort prématurée",0,Base[[#This Row],[Risque]])</f>
        <v>0.14469353331290885</v>
      </c>
      <c r="BR232" s="4">
        <v>2680</v>
      </c>
      <c r="BS2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5.9442820576454123E-3</v>
      </c>
      <c r="BT2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2" s="4">
        <f>Base[[#This Row],[Prévalence_prod]]*(1-Base[[#This Row],[Risque]])*Base[[#This Row],[Durée_arrêt]]*Base[[#This Row],[Population_emploi]]</f>
        <v>0</v>
      </c>
      <c r="BV232" s="4">
        <f>Base[[#This Row],['[Prod']'[Absentéisme']Total_jours_absence_avant]]-Base[[#This Row],['[Prod']'[Absentéisme']Total_jours_absence_après]]</f>
        <v>0</v>
      </c>
      <c r="BW232" s="4">
        <f>IF(AND(Base[[#This Row],[Pathologie]]&lt;&gt;"Dépendance",Base[[#This Row],[Pathologie]]&lt;&gt;"Mort prématurée",Base[[#This Row],[Pathologie]]&lt;&gt;"Migraine"),0.0619,0)</f>
        <v>0</v>
      </c>
      <c r="BX232" s="4">
        <v>254</v>
      </c>
      <c r="BY23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2" s="4">
        <f>Base[[#This Row],[Prévalence_prod]]*Base[[#This Row],[Présentéisme]]*Base[[#This Row],['[Prod']Jours_ouvrés]]</f>
        <v>0</v>
      </c>
      <c r="CB232" s="4">
        <f>Base[[#This Row],[Prévalence_prod]]*(1-Base[[#This Row],[Risque]])*Base[[#This Row],[Présentéisme]]*Base[[#This Row],['[Prod']Jours_ouvrés]]</f>
        <v>0</v>
      </c>
      <c r="CC232" s="4">
        <f>Base[[#This Row],['[Prod']'[Présentéisme']Jours_avant]]-Base[[#This Row],['[Prod']'[Présentéisme']Jours_après]]</f>
        <v>0</v>
      </c>
      <c r="CD232" s="4">
        <f>Base[[#This Row],['[Prod']'[Présentéisme']Jours_gagnés]]/Base[[#This Row],['[Prod']Jours_ouvrés]]</f>
        <v>0</v>
      </c>
      <c r="CE232">
        <v>5.8333039429220801E-2</v>
      </c>
      <c r="CF232">
        <v>1.4658164114728258E-2</v>
      </c>
      <c r="CG232" s="4">
        <v>11</v>
      </c>
      <c r="CH232" s="4">
        <v>0.85076983926913452</v>
      </c>
      <c r="CI232" s="4">
        <v>0</v>
      </c>
      <c r="CJ232" s="4">
        <f>IF(Base[[#This Row],[Secteur]]&lt;&gt;"Moyenne",Base[[#This Row],['[Prod']'[Turnover']DMC_initiale]]*(1+Base[[#This Row],['[Prod']'[Turnover']Ecart_accidents]]*Base[[#This Row],['[Prod']Impact_motifs_turnover]]),CJ215*CI215+CJ216*CI216+CJ217*CI217+CJ218*CI218+CJ219*CI219+CJ220*CI220+CJ221*CI221+CJ222*CI222+CJ223*CI223+CJ224*CI224+CJ225*CI225+CJ226*CI226+CJ227*CI227+CJ228*CI228+CJ229*CI229+CJ230*CI230+CJ231*CI231)</f>
        <v>11.137177963206547</v>
      </c>
      <c r="CK232" s="4">
        <f>1/Base[[#This Row],['[Prod']'[Turnover']DMC_initiale]]</f>
        <v>9.0909090909090912E-2</v>
      </c>
      <c r="CL232" s="4">
        <f>1/Base[[#This Row],['[Prod']'[Turnover']DMC_finale]]</f>
        <v>8.9789352680154741E-2</v>
      </c>
    </row>
    <row r="233" spans="2:90" x14ac:dyDescent="0.25">
      <c r="B233" s="4" t="s">
        <v>315</v>
      </c>
      <c r="C233">
        <v>7.5</v>
      </c>
      <c r="D233" t="s">
        <v>84</v>
      </c>
      <c r="E233" t="s">
        <v>97</v>
      </c>
      <c r="F233" s="3">
        <v>0.21</v>
      </c>
      <c r="G233" s="3">
        <v>0.2</v>
      </c>
      <c r="H233" s="3">
        <v>0.2</v>
      </c>
      <c r="I233" s="3">
        <v>0.127</v>
      </c>
      <c r="J233" s="3">
        <v>0</v>
      </c>
      <c r="K233" s="3">
        <v>7.0000000000000007E-2</v>
      </c>
      <c r="L233" s="2">
        <f>Base[[#This Row],[Coût]]*Base[[#This Row],[Part_ménages_dépenses_santé]]</f>
        <v>0</v>
      </c>
      <c r="M233" s="2">
        <v>0</v>
      </c>
      <c r="N233" s="6">
        <v>27700000</v>
      </c>
      <c r="O233" s="7">
        <f>Base[[#This Row],[Coût_salarié]]*10^9*Base[[#This Row],[Risque]]*Base[[#This Row],[Prévalence]]*Base[[#This Row],[Part_coûts_salarié]]/Base[[#This Row],[Population_emploi]]</f>
        <v>0</v>
      </c>
      <c r="P233">
        <v>50</v>
      </c>
      <c r="Q233">
        <v>50</v>
      </c>
      <c r="R233" s="2">
        <v>9.9999999999999978E-2</v>
      </c>
      <c r="S233" s="2">
        <v>0.33340000000000003</v>
      </c>
      <c r="T233" s="4">
        <v>0</v>
      </c>
      <c r="U233" s="4">
        <f>IF(Bases_annexes!$F$5=0,16.6587111018772,0.77*Bases_annexes!$F$5/(IF(OR(ISBLANK('Données_d''entrée'!$E$44),'Données_d''entrée'!$E$44=0),35,'Données_d''entrée'!$E$44)*52))</f>
        <v>16.658711101877199</v>
      </c>
      <c r="V233" s="4">
        <v>0</v>
      </c>
      <c r="W2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3" s="4">
        <v>234.5</v>
      </c>
      <c r="Y233" s="4">
        <f>(Base[[#This Row],['[Maladies']Coûts_évités_par_salarié]]+Base[[#This Row],['[Travail']Coûts_évités_par_salarié]])/Base[[#This Row],[Budget_santé_salarié]]</f>
        <v>0</v>
      </c>
      <c r="Z233" s="4">
        <v>0.8</v>
      </c>
      <c r="AA233" s="4">
        <f>Base[[#This Row],[Coût]]*Base[[#This Row],[Part_société_dépenses_santé]]</f>
        <v>0</v>
      </c>
      <c r="AB233" s="4">
        <v>67635124</v>
      </c>
      <c r="AC233" s="4">
        <v>82.297079063317852</v>
      </c>
      <c r="AD233" s="4">
        <v>0</v>
      </c>
      <c r="AE233" s="4">
        <f>Base[[#This Row],['[SC']Prévalence_travail]]*Base[[#This Row],[Population_emploi]]</f>
        <v>0</v>
      </c>
      <c r="AF233" s="4">
        <f>Base[[#This Row],[Risque]]*Base[[#This Row],['[SC']Patients_en_emploi]]</f>
        <v>0</v>
      </c>
      <c r="AG233" s="4"/>
      <c r="AH233" s="4">
        <f>IFERROR(Base[[#This Row],['[SC']Prestations]]/Base[[#This Row],['[SC']Patients_en_emploi]],0)</f>
        <v>0</v>
      </c>
      <c r="AI233" s="4"/>
      <c r="AJ2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3" s="4">
        <f>Base[[#This Row],['[SC']'[Travail']Coûts_évités]]/Base[[#This Row],[Population_emploi]]</f>
        <v>0</v>
      </c>
      <c r="AL233" s="4">
        <f>Base[[#This Row],[Coût_société]]*10^9*Base[[#This Row],[Risque]]*Base[[#This Row],[Prévalence]]*Base[[#This Row],[Part_coûts_salarié]]/Base[[#This Row],[Population_emploi]]</f>
        <v>0</v>
      </c>
      <c r="AM233" s="4">
        <f>IF(Base[[#This Row],[Pathologie]]&lt;&gt;"Dépendance",0,14909.24243952)</f>
        <v>0</v>
      </c>
      <c r="AN233" s="4">
        <f>IF(Base[[#This Row],[Pathologie]]&lt;&gt;"Dépendance",0,1316000)</f>
        <v>0</v>
      </c>
      <c r="AO233" s="4">
        <f>IF(Base[[#This Row],[Pathologie]]&lt;&gt;"Dépendance",0,Base[[#This Row],['[SC']Coût_personne_dépendante]]*Base[[#This Row],['[SC']Nb_personnes_dépendantes]])</f>
        <v>0</v>
      </c>
      <c r="AP233" s="4">
        <f>IF(Base[[#This Row],[Pathologie]]&lt;&gt;"Dépendance",0,Base[[#This Row],['[SC']Coût_total_dépendance]]/Base[[#This Row],[Population_totale]])</f>
        <v>0</v>
      </c>
      <c r="AQ233" s="4">
        <f>IF(Base[[#This Row],[Pathologie]]&lt;&gt;"Dépendance",0,4.5)</f>
        <v>0</v>
      </c>
      <c r="AR233" s="4">
        <v>0.50393265050357905</v>
      </c>
      <c r="AS233" s="4">
        <f>Base[[#This Row],[Espérance_vie]]+Base[[#This Row],['[SC']Hausse_esp_de_vie]]-Base[[#This Row],['[SC']Durée_moyenne_dépendance_avt]]+Base[[#This Row],[Risque]]</f>
        <v>83.011011713821432</v>
      </c>
      <c r="AT2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3" s="4">
        <v>62.9</v>
      </c>
      <c r="AW233" s="4">
        <f>336905600000</f>
        <v>336905600000</v>
      </c>
      <c r="AX233" s="4">
        <v>15049171</v>
      </c>
      <c r="AY233" s="4">
        <f>Base[[#This Row],['[SC']Budget_total_retraites]]/Base[[#This Row],['[SC']Nombre_de_retraités]]</f>
        <v>22386.987296509556</v>
      </c>
      <c r="AZ233" s="4">
        <f>Base[[#This Row],['[SC']Budget_par_retraité]]*Base[[#This Row],['[SC']Nb_personnes_dépendantes]]</f>
        <v>0</v>
      </c>
      <c r="BA233" s="4">
        <f>Base[[#This Row],['[SC']'[Dépendance']Coût_retraite_personnes_dépendantes]]/Base[[#This Row],[Population_totale]]</f>
        <v>0</v>
      </c>
      <c r="BB23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3" s="4">
        <f>Base[[#This Row],['[SC']'[Dépendance']Gains]]-Base[[#This Row],['[SC']'[Dépendance']Coûts]]</f>
        <v>0</v>
      </c>
      <c r="BD233" s="4">
        <f>IF(Base[[#This Row],[Pathologie]]&lt;&gt;"Mort prématurée",0,Base[[#This Row],[Risque]]*Base[[#This Row],[Prévalence]]*Base[[#This Row],[Population_totale]])</f>
        <v>0</v>
      </c>
      <c r="BE233" s="4">
        <v>52.74</v>
      </c>
      <c r="BF233" s="4">
        <f>Base[[#This Row],['[SC']Âge_moyen_retraite]]-Base[[#This Row],['[SC']'[Mort_prématurée']Âge_moyen_mort précoce]]</f>
        <v>10.159999999999997</v>
      </c>
      <c r="BG233" s="4">
        <f>Base[[#This Row],[Espérance_vie]]+Base[[#This Row],['[SC']Hausse_esp_de_vie]]-Base[[#This Row],['[SC']Âge_moyen_retraite]]</f>
        <v>19.90101171382144</v>
      </c>
      <c r="BH233" s="4">
        <v>106583.42676924677</v>
      </c>
      <c r="BI233" s="4">
        <v>97601.789429271477</v>
      </c>
      <c r="BJ233" s="4">
        <v>302038.31496633729</v>
      </c>
      <c r="BK233" s="4">
        <v>117293.58934859755</v>
      </c>
      <c r="BL233" s="4">
        <v>1523999.9999999995</v>
      </c>
      <c r="BM2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3" s="4">
        <v>294804.96027377353</v>
      </c>
      <c r="BO2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3" s="4">
        <f>(Base[[#This Row],['[SC']'[Mort_prématurée']Gains]]-Base[[#This Row],['[SC']'[Mort_prématurée']Coûts]])/Base[[#This Row],[Population_totale]]</f>
        <v>0</v>
      </c>
      <c r="BQ233" s="4">
        <f>IF(Base[[#This Row],[Pathologie]]&lt;&gt;"Mort prématurée",0,Base[[#This Row],[Risque]])</f>
        <v>0</v>
      </c>
      <c r="BR233" s="4">
        <v>2680</v>
      </c>
      <c r="BS2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3" s="4">
        <f>Base[[#This Row],[Prévalence_prod]]*(1-Base[[#This Row],[Risque]])*Base[[#This Row],[Durée_arrêt]]*Base[[#This Row],[Population_emploi]]</f>
        <v>0</v>
      </c>
      <c r="BV233" s="4">
        <f>Base[[#This Row],['[Prod']'[Absentéisme']Total_jours_absence_avant]]-Base[[#This Row],['[Prod']'[Absentéisme']Total_jours_absence_après]]</f>
        <v>0</v>
      </c>
      <c r="BW233" s="4">
        <f>IF(AND(Base[[#This Row],[Pathologie]]&lt;&gt;"Dépendance",Base[[#This Row],[Pathologie]]&lt;&gt;"Mort prématurée",Base[[#This Row],[Pathologie]]&lt;&gt;"Migraine"),0.0619,0)</f>
        <v>0</v>
      </c>
      <c r="BX233" s="4">
        <v>254</v>
      </c>
      <c r="BY23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3" s="4">
        <f>Base[[#This Row],[Prévalence_prod]]*Base[[#This Row],[Présentéisme]]*Base[[#This Row],['[Prod']Jours_ouvrés]]</f>
        <v>6.4516000000000009</v>
      </c>
      <c r="CB233" s="4">
        <f>Base[[#This Row],[Prévalence_prod]]*(1-Base[[#This Row],[Risque]])*Base[[#This Row],[Présentéisme]]*Base[[#This Row],['[Prod']Jours_ouvrés]]</f>
        <v>5.0967640000000012</v>
      </c>
      <c r="CC233" s="4">
        <f>Base[[#This Row],['[Prod']'[Présentéisme']Jours_avant]]-Base[[#This Row],['[Prod']'[Présentéisme']Jours_après]]</f>
        <v>1.3548359999999997</v>
      </c>
      <c r="CD233" s="4">
        <f>Base[[#This Row],['[Prod']'[Présentéisme']Jours_gagnés]]/Base[[#This Row],['[Prod']Jours_ouvrés]]</f>
        <v>5.3339999999999985E-3</v>
      </c>
      <c r="CE233">
        <v>5.8333039429220801E-2</v>
      </c>
      <c r="CF233">
        <v>1.4658164114728258E-2</v>
      </c>
      <c r="CG233" s="4">
        <v>11</v>
      </c>
      <c r="CH233" s="4">
        <v>1.3966184516047948</v>
      </c>
      <c r="CI233" s="4">
        <v>1.4392894727292521E-2</v>
      </c>
      <c r="CJ233" s="4">
        <f>IF(Base[[#This Row],[Secteur]]&lt;&gt;"Moyenne",Base[[#This Row],['[Prod']'[Turnover']DMC_initiale]]*(1+Base[[#This Row],['[Prod']'[Turnover']Ecart_accidents]]*Base[[#This Row],['[Prod']Impact_motifs_turnover]]),CJ216*CI216+CJ217*CI217+CJ218*CI218+CJ219*CI219+CJ220*CI220+CJ221*CI221+CJ222*CI222+CJ223*CI223+CJ224*CI224+CJ225*CI225+CJ226*CI226+CJ227*CI227+CJ228*CI228+CJ229*CI229+CJ230*CI230+CJ231*CI231+CJ232*CI232)</f>
        <v>11.225190487162088</v>
      </c>
      <c r="CK233" s="4">
        <f>1/Base[[#This Row],['[Prod']'[Turnover']DMC_initiale]]</f>
        <v>9.0909090909090912E-2</v>
      </c>
      <c r="CL233" s="4">
        <f>1/Base[[#This Row],['[Prod']'[Turnover']DMC_finale]]</f>
        <v>8.9085347918475846E-2</v>
      </c>
    </row>
    <row r="234" spans="2:90" x14ac:dyDescent="0.25">
      <c r="B234" s="4" t="s">
        <v>316</v>
      </c>
      <c r="C234">
        <v>7.5</v>
      </c>
      <c r="D234" t="s">
        <v>84</v>
      </c>
      <c r="E234" t="s">
        <v>97</v>
      </c>
      <c r="F234" s="3">
        <v>0.21</v>
      </c>
      <c r="G234" s="3">
        <v>0.2</v>
      </c>
      <c r="H234" s="3">
        <v>0.2</v>
      </c>
      <c r="I234" s="3">
        <v>0.127</v>
      </c>
      <c r="J234" s="3">
        <v>0</v>
      </c>
      <c r="K234" s="3">
        <v>7.0000000000000007E-2</v>
      </c>
      <c r="L234" s="2">
        <f>Base[[#This Row],[Coût]]*Base[[#This Row],[Part_ménages_dépenses_santé]]</f>
        <v>0</v>
      </c>
      <c r="M234" s="2">
        <v>0</v>
      </c>
      <c r="N234" s="6">
        <v>27700000</v>
      </c>
      <c r="O234" s="7">
        <f>Base[[#This Row],[Coût_salarié]]*10^9*Base[[#This Row],[Risque]]*Base[[#This Row],[Prévalence]]*Base[[#This Row],[Part_coûts_salarié]]/Base[[#This Row],[Population_emploi]]</f>
        <v>0</v>
      </c>
      <c r="P234">
        <v>50</v>
      </c>
      <c r="Q234">
        <v>50</v>
      </c>
      <c r="R234" s="2">
        <v>9.9999999999999978E-2</v>
      </c>
      <c r="S234" s="2">
        <v>0.33340000000000003</v>
      </c>
      <c r="T234" s="4">
        <v>0</v>
      </c>
      <c r="U234" s="4">
        <f>IF(Bases_annexes!$F$5=0,16.6587111018772,0.77*Bases_annexes!$F$5/(IF(OR(ISBLANK('Données_d''entrée'!$E$44),'Données_d''entrée'!$E$44=0),35,'Données_d''entrée'!$E$44)*52))</f>
        <v>16.658711101877199</v>
      </c>
      <c r="V234" s="4">
        <v>0</v>
      </c>
      <c r="W2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4" s="4">
        <v>234.5</v>
      </c>
      <c r="Y234" s="4">
        <f>(Base[[#This Row],['[Maladies']Coûts_évités_par_salarié]]+Base[[#This Row],['[Travail']Coûts_évités_par_salarié]])/Base[[#This Row],[Budget_santé_salarié]]</f>
        <v>0</v>
      </c>
      <c r="Z234" s="4">
        <v>0.8</v>
      </c>
      <c r="AA234" s="4">
        <f>Base[[#This Row],[Coût]]*Base[[#This Row],[Part_société_dépenses_santé]]</f>
        <v>0</v>
      </c>
      <c r="AB234" s="4">
        <v>67635124</v>
      </c>
      <c r="AC234" s="4">
        <v>82.297079063317852</v>
      </c>
      <c r="AD234" s="4">
        <v>0</v>
      </c>
      <c r="AE234" s="4">
        <f>Base[[#This Row],['[SC']Prévalence_travail]]*Base[[#This Row],[Population_emploi]]</f>
        <v>0</v>
      </c>
      <c r="AF234" s="4">
        <f>Base[[#This Row],[Risque]]*Base[[#This Row],['[SC']Patients_en_emploi]]</f>
        <v>0</v>
      </c>
      <c r="AG234" s="4"/>
      <c r="AH234" s="4">
        <f>IFERROR(Base[[#This Row],['[SC']Prestations]]/Base[[#This Row],['[SC']Patients_en_emploi]],0)</f>
        <v>0</v>
      </c>
      <c r="AI234" s="4"/>
      <c r="AJ2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4" s="4">
        <f>Base[[#This Row],['[SC']'[Travail']Coûts_évités]]/Base[[#This Row],[Population_emploi]]</f>
        <v>0</v>
      </c>
      <c r="AL234" s="4">
        <f>Base[[#This Row],[Coût_société]]*10^9*Base[[#This Row],[Risque]]*Base[[#This Row],[Prévalence]]*Base[[#This Row],[Part_coûts_salarié]]/Base[[#This Row],[Population_emploi]]</f>
        <v>0</v>
      </c>
      <c r="AM234" s="4">
        <f>IF(Base[[#This Row],[Pathologie]]&lt;&gt;"Dépendance",0,14909.24243952)</f>
        <v>0</v>
      </c>
      <c r="AN234" s="4">
        <f>IF(Base[[#This Row],[Pathologie]]&lt;&gt;"Dépendance",0,1316000)</f>
        <v>0</v>
      </c>
      <c r="AO234" s="4">
        <f>IF(Base[[#This Row],[Pathologie]]&lt;&gt;"Dépendance",0,Base[[#This Row],['[SC']Coût_personne_dépendante]]*Base[[#This Row],['[SC']Nb_personnes_dépendantes]])</f>
        <v>0</v>
      </c>
      <c r="AP234" s="4">
        <f>IF(Base[[#This Row],[Pathologie]]&lt;&gt;"Dépendance",0,Base[[#This Row],['[SC']Coût_total_dépendance]]/Base[[#This Row],[Population_totale]])</f>
        <v>0</v>
      </c>
      <c r="AQ234" s="4">
        <f>IF(Base[[#This Row],[Pathologie]]&lt;&gt;"Dépendance",0,4.5)</f>
        <v>0</v>
      </c>
      <c r="AR234" s="4">
        <v>0.50393265050357905</v>
      </c>
      <c r="AS234" s="4">
        <f>Base[[#This Row],[Espérance_vie]]+Base[[#This Row],['[SC']Hausse_esp_de_vie]]-Base[[#This Row],['[SC']Durée_moyenne_dépendance_avt]]+Base[[#This Row],[Risque]]</f>
        <v>83.011011713821432</v>
      </c>
      <c r="AT2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4" s="4">
        <v>62.9</v>
      </c>
      <c r="AW234" s="4">
        <f t="shared" ref="AW234:AW250" si="2">336905600000</f>
        <v>336905600000</v>
      </c>
      <c r="AX234" s="4">
        <v>15049171</v>
      </c>
      <c r="AY234" s="4">
        <f>Base[[#This Row],['[SC']Budget_total_retraites]]/Base[[#This Row],['[SC']Nombre_de_retraités]]</f>
        <v>22386.987296509556</v>
      </c>
      <c r="AZ234" s="4">
        <f>Base[[#This Row],['[SC']Budget_par_retraité]]*Base[[#This Row],['[SC']Nb_personnes_dépendantes]]</f>
        <v>0</v>
      </c>
      <c r="BA234" s="4">
        <f>Base[[#This Row],['[SC']'[Dépendance']Coût_retraite_personnes_dépendantes]]/Base[[#This Row],[Population_totale]]</f>
        <v>0</v>
      </c>
      <c r="BB23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4" s="4">
        <f>Base[[#This Row],['[SC']'[Dépendance']Gains]]-Base[[#This Row],['[SC']'[Dépendance']Coûts]]</f>
        <v>0</v>
      </c>
      <c r="BD234" s="4">
        <f>IF(Base[[#This Row],[Pathologie]]&lt;&gt;"Mort prématurée",0,Base[[#This Row],[Risque]]*Base[[#This Row],[Prévalence]]*Base[[#This Row],[Population_totale]])</f>
        <v>0</v>
      </c>
      <c r="BE234" s="4">
        <v>52.74</v>
      </c>
      <c r="BF234" s="4">
        <f>Base[[#This Row],['[SC']Âge_moyen_retraite]]-Base[[#This Row],['[SC']'[Mort_prématurée']Âge_moyen_mort précoce]]</f>
        <v>10.159999999999997</v>
      </c>
      <c r="BG234" s="4">
        <f>Base[[#This Row],[Espérance_vie]]+Base[[#This Row],['[SC']Hausse_esp_de_vie]]-Base[[#This Row],['[SC']Âge_moyen_retraite]]</f>
        <v>19.90101171382144</v>
      </c>
      <c r="BH234" s="4">
        <v>106583.42676924677</v>
      </c>
      <c r="BI234" s="4">
        <v>97601.789429271477</v>
      </c>
      <c r="BJ234" s="4">
        <v>302038.31496633729</v>
      </c>
      <c r="BK234" s="4">
        <v>117293.58934859755</v>
      </c>
      <c r="BL234" s="4">
        <v>1523999.9999999995</v>
      </c>
      <c r="BM2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4" s="4">
        <v>294804.96027377353</v>
      </c>
      <c r="BO2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4" s="4">
        <f>(Base[[#This Row],['[SC']'[Mort_prématurée']Gains]]-Base[[#This Row],['[SC']'[Mort_prématurée']Coûts]])/Base[[#This Row],[Population_totale]]</f>
        <v>0</v>
      </c>
      <c r="BQ234" s="4">
        <f>IF(Base[[#This Row],[Pathologie]]&lt;&gt;"Mort prématurée",0,Base[[#This Row],[Risque]])</f>
        <v>0</v>
      </c>
      <c r="BR234" s="4">
        <v>2680</v>
      </c>
      <c r="BS2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4" s="4">
        <f>Base[[#This Row],[Prévalence_prod]]*(1-Base[[#This Row],[Risque]])*Base[[#This Row],[Durée_arrêt]]*Base[[#This Row],[Population_emploi]]</f>
        <v>0</v>
      </c>
      <c r="BV234" s="4">
        <f>Base[[#This Row],['[Prod']'[Absentéisme']Total_jours_absence_avant]]-Base[[#This Row],['[Prod']'[Absentéisme']Total_jours_absence_après]]</f>
        <v>0</v>
      </c>
      <c r="BW234" s="4">
        <f>IF(AND(Base[[#This Row],[Pathologie]]&lt;&gt;"Dépendance",Base[[#This Row],[Pathologie]]&lt;&gt;"Mort prématurée",Base[[#This Row],[Pathologie]]&lt;&gt;"Migraine"),0.0619,0)</f>
        <v>0</v>
      </c>
      <c r="BX234" s="4">
        <v>254</v>
      </c>
      <c r="BY23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4" s="4">
        <f>Base[[#This Row],[Prévalence_prod]]*Base[[#This Row],[Présentéisme]]*Base[[#This Row],['[Prod']Jours_ouvrés]]</f>
        <v>6.4516000000000009</v>
      </c>
      <c r="CB234" s="4">
        <f>Base[[#This Row],[Prévalence_prod]]*(1-Base[[#This Row],[Risque]])*Base[[#This Row],[Présentéisme]]*Base[[#This Row],['[Prod']Jours_ouvrés]]</f>
        <v>5.0967640000000012</v>
      </c>
      <c r="CC234" s="4">
        <f>Base[[#This Row],['[Prod']'[Présentéisme']Jours_avant]]-Base[[#This Row],['[Prod']'[Présentéisme']Jours_après]]</f>
        <v>1.3548359999999997</v>
      </c>
      <c r="CD234" s="4">
        <f>Base[[#This Row],['[Prod']'[Présentéisme']Jours_gagnés]]/Base[[#This Row],['[Prod']Jours_ouvrés]]</f>
        <v>5.3339999999999985E-3</v>
      </c>
      <c r="CE234">
        <v>5.8333039429220801E-2</v>
      </c>
      <c r="CF234">
        <v>1.4658164114728258E-2</v>
      </c>
      <c r="CG234" s="4">
        <v>11</v>
      </c>
      <c r="CH234" s="4">
        <v>0.68054183762612652</v>
      </c>
      <c r="CI234" s="4">
        <v>1.2135452577082654E-2</v>
      </c>
      <c r="CJ234" s="4">
        <f>IF(Base[[#This Row],[Secteur]]&lt;&gt;"Moyenne",Base[[#This Row],['[Prod']'[Turnover']DMC_initiale]]*(1+Base[[#This Row],['[Prod']'[Turnover']Ecart_accidents]]*Base[[#This Row],['[Prod']Impact_motifs_turnover]]),CJ217*CI217+CJ218*CI218+CJ219*CI219+CJ220*CI220+CJ221*CI221+CJ222*CI222+CJ223*CI223+CJ224*CI224+CJ225*CI225+CJ226*CI226+CJ227*CI227+CJ228*CI228+CJ229*CI229+CJ230*CI230+CJ231*CI231+CJ232*CI232+CJ233*CI233)</f>
        <v>11.109730433371487</v>
      </c>
      <c r="CK234" s="4">
        <f>1/Base[[#This Row],['[Prod']'[Turnover']DMC_initiale]]</f>
        <v>9.0909090909090912E-2</v>
      </c>
      <c r="CL234" s="4">
        <f>1/Base[[#This Row],['[Prod']'[Turnover']DMC_finale]]</f>
        <v>9.001118487953523E-2</v>
      </c>
    </row>
    <row r="235" spans="2:90" x14ac:dyDescent="0.25">
      <c r="B235" s="4" t="s">
        <v>317</v>
      </c>
      <c r="C235">
        <v>7.5</v>
      </c>
      <c r="D235" t="s">
        <v>84</v>
      </c>
      <c r="E235" t="s">
        <v>97</v>
      </c>
      <c r="F235" s="3">
        <v>0.21</v>
      </c>
      <c r="G235" s="3">
        <v>0.2</v>
      </c>
      <c r="H235" s="3">
        <v>0.2</v>
      </c>
      <c r="I235" s="3">
        <v>0.127</v>
      </c>
      <c r="J235" s="3">
        <v>0</v>
      </c>
      <c r="K235" s="3">
        <v>7.0000000000000007E-2</v>
      </c>
      <c r="L235" s="2">
        <f>Base[[#This Row],[Coût]]*Base[[#This Row],[Part_ménages_dépenses_santé]]</f>
        <v>0</v>
      </c>
      <c r="M235" s="2">
        <v>0</v>
      </c>
      <c r="N235" s="6">
        <v>27700000</v>
      </c>
      <c r="O235" s="7">
        <f>Base[[#This Row],[Coût_salarié]]*10^9*Base[[#This Row],[Risque]]*Base[[#This Row],[Prévalence]]*Base[[#This Row],[Part_coûts_salarié]]/Base[[#This Row],[Population_emploi]]</f>
        <v>0</v>
      </c>
      <c r="P235">
        <v>50</v>
      </c>
      <c r="Q235">
        <v>50</v>
      </c>
      <c r="R235" s="2">
        <v>9.9999999999999978E-2</v>
      </c>
      <c r="S235" s="2">
        <v>0.33340000000000003</v>
      </c>
      <c r="T235" s="4">
        <v>0</v>
      </c>
      <c r="U235" s="4">
        <f>IF(Bases_annexes!$F$5=0,16.6587111018772,0.77*Bases_annexes!$F$5/(IF(OR(ISBLANK('Données_d''entrée'!$E$44),'Données_d''entrée'!$E$44=0),35,'Données_d''entrée'!$E$44)*52))</f>
        <v>16.658711101877199</v>
      </c>
      <c r="V235" s="4">
        <v>0</v>
      </c>
      <c r="W2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5" s="4">
        <v>234.5</v>
      </c>
      <c r="Y235" s="4">
        <f>(Base[[#This Row],['[Maladies']Coûts_évités_par_salarié]]+Base[[#This Row],['[Travail']Coûts_évités_par_salarié]])/Base[[#This Row],[Budget_santé_salarié]]</f>
        <v>0</v>
      </c>
      <c r="Z235" s="4">
        <v>0.8</v>
      </c>
      <c r="AA235" s="4">
        <f>Base[[#This Row],[Coût]]*Base[[#This Row],[Part_société_dépenses_santé]]</f>
        <v>0</v>
      </c>
      <c r="AB235" s="4">
        <v>67635124</v>
      </c>
      <c r="AC235" s="4">
        <v>82.297079063317852</v>
      </c>
      <c r="AD235" s="4">
        <v>0</v>
      </c>
      <c r="AE235" s="4">
        <f>Base[[#This Row],['[SC']Prévalence_travail]]*Base[[#This Row],[Population_emploi]]</f>
        <v>0</v>
      </c>
      <c r="AF235" s="4">
        <f>Base[[#This Row],[Risque]]*Base[[#This Row],['[SC']Patients_en_emploi]]</f>
        <v>0</v>
      </c>
      <c r="AG235" s="4"/>
      <c r="AH235" s="4">
        <f>IFERROR(Base[[#This Row],['[SC']Prestations]]/Base[[#This Row],['[SC']Patients_en_emploi]],0)</f>
        <v>0</v>
      </c>
      <c r="AI235" s="4"/>
      <c r="AJ2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5" s="4">
        <f>Base[[#This Row],['[SC']'[Travail']Coûts_évités]]/Base[[#This Row],[Population_emploi]]</f>
        <v>0</v>
      </c>
      <c r="AL235" s="4">
        <f>Base[[#This Row],[Coût_société]]*10^9*Base[[#This Row],[Risque]]*Base[[#This Row],[Prévalence]]*Base[[#This Row],[Part_coûts_salarié]]/Base[[#This Row],[Population_emploi]]</f>
        <v>0</v>
      </c>
      <c r="AM235" s="4">
        <f>IF(Base[[#This Row],[Pathologie]]&lt;&gt;"Dépendance",0,14909.24243952)</f>
        <v>0</v>
      </c>
      <c r="AN235" s="4">
        <f>IF(Base[[#This Row],[Pathologie]]&lt;&gt;"Dépendance",0,1316000)</f>
        <v>0</v>
      </c>
      <c r="AO235" s="4">
        <f>IF(Base[[#This Row],[Pathologie]]&lt;&gt;"Dépendance",0,Base[[#This Row],['[SC']Coût_personne_dépendante]]*Base[[#This Row],['[SC']Nb_personnes_dépendantes]])</f>
        <v>0</v>
      </c>
      <c r="AP235" s="4">
        <f>IF(Base[[#This Row],[Pathologie]]&lt;&gt;"Dépendance",0,Base[[#This Row],['[SC']Coût_total_dépendance]]/Base[[#This Row],[Population_totale]])</f>
        <v>0</v>
      </c>
      <c r="AQ235" s="4">
        <f>IF(Base[[#This Row],[Pathologie]]&lt;&gt;"Dépendance",0,4.5)</f>
        <v>0</v>
      </c>
      <c r="AR235" s="4">
        <v>0.50393265050357905</v>
      </c>
      <c r="AS235" s="4">
        <f>Base[[#This Row],[Espérance_vie]]+Base[[#This Row],['[SC']Hausse_esp_de_vie]]-Base[[#This Row],['[SC']Durée_moyenne_dépendance_avt]]+Base[[#This Row],[Risque]]</f>
        <v>83.011011713821432</v>
      </c>
      <c r="AT2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5" s="4">
        <v>62.9</v>
      </c>
      <c r="AW235" s="4">
        <f t="shared" si="2"/>
        <v>336905600000</v>
      </c>
      <c r="AX235" s="4">
        <v>15049171</v>
      </c>
      <c r="AY235" s="4">
        <f>Base[[#This Row],['[SC']Budget_total_retraites]]/Base[[#This Row],['[SC']Nombre_de_retraités]]</f>
        <v>22386.987296509556</v>
      </c>
      <c r="AZ235" s="4">
        <f>Base[[#This Row],['[SC']Budget_par_retraité]]*Base[[#This Row],['[SC']Nb_personnes_dépendantes]]</f>
        <v>0</v>
      </c>
      <c r="BA235" s="4">
        <f>Base[[#This Row],['[SC']'[Dépendance']Coût_retraite_personnes_dépendantes]]/Base[[#This Row],[Population_totale]]</f>
        <v>0</v>
      </c>
      <c r="BB2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5" s="4">
        <f>Base[[#This Row],['[SC']'[Dépendance']Gains]]-Base[[#This Row],['[SC']'[Dépendance']Coûts]]</f>
        <v>0</v>
      </c>
      <c r="BD235" s="4">
        <f>IF(Base[[#This Row],[Pathologie]]&lt;&gt;"Mort prématurée",0,Base[[#This Row],[Risque]]*Base[[#This Row],[Prévalence]]*Base[[#This Row],[Population_totale]])</f>
        <v>0</v>
      </c>
      <c r="BE235" s="4">
        <v>52.74</v>
      </c>
      <c r="BF235" s="4">
        <f>Base[[#This Row],['[SC']Âge_moyen_retraite]]-Base[[#This Row],['[SC']'[Mort_prématurée']Âge_moyen_mort précoce]]</f>
        <v>10.159999999999997</v>
      </c>
      <c r="BG235" s="4">
        <f>Base[[#This Row],[Espérance_vie]]+Base[[#This Row],['[SC']Hausse_esp_de_vie]]-Base[[#This Row],['[SC']Âge_moyen_retraite]]</f>
        <v>19.90101171382144</v>
      </c>
      <c r="BH235" s="4">
        <v>106583.42676924677</v>
      </c>
      <c r="BI235" s="4">
        <v>97601.789429271477</v>
      </c>
      <c r="BJ235" s="4">
        <v>302038.31496633729</v>
      </c>
      <c r="BK235" s="4">
        <v>117293.58934859755</v>
      </c>
      <c r="BL235" s="4">
        <v>1523999.9999999995</v>
      </c>
      <c r="BM2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5" s="4">
        <v>294804.96027377353</v>
      </c>
      <c r="BO2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5" s="4">
        <f>(Base[[#This Row],['[SC']'[Mort_prématurée']Gains]]-Base[[#This Row],['[SC']'[Mort_prématurée']Coûts]])/Base[[#This Row],[Population_totale]]</f>
        <v>0</v>
      </c>
      <c r="BQ235" s="4">
        <f>IF(Base[[#This Row],[Pathologie]]&lt;&gt;"Mort prématurée",0,Base[[#This Row],[Risque]])</f>
        <v>0</v>
      </c>
      <c r="BR235" s="4">
        <v>2680</v>
      </c>
      <c r="BS2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5" s="4">
        <f>Base[[#This Row],[Prévalence_prod]]*(1-Base[[#This Row],[Risque]])*Base[[#This Row],[Durée_arrêt]]*Base[[#This Row],[Population_emploi]]</f>
        <v>0</v>
      </c>
      <c r="BV235" s="4">
        <f>Base[[#This Row],['[Prod']'[Absentéisme']Total_jours_absence_avant]]-Base[[#This Row],['[Prod']'[Absentéisme']Total_jours_absence_après]]</f>
        <v>0</v>
      </c>
      <c r="BW235" s="4">
        <f>IF(AND(Base[[#This Row],[Pathologie]]&lt;&gt;"Dépendance",Base[[#This Row],[Pathologie]]&lt;&gt;"Mort prématurée",Base[[#This Row],[Pathologie]]&lt;&gt;"Migraine"),0.0619,0)</f>
        <v>0</v>
      </c>
      <c r="BX235" s="4">
        <v>254</v>
      </c>
      <c r="BY23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5" s="4">
        <f>Base[[#This Row],[Prévalence_prod]]*Base[[#This Row],[Présentéisme]]*Base[[#This Row],['[Prod']Jours_ouvrés]]</f>
        <v>6.4516000000000009</v>
      </c>
      <c r="CB235" s="4">
        <f>Base[[#This Row],[Prévalence_prod]]*(1-Base[[#This Row],[Risque]])*Base[[#This Row],[Présentéisme]]*Base[[#This Row],['[Prod']Jours_ouvrés]]</f>
        <v>5.0967640000000012</v>
      </c>
      <c r="CC235" s="4">
        <f>Base[[#This Row],['[Prod']'[Présentéisme']Jours_avant]]-Base[[#This Row],['[Prod']'[Présentéisme']Jours_après]]</f>
        <v>1.3548359999999997</v>
      </c>
      <c r="CD235" s="4">
        <f>Base[[#This Row],['[Prod']'[Présentéisme']Jours_gagnés]]/Base[[#This Row],['[Prod']Jours_ouvrés]]</f>
        <v>5.3339999999999985E-3</v>
      </c>
      <c r="CE235">
        <v>5.8333039429220801E-2</v>
      </c>
      <c r="CF235">
        <v>1.4658164114728258E-2</v>
      </c>
      <c r="CG235" s="4">
        <v>11</v>
      </c>
      <c r="CH235" s="4">
        <v>0.31563677172153043</v>
      </c>
      <c r="CI235" s="4">
        <v>1.3003350630813707E-4</v>
      </c>
      <c r="CJ235" s="4">
        <f>IF(Base[[#This Row],[Secteur]]&lt;&gt;"Moyenne",Base[[#This Row],['[Prod']'[Turnover']DMC_initiale]]*(1+Base[[#This Row],['[Prod']'[Turnover']Ecart_accidents]]*Base[[#This Row],['[Prod']Impact_motifs_turnover]]),CJ218*CI218+CJ219*CI219+CJ220*CI220+CJ221*CI221+CJ222*CI222+CJ223*CI223+CJ224*CI224+CJ225*CI225+CJ226*CI226+CJ227*CI227+CJ228*CI228+CJ229*CI229+CJ230*CI230+CJ231*CI231+CJ232*CI232+CJ233*CI233+CJ234*CI234)</f>
        <v>11.05089321160591</v>
      </c>
      <c r="CK235" s="4">
        <f>1/Base[[#This Row],['[Prod']'[Turnover']DMC_initiale]]</f>
        <v>9.0909090909090912E-2</v>
      </c>
      <c r="CL235" s="4">
        <f>1/Base[[#This Row],['[Prod']'[Turnover']DMC_finale]]</f>
        <v>9.0490422887244654E-2</v>
      </c>
    </row>
    <row r="236" spans="2:90" x14ac:dyDescent="0.25">
      <c r="B236" s="4" t="s">
        <v>318</v>
      </c>
      <c r="C236">
        <v>7.5</v>
      </c>
      <c r="D236" t="s">
        <v>84</v>
      </c>
      <c r="E236" t="s">
        <v>97</v>
      </c>
      <c r="F236" s="3">
        <v>0.21</v>
      </c>
      <c r="G236" s="3">
        <v>0.2</v>
      </c>
      <c r="H236" s="3">
        <v>0.2</v>
      </c>
      <c r="I236" s="3">
        <v>0.127</v>
      </c>
      <c r="J236" s="3">
        <v>0</v>
      </c>
      <c r="K236" s="3">
        <v>7.0000000000000007E-2</v>
      </c>
      <c r="L236" s="2">
        <f>Base[[#This Row],[Coût]]*Base[[#This Row],[Part_ménages_dépenses_santé]]</f>
        <v>0</v>
      </c>
      <c r="M236" s="2">
        <v>0</v>
      </c>
      <c r="N236" s="6">
        <v>27700000</v>
      </c>
      <c r="O236" s="7">
        <f>Base[[#This Row],[Coût_salarié]]*10^9*Base[[#This Row],[Risque]]*Base[[#This Row],[Prévalence]]*Base[[#This Row],[Part_coûts_salarié]]/Base[[#This Row],[Population_emploi]]</f>
        <v>0</v>
      </c>
      <c r="P236">
        <v>50</v>
      </c>
      <c r="Q236">
        <v>50</v>
      </c>
      <c r="R236" s="2">
        <v>9.9999999999999978E-2</v>
      </c>
      <c r="S236" s="2">
        <v>0.33340000000000003</v>
      </c>
      <c r="T236" s="4">
        <v>0</v>
      </c>
      <c r="U236" s="4">
        <f>IF(Bases_annexes!$F$5=0,16.6587111018772,0.77*Bases_annexes!$F$5/(IF(OR(ISBLANK('Données_d''entrée'!$E$44),'Données_d''entrée'!$E$44=0),35,'Données_d''entrée'!$E$44)*52))</f>
        <v>16.658711101877199</v>
      </c>
      <c r="V236" s="4">
        <v>0</v>
      </c>
      <c r="W2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6" s="4">
        <v>234.5</v>
      </c>
      <c r="Y236" s="4">
        <f>(Base[[#This Row],['[Maladies']Coûts_évités_par_salarié]]+Base[[#This Row],['[Travail']Coûts_évités_par_salarié]])/Base[[#This Row],[Budget_santé_salarié]]</f>
        <v>0</v>
      </c>
      <c r="Z236" s="4">
        <v>0.8</v>
      </c>
      <c r="AA236" s="4">
        <f>Base[[#This Row],[Coût]]*Base[[#This Row],[Part_société_dépenses_santé]]</f>
        <v>0</v>
      </c>
      <c r="AB236" s="4">
        <v>67635124</v>
      </c>
      <c r="AC236" s="4">
        <v>82.297079063317852</v>
      </c>
      <c r="AD236" s="4">
        <v>0</v>
      </c>
      <c r="AE236" s="4">
        <f>Base[[#This Row],['[SC']Prévalence_travail]]*Base[[#This Row],[Population_emploi]]</f>
        <v>0</v>
      </c>
      <c r="AF236" s="4">
        <f>Base[[#This Row],[Risque]]*Base[[#This Row],['[SC']Patients_en_emploi]]</f>
        <v>0</v>
      </c>
      <c r="AG236" s="4"/>
      <c r="AH236" s="4">
        <f>IFERROR(Base[[#This Row],['[SC']Prestations]]/Base[[#This Row],['[SC']Patients_en_emploi]],0)</f>
        <v>0</v>
      </c>
      <c r="AI236" s="4"/>
      <c r="AJ2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6" s="4">
        <f>Base[[#This Row],['[SC']'[Travail']Coûts_évités]]/Base[[#This Row],[Population_emploi]]</f>
        <v>0</v>
      </c>
      <c r="AL236" s="4">
        <f>Base[[#This Row],[Coût_société]]*10^9*Base[[#This Row],[Risque]]*Base[[#This Row],[Prévalence]]*Base[[#This Row],[Part_coûts_salarié]]/Base[[#This Row],[Population_emploi]]</f>
        <v>0</v>
      </c>
      <c r="AM236" s="4">
        <f>IF(Base[[#This Row],[Pathologie]]&lt;&gt;"Dépendance",0,14909.24243952)</f>
        <v>0</v>
      </c>
      <c r="AN236" s="4">
        <f>IF(Base[[#This Row],[Pathologie]]&lt;&gt;"Dépendance",0,1316000)</f>
        <v>0</v>
      </c>
      <c r="AO236" s="4">
        <f>IF(Base[[#This Row],[Pathologie]]&lt;&gt;"Dépendance",0,Base[[#This Row],['[SC']Coût_personne_dépendante]]*Base[[#This Row],['[SC']Nb_personnes_dépendantes]])</f>
        <v>0</v>
      </c>
      <c r="AP236" s="4">
        <f>IF(Base[[#This Row],[Pathologie]]&lt;&gt;"Dépendance",0,Base[[#This Row],['[SC']Coût_total_dépendance]]/Base[[#This Row],[Population_totale]])</f>
        <v>0</v>
      </c>
      <c r="AQ236" s="4">
        <f>IF(Base[[#This Row],[Pathologie]]&lt;&gt;"Dépendance",0,4.5)</f>
        <v>0</v>
      </c>
      <c r="AR236" s="4">
        <v>0.50393265050357905</v>
      </c>
      <c r="AS236" s="4">
        <f>Base[[#This Row],[Espérance_vie]]+Base[[#This Row],['[SC']Hausse_esp_de_vie]]-Base[[#This Row],['[SC']Durée_moyenne_dépendance_avt]]+Base[[#This Row],[Risque]]</f>
        <v>83.011011713821432</v>
      </c>
      <c r="AT2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6" s="4">
        <v>62.9</v>
      </c>
      <c r="AW236" s="4">
        <f t="shared" si="2"/>
        <v>336905600000</v>
      </c>
      <c r="AX236" s="4">
        <v>15049171</v>
      </c>
      <c r="AY236" s="4">
        <f>Base[[#This Row],['[SC']Budget_total_retraites]]/Base[[#This Row],['[SC']Nombre_de_retraités]]</f>
        <v>22386.987296509556</v>
      </c>
      <c r="AZ236" s="4">
        <f>Base[[#This Row],['[SC']Budget_par_retraité]]*Base[[#This Row],['[SC']Nb_personnes_dépendantes]]</f>
        <v>0</v>
      </c>
      <c r="BA236" s="4">
        <f>Base[[#This Row],['[SC']'[Dépendance']Coût_retraite_personnes_dépendantes]]/Base[[#This Row],[Population_totale]]</f>
        <v>0</v>
      </c>
      <c r="BB2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6" s="4">
        <f>Base[[#This Row],['[SC']'[Dépendance']Gains]]-Base[[#This Row],['[SC']'[Dépendance']Coûts]]</f>
        <v>0</v>
      </c>
      <c r="BD236" s="4">
        <f>IF(Base[[#This Row],[Pathologie]]&lt;&gt;"Mort prématurée",0,Base[[#This Row],[Risque]]*Base[[#This Row],[Prévalence]]*Base[[#This Row],[Population_totale]])</f>
        <v>0</v>
      </c>
      <c r="BE236" s="4">
        <v>52.74</v>
      </c>
      <c r="BF236" s="4">
        <f>Base[[#This Row],['[SC']Âge_moyen_retraite]]-Base[[#This Row],['[SC']'[Mort_prématurée']Âge_moyen_mort précoce]]</f>
        <v>10.159999999999997</v>
      </c>
      <c r="BG236" s="4">
        <f>Base[[#This Row],[Espérance_vie]]+Base[[#This Row],['[SC']Hausse_esp_de_vie]]-Base[[#This Row],['[SC']Âge_moyen_retraite]]</f>
        <v>19.90101171382144</v>
      </c>
      <c r="BH236" s="4">
        <v>106583.42676924677</v>
      </c>
      <c r="BI236" s="4">
        <v>97601.789429271477</v>
      </c>
      <c r="BJ236" s="4">
        <v>302038.31496633729</v>
      </c>
      <c r="BK236" s="4">
        <v>117293.58934859755</v>
      </c>
      <c r="BL236" s="4">
        <v>1523999.9999999995</v>
      </c>
      <c r="BM2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6" s="4">
        <v>294804.96027377353</v>
      </c>
      <c r="BO2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6" s="4">
        <f>(Base[[#This Row],['[SC']'[Mort_prématurée']Gains]]-Base[[#This Row],['[SC']'[Mort_prématurée']Coûts]])/Base[[#This Row],[Population_totale]]</f>
        <v>0</v>
      </c>
      <c r="BQ236" s="4">
        <f>IF(Base[[#This Row],[Pathologie]]&lt;&gt;"Mort prématurée",0,Base[[#This Row],[Risque]])</f>
        <v>0</v>
      </c>
      <c r="BR236" s="4">
        <v>2680</v>
      </c>
      <c r="BS2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6" s="4">
        <f>Base[[#This Row],[Prévalence_prod]]*(1-Base[[#This Row],[Risque]])*Base[[#This Row],[Durée_arrêt]]*Base[[#This Row],[Population_emploi]]</f>
        <v>0</v>
      </c>
      <c r="BV236" s="4">
        <f>Base[[#This Row],['[Prod']'[Absentéisme']Total_jours_absence_avant]]-Base[[#This Row],['[Prod']'[Absentéisme']Total_jours_absence_après]]</f>
        <v>0</v>
      </c>
      <c r="BW236" s="4">
        <f>IF(AND(Base[[#This Row],[Pathologie]]&lt;&gt;"Dépendance",Base[[#This Row],[Pathologie]]&lt;&gt;"Mort prématurée",Base[[#This Row],[Pathologie]]&lt;&gt;"Migraine"),0.0619,0)</f>
        <v>0</v>
      </c>
      <c r="BX236" s="4">
        <v>254</v>
      </c>
      <c r="BY23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6" s="4">
        <f>Base[[#This Row],[Prévalence_prod]]*Base[[#This Row],[Présentéisme]]*Base[[#This Row],['[Prod']Jours_ouvrés]]</f>
        <v>6.4516000000000009</v>
      </c>
      <c r="CB236" s="4">
        <f>Base[[#This Row],[Prévalence_prod]]*(1-Base[[#This Row],[Risque]])*Base[[#This Row],[Présentéisme]]*Base[[#This Row],['[Prod']Jours_ouvrés]]</f>
        <v>5.0967640000000012</v>
      </c>
      <c r="CC236" s="4">
        <f>Base[[#This Row],['[Prod']'[Présentéisme']Jours_avant]]-Base[[#This Row],['[Prod']'[Présentéisme']Jours_après]]</f>
        <v>1.3548359999999997</v>
      </c>
      <c r="CD236" s="4">
        <f>Base[[#This Row],['[Prod']'[Présentéisme']Jours_gagnés]]/Base[[#This Row],['[Prod']Jours_ouvrés]]</f>
        <v>5.3339999999999985E-3</v>
      </c>
      <c r="CE236">
        <v>5.8333039429220801E-2</v>
      </c>
      <c r="CF236">
        <v>1.4658164114728258E-2</v>
      </c>
      <c r="CG236" s="4">
        <v>11</v>
      </c>
      <c r="CH236" s="4">
        <v>1.1688035738877327</v>
      </c>
      <c r="CI236" s="4">
        <v>9.6557438521367826E-3</v>
      </c>
      <c r="CJ236" s="4">
        <f>IF(Base[[#This Row],[Secteur]]&lt;&gt;"Moyenne",Base[[#This Row],['[Prod']'[Turnover']DMC_initiale]]*(1+Base[[#This Row],['[Prod']'[Turnover']Ecart_accidents]]*Base[[#This Row],['[Prod']Impact_motifs_turnover]]),CJ219*CI219+CJ220*CI220+CJ221*CI221+CJ222*CI222+CJ223*CI223+CJ224*CI224+CJ225*CI225+CJ226*CI226+CJ227*CI227+CJ228*CI228+CJ229*CI229+CJ230*CI230+CJ231*CI231+CJ232*CI232+CJ233*CI233+CJ234*CI234+CJ235*CI235)</f>
        <v>11.188457660643202</v>
      </c>
      <c r="CK236" s="4">
        <f>1/Base[[#This Row],['[Prod']'[Turnover']DMC_initiale]]</f>
        <v>9.0909090909090912E-2</v>
      </c>
      <c r="CL236" s="4">
        <f>1/Base[[#This Row],['[Prod']'[Turnover']DMC_finale]]</f>
        <v>8.9377824033568531E-2</v>
      </c>
    </row>
    <row r="237" spans="2:90" x14ac:dyDescent="0.25">
      <c r="B237" s="4" t="s">
        <v>319</v>
      </c>
      <c r="C237">
        <v>7.5</v>
      </c>
      <c r="D237" t="s">
        <v>84</v>
      </c>
      <c r="E237" t="s">
        <v>97</v>
      </c>
      <c r="F237" s="3">
        <v>0.21</v>
      </c>
      <c r="G237" s="3">
        <v>0.2</v>
      </c>
      <c r="H237" s="3">
        <v>0.2</v>
      </c>
      <c r="I237" s="3">
        <v>0.127</v>
      </c>
      <c r="J237" s="3">
        <v>0</v>
      </c>
      <c r="K237" s="3">
        <v>7.0000000000000007E-2</v>
      </c>
      <c r="L237" s="2">
        <f>Base[[#This Row],[Coût]]*Base[[#This Row],[Part_ménages_dépenses_santé]]</f>
        <v>0</v>
      </c>
      <c r="M237" s="2">
        <v>0</v>
      </c>
      <c r="N237" s="6">
        <v>27700000</v>
      </c>
      <c r="O237" s="7">
        <f>Base[[#This Row],[Coût_salarié]]*10^9*Base[[#This Row],[Risque]]*Base[[#This Row],[Prévalence]]*Base[[#This Row],[Part_coûts_salarié]]/Base[[#This Row],[Population_emploi]]</f>
        <v>0</v>
      </c>
      <c r="P237">
        <v>50</v>
      </c>
      <c r="Q237">
        <v>50</v>
      </c>
      <c r="R237" s="2">
        <v>9.9999999999999978E-2</v>
      </c>
      <c r="S237" s="2">
        <v>0.33340000000000003</v>
      </c>
      <c r="T237" s="4">
        <v>0</v>
      </c>
      <c r="U237" s="4">
        <f>IF(Bases_annexes!$F$5=0,16.6587111018772,0.77*Bases_annexes!$F$5/(IF(OR(ISBLANK('Données_d''entrée'!$E$44),'Données_d''entrée'!$E$44=0),35,'Données_d''entrée'!$E$44)*52))</f>
        <v>16.658711101877199</v>
      </c>
      <c r="V237" s="4">
        <v>0</v>
      </c>
      <c r="W2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7" s="4">
        <v>234.5</v>
      </c>
      <c r="Y237" s="4">
        <f>(Base[[#This Row],['[Maladies']Coûts_évités_par_salarié]]+Base[[#This Row],['[Travail']Coûts_évités_par_salarié]])/Base[[#This Row],[Budget_santé_salarié]]</f>
        <v>0</v>
      </c>
      <c r="Z237" s="4">
        <v>0.8</v>
      </c>
      <c r="AA237" s="4">
        <f>Base[[#This Row],[Coût]]*Base[[#This Row],[Part_société_dépenses_santé]]</f>
        <v>0</v>
      </c>
      <c r="AB237" s="4">
        <v>67635124</v>
      </c>
      <c r="AC237" s="4">
        <v>82.297079063317852</v>
      </c>
      <c r="AD237" s="4">
        <v>0</v>
      </c>
      <c r="AE237" s="4">
        <f>Base[[#This Row],['[SC']Prévalence_travail]]*Base[[#This Row],[Population_emploi]]</f>
        <v>0</v>
      </c>
      <c r="AF237" s="4">
        <f>Base[[#This Row],[Risque]]*Base[[#This Row],['[SC']Patients_en_emploi]]</f>
        <v>0</v>
      </c>
      <c r="AG237" s="4"/>
      <c r="AH237" s="4">
        <f>IFERROR(Base[[#This Row],['[SC']Prestations]]/Base[[#This Row],['[SC']Patients_en_emploi]],0)</f>
        <v>0</v>
      </c>
      <c r="AI237" s="4"/>
      <c r="AJ2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7" s="4">
        <f>Base[[#This Row],['[SC']'[Travail']Coûts_évités]]/Base[[#This Row],[Population_emploi]]</f>
        <v>0</v>
      </c>
      <c r="AL237" s="4">
        <f>Base[[#This Row],[Coût_société]]*10^9*Base[[#This Row],[Risque]]*Base[[#This Row],[Prévalence]]*Base[[#This Row],[Part_coûts_salarié]]/Base[[#This Row],[Population_emploi]]</f>
        <v>0</v>
      </c>
      <c r="AM237" s="4">
        <f>IF(Base[[#This Row],[Pathologie]]&lt;&gt;"Dépendance",0,14909.24243952)</f>
        <v>0</v>
      </c>
      <c r="AN237" s="4">
        <f>IF(Base[[#This Row],[Pathologie]]&lt;&gt;"Dépendance",0,1316000)</f>
        <v>0</v>
      </c>
      <c r="AO237" s="4">
        <f>IF(Base[[#This Row],[Pathologie]]&lt;&gt;"Dépendance",0,Base[[#This Row],['[SC']Coût_personne_dépendante]]*Base[[#This Row],['[SC']Nb_personnes_dépendantes]])</f>
        <v>0</v>
      </c>
      <c r="AP237" s="4">
        <f>IF(Base[[#This Row],[Pathologie]]&lt;&gt;"Dépendance",0,Base[[#This Row],['[SC']Coût_total_dépendance]]/Base[[#This Row],[Population_totale]])</f>
        <v>0</v>
      </c>
      <c r="AQ237" s="4">
        <f>IF(Base[[#This Row],[Pathologie]]&lt;&gt;"Dépendance",0,4.5)</f>
        <v>0</v>
      </c>
      <c r="AR237" s="4">
        <v>0.50393265050357905</v>
      </c>
      <c r="AS237" s="4">
        <f>Base[[#This Row],[Espérance_vie]]+Base[[#This Row],['[SC']Hausse_esp_de_vie]]-Base[[#This Row],['[SC']Durée_moyenne_dépendance_avt]]+Base[[#This Row],[Risque]]</f>
        <v>83.011011713821432</v>
      </c>
      <c r="AT2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7" s="4">
        <v>62.9</v>
      </c>
      <c r="AW237" s="4">
        <f t="shared" si="2"/>
        <v>336905600000</v>
      </c>
      <c r="AX237" s="4">
        <v>15049171</v>
      </c>
      <c r="AY237" s="4">
        <f>Base[[#This Row],['[SC']Budget_total_retraites]]/Base[[#This Row],['[SC']Nombre_de_retraités]]</f>
        <v>22386.987296509556</v>
      </c>
      <c r="AZ237" s="4">
        <f>Base[[#This Row],['[SC']Budget_par_retraité]]*Base[[#This Row],['[SC']Nb_personnes_dépendantes]]</f>
        <v>0</v>
      </c>
      <c r="BA237" s="4">
        <f>Base[[#This Row],['[SC']'[Dépendance']Coût_retraite_personnes_dépendantes]]/Base[[#This Row],[Population_totale]]</f>
        <v>0</v>
      </c>
      <c r="BB2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7" s="4">
        <f>Base[[#This Row],['[SC']'[Dépendance']Gains]]-Base[[#This Row],['[SC']'[Dépendance']Coûts]]</f>
        <v>0</v>
      </c>
      <c r="BD237" s="4">
        <f>IF(Base[[#This Row],[Pathologie]]&lt;&gt;"Mort prématurée",0,Base[[#This Row],[Risque]]*Base[[#This Row],[Prévalence]]*Base[[#This Row],[Population_totale]])</f>
        <v>0</v>
      </c>
      <c r="BE237" s="4">
        <v>52.74</v>
      </c>
      <c r="BF237" s="4">
        <f>Base[[#This Row],['[SC']Âge_moyen_retraite]]-Base[[#This Row],['[SC']'[Mort_prématurée']Âge_moyen_mort précoce]]</f>
        <v>10.159999999999997</v>
      </c>
      <c r="BG237" s="4">
        <f>Base[[#This Row],[Espérance_vie]]+Base[[#This Row],['[SC']Hausse_esp_de_vie]]-Base[[#This Row],['[SC']Âge_moyen_retraite]]</f>
        <v>19.90101171382144</v>
      </c>
      <c r="BH237" s="4">
        <v>106583.42676924677</v>
      </c>
      <c r="BI237" s="4">
        <v>97601.789429271477</v>
      </c>
      <c r="BJ237" s="4">
        <v>302038.31496633729</v>
      </c>
      <c r="BK237" s="4">
        <v>117293.58934859755</v>
      </c>
      <c r="BL237" s="4">
        <v>1523999.9999999995</v>
      </c>
      <c r="BM2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7" s="4">
        <v>294804.96027377353</v>
      </c>
      <c r="BO2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7" s="4">
        <f>(Base[[#This Row],['[SC']'[Mort_prématurée']Gains]]-Base[[#This Row],['[SC']'[Mort_prématurée']Coûts]])/Base[[#This Row],[Population_totale]]</f>
        <v>0</v>
      </c>
      <c r="BQ237" s="4">
        <f>IF(Base[[#This Row],[Pathologie]]&lt;&gt;"Mort prématurée",0,Base[[#This Row],[Risque]])</f>
        <v>0</v>
      </c>
      <c r="BR237" s="4">
        <v>2680</v>
      </c>
      <c r="BS2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7" s="4">
        <f>Base[[#This Row],[Prévalence_prod]]*(1-Base[[#This Row],[Risque]])*Base[[#This Row],[Durée_arrêt]]*Base[[#This Row],[Population_emploi]]</f>
        <v>0</v>
      </c>
      <c r="BV237" s="4">
        <f>Base[[#This Row],['[Prod']'[Absentéisme']Total_jours_absence_avant]]-Base[[#This Row],['[Prod']'[Absentéisme']Total_jours_absence_après]]</f>
        <v>0</v>
      </c>
      <c r="BW237" s="4">
        <f>IF(AND(Base[[#This Row],[Pathologie]]&lt;&gt;"Dépendance",Base[[#This Row],[Pathologie]]&lt;&gt;"Mort prématurée",Base[[#This Row],[Pathologie]]&lt;&gt;"Migraine"),0.0619,0)</f>
        <v>0</v>
      </c>
      <c r="BX237" s="4">
        <v>254</v>
      </c>
      <c r="BY23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7" s="4">
        <f>Base[[#This Row],[Prévalence_prod]]*Base[[#This Row],[Présentéisme]]*Base[[#This Row],['[Prod']Jours_ouvrés]]</f>
        <v>6.4516000000000009</v>
      </c>
      <c r="CB237" s="4">
        <f>Base[[#This Row],[Prévalence_prod]]*(1-Base[[#This Row],[Risque]])*Base[[#This Row],[Présentéisme]]*Base[[#This Row],['[Prod']Jours_ouvrés]]</f>
        <v>5.0967640000000012</v>
      </c>
      <c r="CC237" s="4">
        <f>Base[[#This Row],['[Prod']'[Présentéisme']Jours_avant]]-Base[[#This Row],['[Prod']'[Présentéisme']Jours_après]]</f>
        <v>1.3548359999999997</v>
      </c>
      <c r="CD237" s="4">
        <f>Base[[#This Row],['[Prod']'[Présentéisme']Jours_gagnés]]/Base[[#This Row],['[Prod']Jours_ouvrés]]</f>
        <v>5.3339999999999985E-3</v>
      </c>
      <c r="CE237">
        <v>5.8333039429220801E-2</v>
      </c>
      <c r="CF237">
        <v>1.4658164114728258E-2</v>
      </c>
      <c r="CG237" s="4">
        <v>11</v>
      </c>
      <c r="CH237" s="4">
        <v>0.52204401140486179</v>
      </c>
      <c r="CI237" s="4">
        <v>1.2443904150185675E-2</v>
      </c>
      <c r="CJ237" s="4">
        <f>IF(Base[[#This Row],[Secteur]]&lt;&gt;"Moyenne",Base[[#This Row],['[Prod']'[Turnover']DMC_initiale]]*(1+Base[[#This Row],['[Prod']'[Turnover']Ecart_accidents]]*Base[[#This Row],['[Prod']Impact_motifs_turnover]]),CJ220*CI220+CJ221*CI221+CJ222*CI222+CJ223*CI223+CJ224*CI224+CJ225*CI225+CJ226*CI226+CJ227*CI227+CJ228*CI228+CJ229*CI229+CJ230*CI230+CJ231*CI231+CJ232*CI232+CJ233*CI233+CJ234*CI234+CJ235*CI235+CJ236*CI236)</f>
        <v>11.084174274737117</v>
      </c>
      <c r="CK237" s="4">
        <f>1/Base[[#This Row],['[Prod']'[Turnover']DMC_initiale]]</f>
        <v>9.0909090909090912E-2</v>
      </c>
      <c r="CL237" s="4">
        <f>1/Base[[#This Row],['[Prod']'[Turnover']DMC_finale]]</f>
        <v>9.0218718617514418E-2</v>
      </c>
    </row>
    <row r="238" spans="2:90" x14ac:dyDescent="0.25">
      <c r="B238" s="4" t="s">
        <v>320</v>
      </c>
      <c r="C238">
        <v>7.5</v>
      </c>
      <c r="D238" t="s">
        <v>84</v>
      </c>
      <c r="E238" t="s">
        <v>97</v>
      </c>
      <c r="F238" s="3">
        <v>0.21</v>
      </c>
      <c r="G238" s="3">
        <v>0.2</v>
      </c>
      <c r="H238" s="3">
        <v>0.2</v>
      </c>
      <c r="I238" s="3">
        <v>0.127</v>
      </c>
      <c r="J238" s="3">
        <v>0</v>
      </c>
      <c r="K238" s="3">
        <v>7.0000000000000007E-2</v>
      </c>
      <c r="L238" s="2">
        <f>Base[[#This Row],[Coût]]*Base[[#This Row],[Part_ménages_dépenses_santé]]</f>
        <v>0</v>
      </c>
      <c r="M238" s="2">
        <v>0</v>
      </c>
      <c r="N238" s="6">
        <v>27700000</v>
      </c>
      <c r="O238" s="7">
        <f>Base[[#This Row],[Coût_salarié]]*10^9*Base[[#This Row],[Risque]]*Base[[#This Row],[Prévalence]]*Base[[#This Row],[Part_coûts_salarié]]/Base[[#This Row],[Population_emploi]]</f>
        <v>0</v>
      </c>
      <c r="P238">
        <v>50</v>
      </c>
      <c r="Q238">
        <v>50</v>
      </c>
      <c r="R238" s="2">
        <v>9.9999999999999978E-2</v>
      </c>
      <c r="S238" s="2">
        <v>0.33340000000000003</v>
      </c>
      <c r="T238" s="4">
        <v>0</v>
      </c>
      <c r="U238" s="4">
        <f>IF(Bases_annexes!$F$5=0,16.6587111018772,0.77*Bases_annexes!$F$5/(IF(OR(ISBLANK('Données_d''entrée'!$E$44),'Données_d''entrée'!$E$44=0),35,'Données_d''entrée'!$E$44)*52))</f>
        <v>16.658711101877199</v>
      </c>
      <c r="V238" s="4">
        <v>0</v>
      </c>
      <c r="W2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8" s="4">
        <v>234.5</v>
      </c>
      <c r="Y238" s="4">
        <f>(Base[[#This Row],['[Maladies']Coûts_évités_par_salarié]]+Base[[#This Row],['[Travail']Coûts_évités_par_salarié]])/Base[[#This Row],[Budget_santé_salarié]]</f>
        <v>0</v>
      </c>
      <c r="Z238" s="4">
        <v>0.8</v>
      </c>
      <c r="AA238" s="4">
        <f>Base[[#This Row],[Coût]]*Base[[#This Row],[Part_société_dépenses_santé]]</f>
        <v>0</v>
      </c>
      <c r="AB238" s="4">
        <v>67635124</v>
      </c>
      <c r="AC238" s="4">
        <v>82.297079063317852</v>
      </c>
      <c r="AD238" s="4">
        <v>0</v>
      </c>
      <c r="AE238" s="4">
        <f>Base[[#This Row],['[SC']Prévalence_travail]]*Base[[#This Row],[Population_emploi]]</f>
        <v>0</v>
      </c>
      <c r="AF238" s="4">
        <f>Base[[#This Row],[Risque]]*Base[[#This Row],['[SC']Patients_en_emploi]]</f>
        <v>0</v>
      </c>
      <c r="AG238" s="4"/>
      <c r="AH238" s="4">
        <f>IFERROR(Base[[#This Row],['[SC']Prestations]]/Base[[#This Row],['[SC']Patients_en_emploi]],0)</f>
        <v>0</v>
      </c>
      <c r="AI238" s="4"/>
      <c r="AJ2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8" s="4">
        <f>Base[[#This Row],['[SC']'[Travail']Coûts_évités]]/Base[[#This Row],[Population_emploi]]</f>
        <v>0</v>
      </c>
      <c r="AL238" s="4">
        <f>Base[[#This Row],[Coût_société]]*10^9*Base[[#This Row],[Risque]]*Base[[#This Row],[Prévalence]]*Base[[#This Row],[Part_coûts_salarié]]/Base[[#This Row],[Population_emploi]]</f>
        <v>0</v>
      </c>
      <c r="AM238" s="4">
        <f>IF(Base[[#This Row],[Pathologie]]&lt;&gt;"Dépendance",0,14909.24243952)</f>
        <v>0</v>
      </c>
      <c r="AN238" s="4">
        <f>IF(Base[[#This Row],[Pathologie]]&lt;&gt;"Dépendance",0,1316000)</f>
        <v>0</v>
      </c>
      <c r="AO238" s="4">
        <f>IF(Base[[#This Row],[Pathologie]]&lt;&gt;"Dépendance",0,Base[[#This Row],['[SC']Coût_personne_dépendante]]*Base[[#This Row],['[SC']Nb_personnes_dépendantes]])</f>
        <v>0</v>
      </c>
      <c r="AP238" s="4">
        <f>IF(Base[[#This Row],[Pathologie]]&lt;&gt;"Dépendance",0,Base[[#This Row],['[SC']Coût_total_dépendance]]/Base[[#This Row],[Population_totale]])</f>
        <v>0</v>
      </c>
      <c r="AQ238" s="4">
        <f>IF(Base[[#This Row],[Pathologie]]&lt;&gt;"Dépendance",0,4.5)</f>
        <v>0</v>
      </c>
      <c r="AR238" s="4">
        <v>0.50393265050357905</v>
      </c>
      <c r="AS238" s="4">
        <f>Base[[#This Row],[Espérance_vie]]+Base[[#This Row],['[SC']Hausse_esp_de_vie]]-Base[[#This Row],['[SC']Durée_moyenne_dépendance_avt]]+Base[[#This Row],[Risque]]</f>
        <v>83.011011713821432</v>
      </c>
      <c r="AT2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8" s="4">
        <v>62.9</v>
      </c>
      <c r="AW238" s="4">
        <f t="shared" si="2"/>
        <v>336905600000</v>
      </c>
      <c r="AX238" s="4">
        <v>15049171</v>
      </c>
      <c r="AY238" s="4">
        <f>Base[[#This Row],['[SC']Budget_total_retraites]]/Base[[#This Row],['[SC']Nombre_de_retraités]]</f>
        <v>22386.987296509556</v>
      </c>
      <c r="AZ238" s="4">
        <f>Base[[#This Row],['[SC']Budget_par_retraité]]*Base[[#This Row],['[SC']Nb_personnes_dépendantes]]</f>
        <v>0</v>
      </c>
      <c r="BA238" s="4">
        <f>Base[[#This Row],['[SC']'[Dépendance']Coût_retraite_personnes_dépendantes]]/Base[[#This Row],[Population_totale]]</f>
        <v>0</v>
      </c>
      <c r="BB2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8" s="4">
        <f>Base[[#This Row],['[SC']'[Dépendance']Gains]]-Base[[#This Row],['[SC']'[Dépendance']Coûts]]</f>
        <v>0</v>
      </c>
      <c r="BD238" s="4">
        <f>IF(Base[[#This Row],[Pathologie]]&lt;&gt;"Mort prématurée",0,Base[[#This Row],[Risque]]*Base[[#This Row],[Prévalence]]*Base[[#This Row],[Population_totale]])</f>
        <v>0</v>
      </c>
      <c r="BE238" s="4">
        <v>52.74</v>
      </c>
      <c r="BF238" s="4">
        <f>Base[[#This Row],['[SC']Âge_moyen_retraite]]-Base[[#This Row],['[SC']'[Mort_prématurée']Âge_moyen_mort précoce]]</f>
        <v>10.159999999999997</v>
      </c>
      <c r="BG238" s="4">
        <f>Base[[#This Row],[Espérance_vie]]+Base[[#This Row],['[SC']Hausse_esp_de_vie]]-Base[[#This Row],['[SC']Âge_moyen_retraite]]</f>
        <v>19.90101171382144</v>
      </c>
      <c r="BH238" s="4">
        <v>106583.42676924677</v>
      </c>
      <c r="BI238" s="4">
        <v>97601.789429271477</v>
      </c>
      <c r="BJ238" s="4">
        <v>302038.31496633729</v>
      </c>
      <c r="BK238" s="4">
        <v>117293.58934859755</v>
      </c>
      <c r="BL238" s="4">
        <v>1523999.9999999995</v>
      </c>
      <c r="BM2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8" s="4">
        <v>294804.96027377353</v>
      </c>
      <c r="BO2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8" s="4">
        <f>(Base[[#This Row],['[SC']'[Mort_prématurée']Gains]]-Base[[#This Row],['[SC']'[Mort_prématurée']Coûts]])/Base[[#This Row],[Population_totale]]</f>
        <v>0</v>
      </c>
      <c r="BQ238" s="4">
        <f>IF(Base[[#This Row],[Pathologie]]&lt;&gt;"Mort prématurée",0,Base[[#This Row],[Risque]])</f>
        <v>0</v>
      </c>
      <c r="BR238" s="4">
        <v>2680</v>
      </c>
      <c r="BS2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8" s="4">
        <f>Base[[#This Row],[Prévalence_prod]]*(1-Base[[#This Row],[Risque]])*Base[[#This Row],[Durée_arrêt]]*Base[[#This Row],[Population_emploi]]</f>
        <v>0</v>
      </c>
      <c r="BV238" s="4">
        <f>Base[[#This Row],['[Prod']'[Absentéisme']Total_jours_absence_avant]]-Base[[#This Row],['[Prod']'[Absentéisme']Total_jours_absence_après]]</f>
        <v>0</v>
      </c>
      <c r="BW238" s="4">
        <f>IF(AND(Base[[#This Row],[Pathologie]]&lt;&gt;"Dépendance",Base[[#This Row],[Pathologie]]&lt;&gt;"Mort prématurée",Base[[#This Row],[Pathologie]]&lt;&gt;"Migraine"),0.0619,0)</f>
        <v>0</v>
      </c>
      <c r="BX238" s="4">
        <v>254</v>
      </c>
      <c r="BY23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8" s="4">
        <f>Base[[#This Row],[Prévalence_prod]]*Base[[#This Row],[Présentéisme]]*Base[[#This Row],['[Prod']Jours_ouvrés]]</f>
        <v>6.4516000000000009</v>
      </c>
      <c r="CB238" s="4">
        <f>Base[[#This Row],[Prévalence_prod]]*(1-Base[[#This Row],[Risque]])*Base[[#This Row],[Présentéisme]]*Base[[#This Row],['[Prod']Jours_ouvrés]]</f>
        <v>5.0967640000000012</v>
      </c>
      <c r="CC238" s="4">
        <f>Base[[#This Row],['[Prod']'[Présentéisme']Jours_avant]]-Base[[#This Row],['[Prod']'[Présentéisme']Jours_après]]</f>
        <v>1.3548359999999997</v>
      </c>
      <c r="CD238" s="4">
        <f>Base[[#This Row],['[Prod']'[Présentéisme']Jours_gagnés]]/Base[[#This Row],['[Prod']Jours_ouvrés]]</f>
        <v>5.3339999999999985E-3</v>
      </c>
      <c r="CE238">
        <v>5.8333039429220801E-2</v>
      </c>
      <c r="CF238">
        <v>1.4658164114728258E-2</v>
      </c>
      <c r="CG238" s="4">
        <v>11</v>
      </c>
      <c r="CH238" s="4">
        <v>0.49446424657188709</v>
      </c>
      <c r="CI238" s="4">
        <v>1.0795805058605798E-2</v>
      </c>
      <c r="CJ238" s="4">
        <f>IF(Base[[#This Row],[Secteur]]&lt;&gt;"Moyenne",Base[[#This Row],['[Prod']'[Turnover']DMC_initiale]]*(1+Base[[#This Row],['[Prod']'[Turnover']Ecart_accidents]]*Base[[#This Row],['[Prod']Impact_motifs_turnover]]),CJ221*CI221+CJ222*CI222+CJ223*CI223+CJ224*CI224+CJ225*CI225+CJ226*CI226+CJ227*CI227+CJ228*CI228+CJ229*CI229+CJ230*CI230+CJ231*CI231+CJ232*CI232+CJ233*CI233+CJ234*CI234+CJ235*CI235+CJ236*CI236+CJ237*CI237)</f>
        <v>11.079727318826279</v>
      </c>
      <c r="CK238" s="4">
        <f>1/Base[[#This Row],['[Prod']'[Turnover']DMC_initiale]]</f>
        <v>9.0909090909090912E-2</v>
      </c>
      <c r="CL238" s="4">
        <f>1/Base[[#This Row],['[Prod']'[Turnover']DMC_finale]]</f>
        <v>9.025492877436031E-2</v>
      </c>
    </row>
    <row r="239" spans="2:90" x14ac:dyDescent="0.25">
      <c r="B239" s="4" t="s">
        <v>321</v>
      </c>
      <c r="C239">
        <v>7.5</v>
      </c>
      <c r="D239" t="s">
        <v>84</v>
      </c>
      <c r="E239" t="s">
        <v>97</v>
      </c>
      <c r="F239" s="3">
        <v>0.21</v>
      </c>
      <c r="G239" s="3">
        <v>0.2</v>
      </c>
      <c r="H239" s="3">
        <v>0.2</v>
      </c>
      <c r="I239" s="3">
        <v>0.127</v>
      </c>
      <c r="J239" s="3">
        <v>0</v>
      </c>
      <c r="K239" s="3">
        <v>7.0000000000000007E-2</v>
      </c>
      <c r="L239" s="2">
        <f>Base[[#This Row],[Coût]]*Base[[#This Row],[Part_ménages_dépenses_santé]]</f>
        <v>0</v>
      </c>
      <c r="M239" s="2">
        <v>0</v>
      </c>
      <c r="N239" s="6">
        <v>27700000</v>
      </c>
      <c r="O239" s="7">
        <f>Base[[#This Row],[Coût_salarié]]*10^9*Base[[#This Row],[Risque]]*Base[[#This Row],[Prévalence]]*Base[[#This Row],[Part_coûts_salarié]]/Base[[#This Row],[Population_emploi]]</f>
        <v>0</v>
      </c>
      <c r="P239">
        <v>50</v>
      </c>
      <c r="Q239">
        <v>50</v>
      </c>
      <c r="R239" s="2">
        <v>9.9999999999999978E-2</v>
      </c>
      <c r="S239" s="2">
        <v>0.33340000000000003</v>
      </c>
      <c r="T239" s="4">
        <v>0</v>
      </c>
      <c r="U239" s="4">
        <f>IF(Bases_annexes!$F$5=0,16.6587111018772,0.77*Bases_annexes!$F$5/(IF(OR(ISBLANK('Données_d''entrée'!$E$44),'Données_d''entrée'!$E$44=0),35,'Données_d''entrée'!$E$44)*52))</f>
        <v>16.658711101877199</v>
      </c>
      <c r="V239" s="4">
        <v>0</v>
      </c>
      <c r="W2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39" s="4">
        <v>234.5</v>
      </c>
      <c r="Y239" s="4">
        <f>(Base[[#This Row],['[Maladies']Coûts_évités_par_salarié]]+Base[[#This Row],['[Travail']Coûts_évités_par_salarié]])/Base[[#This Row],[Budget_santé_salarié]]</f>
        <v>0</v>
      </c>
      <c r="Z239" s="4">
        <v>0.8</v>
      </c>
      <c r="AA239" s="4">
        <f>Base[[#This Row],[Coût]]*Base[[#This Row],[Part_société_dépenses_santé]]</f>
        <v>0</v>
      </c>
      <c r="AB239" s="4">
        <v>67635124</v>
      </c>
      <c r="AC239" s="4">
        <v>82.297079063317852</v>
      </c>
      <c r="AD239" s="4">
        <v>0</v>
      </c>
      <c r="AE239" s="4">
        <f>Base[[#This Row],['[SC']Prévalence_travail]]*Base[[#This Row],[Population_emploi]]</f>
        <v>0</v>
      </c>
      <c r="AF239" s="4">
        <f>Base[[#This Row],[Risque]]*Base[[#This Row],['[SC']Patients_en_emploi]]</f>
        <v>0</v>
      </c>
      <c r="AG239" s="4"/>
      <c r="AH239" s="4">
        <f>IFERROR(Base[[#This Row],['[SC']Prestations]]/Base[[#This Row],['[SC']Patients_en_emploi]],0)</f>
        <v>0</v>
      </c>
      <c r="AI239" s="4"/>
      <c r="AJ2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39" s="4">
        <f>Base[[#This Row],['[SC']'[Travail']Coûts_évités]]/Base[[#This Row],[Population_emploi]]</f>
        <v>0</v>
      </c>
      <c r="AL239" s="4">
        <f>Base[[#This Row],[Coût_société]]*10^9*Base[[#This Row],[Risque]]*Base[[#This Row],[Prévalence]]*Base[[#This Row],[Part_coûts_salarié]]/Base[[#This Row],[Population_emploi]]</f>
        <v>0</v>
      </c>
      <c r="AM239" s="4">
        <f>IF(Base[[#This Row],[Pathologie]]&lt;&gt;"Dépendance",0,14909.24243952)</f>
        <v>0</v>
      </c>
      <c r="AN239" s="4">
        <f>IF(Base[[#This Row],[Pathologie]]&lt;&gt;"Dépendance",0,1316000)</f>
        <v>0</v>
      </c>
      <c r="AO239" s="4">
        <f>IF(Base[[#This Row],[Pathologie]]&lt;&gt;"Dépendance",0,Base[[#This Row],['[SC']Coût_personne_dépendante]]*Base[[#This Row],['[SC']Nb_personnes_dépendantes]])</f>
        <v>0</v>
      </c>
      <c r="AP239" s="4">
        <f>IF(Base[[#This Row],[Pathologie]]&lt;&gt;"Dépendance",0,Base[[#This Row],['[SC']Coût_total_dépendance]]/Base[[#This Row],[Population_totale]])</f>
        <v>0</v>
      </c>
      <c r="AQ239" s="4">
        <f>IF(Base[[#This Row],[Pathologie]]&lt;&gt;"Dépendance",0,4.5)</f>
        <v>0</v>
      </c>
      <c r="AR239" s="4">
        <v>0.50393265050357905</v>
      </c>
      <c r="AS239" s="4">
        <f>Base[[#This Row],[Espérance_vie]]+Base[[#This Row],['[SC']Hausse_esp_de_vie]]-Base[[#This Row],['[SC']Durée_moyenne_dépendance_avt]]+Base[[#This Row],[Risque]]</f>
        <v>83.011011713821432</v>
      </c>
      <c r="AT2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39" s="4">
        <v>62.9</v>
      </c>
      <c r="AW239" s="4">
        <f t="shared" si="2"/>
        <v>336905600000</v>
      </c>
      <c r="AX239" s="4">
        <v>15049171</v>
      </c>
      <c r="AY239" s="4">
        <f>Base[[#This Row],['[SC']Budget_total_retraites]]/Base[[#This Row],['[SC']Nombre_de_retraités]]</f>
        <v>22386.987296509556</v>
      </c>
      <c r="AZ239" s="4">
        <f>Base[[#This Row],['[SC']Budget_par_retraité]]*Base[[#This Row],['[SC']Nb_personnes_dépendantes]]</f>
        <v>0</v>
      </c>
      <c r="BA239" s="4">
        <f>Base[[#This Row],['[SC']'[Dépendance']Coût_retraite_personnes_dépendantes]]/Base[[#This Row],[Population_totale]]</f>
        <v>0</v>
      </c>
      <c r="BB2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39" s="4">
        <f>Base[[#This Row],['[SC']'[Dépendance']Gains]]-Base[[#This Row],['[SC']'[Dépendance']Coûts]]</f>
        <v>0</v>
      </c>
      <c r="BD239" s="4">
        <f>IF(Base[[#This Row],[Pathologie]]&lt;&gt;"Mort prématurée",0,Base[[#This Row],[Risque]]*Base[[#This Row],[Prévalence]]*Base[[#This Row],[Population_totale]])</f>
        <v>0</v>
      </c>
      <c r="BE239" s="4">
        <v>52.74</v>
      </c>
      <c r="BF239" s="4">
        <f>Base[[#This Row],['[SC']Âge_moyen_retraite]]-Base[[#This Row],['[SC']'[Mort_prématurée']Âge_moyen_mort précoce]]</f>
        <v>10.159999999999997</v>
      </c>
      <c r="BG239" s="4">
        <f>Base[[#This Row],[Espérance_vie]]+Base[[#This Row],['[SC']Hausse_esp_de_vie]]-Base[[#This Row],['[SC']Âge_moyen_retraite]]</f>
        <v>19.90101171382144</v>
      </c>
      <c r="BH239" s="4">
        <v>106583.42676924677</v>
      </c>
      <c r="BI239" s="4">
        <v>97601.789429271477</v>
      </c>
      <c r="BJ239" s="4">
        <v>302038.31496633729</v>
      </c>
      <c r="BK239" s="4">
        <v>117293.58934859755</v>
      </c>
      <c r="BL239" s="4">
        <v>1523999.9999999995</v>
      </c>
      <c r="BM2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39" s="4">
        <v>294804.96027377353</v>
      </c>
      <c r="BO2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39" s="4">
        <f>(Base[[#This Row],['[SC']'[Mort_prématurée']Gains]]-Base[[#This Row],['[SC']'[Mort_prématurée']Coûts]])/Base[[#This Row],[Population_totale]]</f>
        <v>0</v>
      </c>
      <c r="BQ239" s="4">
        <f>IF(Base[[#This Row],[Pathologie]]&lt;&gt;"Mort prématurée",0,Base[[#This Row],[Risque]])</f>
        <v>0</v>
      </c>
      <c r="BR239" s="4">
        <v>2680</v>
      </c>
      <c r="BS2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39" s="4">
        <f>Base[[#This Row],[Prévalence_prod]]*(1-Base[[#This Row],[Risque]])*Base[[#This Row],[Durée_arrêt]]*Base[[#This Row],[Population_emploi]]</f>
        <v>0</v>
      </c>
      <c r="BV239" s="4">
        <f>Base[[#This Row],['[Prod']'[Absentéisme']Total_jours_absence_avant]]-Base[[#This Row],['[Prod']'[Absentéisme']Total_jours_absence_après]]</f>
        <v>0</v>
      </c>
      <c r="BW239" s="4">
        <f>IF(AND(Base[[#This Row],[Pathologie]]&lt;&gt;"Dépendance",Base[[#This Row],[Pathologie]]&lt;&gt;"Mort prématurée",Base[[#This Row],[Pathologie]]&lt;&gt;"Migraine"),0.0619,0)</f>
        <v>0</v>
      </c>
      <c r="BX239" s="4">
        <v>254</v>
      </c>
      <c r="BY23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3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39" s="4">
        <f>Base[[#This Row],[Prévalence_prod]]*Base[[#This Row],[Présentéisme]]*Base[[#This Row],['[Prod']Jours_ouvrés]]</f>
        <v>6.4516000000000009</v>
      </c>
      <c r="CB239" s="4">
        <f>Base[[#This Row],[Prévalence_prod]]*(1-Base[[#This Row],[Risque]])*Base[[#This Row],[Présentéisme]]*Base[[#This Row],['[Prod']Jours_ouvrés]]</f>
        <v>5.0967640000000012</v>
      </c>
      <c r="CC239" s="4">
        <f>Base[[#This Row],['[Prod']'[Présentéisme']Jours_avant]]-Base[[#This Row],['[Prod']'[Présentéisme']Jours_après]]</f>
        <v>1.3548359999999997</v>
      </c>
      <c r="CD239" s="4">
        <f>Base[[#This Row],['[Prod']'[Présentéisme']Jours_gagnés]]/Base[[#This Row],['[Prod']Jours_ouvrés]]</f>
        <v>5.3339999999999985E-3</v>
      </c>
      <c r="CE239">
        <v>5.8333039429220801E-2</v>
      </c>
      <c r="CF239">
        <v>1.4658164114728258E-2</v>
      </c>
      <c r="CG239" s="4">
        <v>11</v>
      </c>
      <c r="CH239" s="4">
        <v>0.85274500894619554</v>
      </c>
      <c r="CI239" s="4">
        <v>4.2903496994109176E-2</v>
      </c>
      <c r="CJ239" s="4">
        <f>IF(Base[[#This Row],[Secteur]]&lt;&gt;"Moyenne",Base[[#This Row],['[Prod']'[Turnover']DMC_initiale]]*(1+Base[[#This Row],['[Prod']'[Turnover']Ecart_accidents]]*Base[[#This Row],['[Prod']Impact_motifs_turnover]]),CJ222*CI222+CJ223*CI223+CJ224*CI224+CJ225*CI225+CJ226*CI226+CJ227*CI227+CJ228*CI228+CJ229*CI229+CJ230*CI230+CJ231*CI231+CJ232*CI232+CJ233*CI233+CJ234*CI234+CJ235*CI235+CJ236*CI236+CJ237*CI237+CJ238*CI238)</f>
        <v>11.137496439180635</v>
      </c>
      <c r="CK239" s="4">
        <f>1/Base[[#This Row],['[Prod']'[Turnover']DMC_initiale]]</f>
        <v>9.0909090909090912E-2</v>
      </c>
      <c r="CL239" s="4">
        <f>1/Base[[#This Row],['[Prod']'[Turnover']DMC_finale]]</f>
        <v>8.9786785159553156E-2</v>
      </c>
    </row>
    <row r="240" spans="2:90" x14ac:dyDescent="0.25">
      <c r="B240" s="4" t="s">
        <v>322</v>
      </c>
      <c r="C240">
        <v>7.5</v>
      </c>
      <c r="D240" t="s">
        <v>84</v>
      </c>
      <c r="E240" t="s">
        <v>97</v>
      </c>
      <c r="F240" s="3">
        <v>0.21</v>
      </c>
      <c r="G240" s="3">
        <v>0.2</v>
      </c>
      <c r="H240" s="3">
        <v>0.2</v>
      </c>
      <c r="I240" s="3">
        <v>0.127</v>
      </c>
      <c r="J240" s="3">
        <v>0</v>
      </c>
      <c r="K240" s="3">
        <v>7.0000000000000007E-2</v>
      </c>
      <c r="L240" s="2">
        <f>Base[[#This Row],[Coût]]*Base[[#This Row],[Part_ménages_dépenses_santé]]</f>
        <v>0</v>
      </c>
      <c r="M240" s="2">
        <v>0</v>
      </c>
      <c r="N240" s="6">
        <v>27700000</v>
      </c>
      <c r="O240" s="7">
        <f>Base[[#This Row],[Coût_salarié]]*10^9*Base[[#This Row],[Risque]]*Base[[#This Row],[Prévalence]]*Base[[#This Row],[Part_coûts_salarié]]/Base[[#This Row],[Population_emploi]]</f>
        <v>0</v>
      </c>
      <c r="P240">
        <v>50</v>
      </c>
      <c r="Q240">
        <v>50</v>
      </c>
      <c r="R240" s="2">
        <v>9.9999999999999978E-2</v>
      </c>
      <c r="S240" s="2">
        <v>0.33340000000000003</v>
      </c>
      <c r="T240" s="4">
        <v>0</v>
      </c>
      <c r="U240" s="4">
        <f>IF(Bases_annexes!$F$5=0,16.6587111018772,0.77*Bases_annexes!$F$5/(IF(OR(ISBLANK('Données_d''entrée'!$E$44),'Données_d''entrée'!$E$44=0),35,'Données_d''entrée'!$E$44)*52))</f>
        <v>16.658711101877199</v>
      </c>
      <c r="V240" s="4">
        <v>0</v>
      </c>
      <c r="W2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0" s="4">
        <v>234.5</v>
      </c>
      <c r="Y240" s="4">
        <f>(Base[[#This Row],['[Maladies']Coûts_évités_par_salarié]]+Base[[#This Row],['[Travail']Coûts_évités_par_salarié]])/Base[[#This Row],[Budget_santé_salarié]]</f>
        <v>0</v>
      </c>
      <c r="Z240" s="4">
        <v>0.8</v>
      </c>
      <c r="AA240" s="4">
        <f>Base[[#This Row],[Coût]]*Base[[#This Row],[Part_société_dépenses_santé]]</f>
        <v>0</v>
      </c>
      <c r="AB240" s="4">
        <v>67635124</v>
      </c>
      <c r="AC240" s="4">
        <v>82.297079063317852</v>
      </c>
      <c r="AD240" s="4">
        <v>0</v>
      </c>
      <c r="AE240" s="4">
        <f>Base[[#This Row],['[SC']Prévalence_travail]]*Base[[#This Row],[Population_emploi]]</f>
        <v>0</v>
      </c>
      <c r="AF240" s="4">
        <f>Base[[#This Row],[Risque]]*Base[[#This Row],['[SC']Patients_en_emploi]]</f>
        <v>0</v>
      </c>
      <c r="AG240" s="4"/>
      <c r="AH240" s="4">
        <f>IFERROR(Base[[#This Row],['[SC']Prestations]]/Base[[#This Row],['[SC']Patients_en_emploi]],0)</f>
        <v>0</v>
      </c>
      <c r="AI240" s="4"/>
      <c r="AJ2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0" s="4">
        <f>Base[[#This Row],['[SC']'[Travail']Coûts_évités]]/Base[[#This Row],[Population_emploi]]</f>
        <v>0</v>
      </c>
      <c r="AL240" s="4">
        <f>Base[[#This Row],[Coût_société]]*10^9*Base[[#This Row],[Risque]]*Base[[#This Row],[Prévalence]]*Base[[#This Row],[Part_coûts_salarié]]/Base[[#This Row],[Population_emploi]]</f>
        <v>0</v>
      </c>
      <c r="AM240" s="4">
        <f>IF(Base[[#This Row],[Pathologie]]&lt;&gt;"Dépendance",0,14909.24243952)</f>
        <v>0</v>
      </c>
      <c r="AN240" s="4">
        <f>IF(Base[[#This Row],[Pathologie]]&lt;&gt;"Dépendance",0,1316000)</f>
        <v>0</v>
      </c>
      <c r="AO240" s="4">
        <f>IF(Base[[#This Row],[Pathologie]]&lt;&gt;"Dépendance",0,Base[[#This Row],['[SC']Coût_personne_dépendante]]*Base[[#This Row],['[SC']Nb_personnes_dépendantes]])</f>
        <v>0</v>
      </c>
      <c r="AP240" s="4">
        <f>IF(Base[[#This Row],[Pathologie]]&lt;&gt;"Dépendance",0,Base[[#This Row],['[SC']Coût_total_dépendance]]/Base[[#This Row],[Population_totale]])</f>
        <v>0</v>
      </c>
      <c r="AQ240" s="4">
        <f>IF(Base[[#This Row],[Pathologie]]&lt;&gt;"Dépendance",0,4.5)</f>
        <v>0</v>
      </c>
      <c r="AR240" s="4">
        <v>0.50393265050357905</v>
      </c>
      <c r="AS240" s="4">
        <f>Base[[#This Row],[Espérance_vie]]+Base[[#This Row],['[SC']Hausse_esp_de_vie]]-Base[[#This Row],['[SC']Durée_moyenne_dépendance_avt]]+Base[[#This Row],[Risque]]</f>
        <v>83.011011713821432</v>
      </c>
      <c r="AT2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0" s="4">
        <v>62.9</v>
      </c>
      <c r="AW240" s="4">
        <f t="shared" si="2"/>
        <v>336905600000</v>
      </c>
      <c r="AX240" s="4">
        <v>15049171</v>
      </c>
      <c r="AY240" s="4">
        <f>Base[[#This Row],['[SC']Budget_total_retraites]]/Base[[#This Row],['[SC']Nombre_de_retraités]]</f>
        <v>22386.987296509556</v>
      </c>
      <c r="AZ240" s="4">
        <f>Base[[#This Row],['[SC']Budget_par_retraité]]*Base[[#This Row],['[SC']Nb_personnes_dépendantes]]</f>
        <v>0</v>
      </c>
      <c r="BA240" s="4">
        <f>Base[[#This Row],['[SC']'[Dépendance']Coût_retraite_personnes_dépendantes]]/Base[[#This Row],[Population_totale]]</f>
        <v>0</v>
      </c>
      <c r="BB2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0" s="4">
        <f>Base[[#This Row],['[SC']'[Dépendance']Gains]]-Base[[#This Row],['[SC']'[Dépendance']Coûts]]</f>
        <v>0</v>
      </c>
      <c r="BD240" s="4">
        <f>IF(Base[[#This Row],[Pathologie]]&lt;&gt;"Mort prématurée",0,Base[[#This Row],[Risque]]*Base[[#This Row],[Prévalence]]*Base[[#This Row],[Population_totale]])</f>
        <v>0</v>
      </c>
      <c r="BE240" s="4">
        <v>52.74</v>
      </c>
      <c r="BF240" s="4">
        <f>Base[[#This Row],['[SC']Âge_moyen_retraite]]-Base[[#This Row],['[SC']'[Mort_prématurée']Âge_moyen_mort précoce]]</f>
        <v>10.159999999999997</v>
      </c>
      <c r="BG240" s="4">
        <f>Base[[#This Row],[Espérance_vie]]+Base[[#This Row],['[SC']Hausse_esp_de_vie]]-Base[[#This Row],['[SC']Âge_moyen_retraite]]</f>
        <v>19.90101171382144</v>
      </c>
      <c r="BH240" s="4">
        <v>106583.42676924677</v>
      </c>
      <c r="BI240" s="4">
        <v>97601.789429271477</v>
      </c>
      <c r="BJ240" s="4">
        <v>302038.31496633729</v>
      </c>
      <c r="BK240" s="4">
        <v>117293.58934859755</v>
      </c>
      <c r="BL240" s="4">
        <v>1523999.9999999995</v>
      </c>
      <c r="BM2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0" s="4">
        <v>294804.96027377353</v>
      </c>
      <c r="BO2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0" s="4">
        <f>(Base[[#This Row],['[SC']'[Mort_prématurée']Gains]]-Base[[#This Row],['[SC']'[Mort_prématurée']Coûts]])/Base[[#This Row],[Population_totale]]</f>
        <v>0</v>
      </c>
      <c r="BQ240" s="4">
        <f>IF(Base[[#This Row],[Pathologie]]&lt;&gt;"Mort prématurée",0,Base[[#This Row],[Risque]])</f>
        <v>0</v>
      </c>
      <c r="BR240" s="4">
        <v>2680</v>
      </c>
      <c r="BS2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0" s="4">
        <f>Base[[#This Row],[Prévalence_prod]]*(1-Base[[#This Row],[Risque]])*Base[[#This Row],[Durée_arrêt]]*Base[[#This Row],[Population_emploi]]</f>
        <v>0</v>
      </c>
      <c r="BV240" s="4">
        <f>Base[[#This Row],['[Prod']'[Absentéisme']Total_jours_absence_avant]]-Base[[#This Row],['[Prod']'[Absentéisme']Total_jours_absence_après]]</f>
        <v>0</v>
      </c>
      <c r="BW240" s="4">
        <f>IF(AND(Base[[#This Row],[Pathologie]]&lt;&gt;"Dépendance",Base[[#This Row],[Pathologie]]&lt;&gt;"Mort prématurée",Base[[#This Row],[Pathologie]]&lt;&gt;"Migraine"),0.0619,0)</f>
        <v>0</v>
      </c>
      <c r="BX240" s="4">
        <v>254</v>
      </c>
      <c r="BY24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0" s="4">
        <f>Base[[#This Row],[Prévalence_prod]]*Base[[#This Row],[Présentéisme]]*Base[[#This Row],['[Prod']Jours_ouvrés]]</f>
        <v>6.4516000000000009</v>
      </c>
      <c r="CB240" s="4">
        <f>Base[[#This Row],[Prévalence_prod]]*(1-Base[[#This Row],[Risque]])*Base[[#This Row],[Présentéisme]]*Base[[#This Row],['[Prod']Jours_ouvrés]]</f>
        <v>5.0967640000000012</v>
      </c>
      <c r="CC240" s="4">
        <f>Base[[#This Row],['[Prod']'[Présentéisme']Jours_avant]]-Base[[#This Row],['[Prod']'[Présentéisme']Jours_après]]</f>
        <v>1.3548359999999997</v>
      </c>
      <c r="CD240" s="4">
        <f>Base[[#This Row],['[Prod']'[Présentéisme']Jours_gagnés]]/Base[[#This Row],['[Prod']Jours_ouvrés]]</f>
        <v>5.3339999999999985E-3</v>
      </c>
      <c r="CE240">
        <v>5.8333039429220801E-2</v>
      </c>
      <c r="CF240">
        <v>1.4658164114728258E-2</v>
      </c>
      <c r="CG240" s="4">
        <v>11</v>
      </c>
      <c r="CH240" s="4">
        <v>1.6219398392978641</v>
      </c>
      <c r="CI240" s="4">
        <v>9.628527536862988E-2</v>
      </c>
      <c r="CJ240" s="4">
        <f>IF(Base[[#This Row],[Secteur]]&lt;&gt;"Moyenne",Base[[#This Row],['[Prod']'[Turnover']DMC_initiale]]*(1+Base[[#This Row],['[Prod']'[Turnover']Ecart_accidents]]*Base[[#This Row],['[Prod']Impact_motifs_turnover]]),CJ223*CI223+CJ224*CI224+CJ225*CI225+CJ226*CI226+CJ227*CI227+CJ228*CI228+CJ229*CI229+CJ230*CI230+CJ231*CI231+CJ232*CI232+CJ233*CI233+CJ234*CI234+CJ235*CI235+CJ236*CI236+CJ237*CI237+CJ238*CI238+CJ239*CI239)</f>
        <v>11.261521263835085</v>
      </c>
      <c r="CK240" s="4">
        <f>1/Base[[#This Row],['[Prod']'[Turnover']DMC_initiale]]</f>
        <v>9.0909090909090912E-2</v>
      </c>
      <c r="CL240" s="4">
        <f>1/Base[[#This Row],['[Prod']'[Turnover']DMC_finale]]</f>
        <v>8.8797949812639457E-2</v>
      </c>
    </row>
    <row r="241" spans="2:90" x14ac:dyDescent="0.25">
      <c r="B241" s="4" t="s">
        <v>323</v>
      </c>
      <c r="C241">
        <v>7.5</v>
      </c>
      <c r="D241" t="s">
        <v>84</v>
      </c>
      <c r="E241" t="s">
        <v>97</v>
      </c>
      <c r="F241" s="3">
        <v>0.21</v>
      </c>
      <c r="G241" s="3">
        <v>0.2</v>
      </c>
      <c r="H241" s="3">
        <v>0.2</v>
      </c>
      <c r="I241" s="3">
        <v>0.127</v>
      </c>
      <c r="J241" s="3">
        <v>0</v>
      </c>
      <c r="K241" s="3">
        <v>7.0000000000000007E-2</v>
      </c>
      <c r="L241" s="2">
        <f>Base[[#This Row],[Coût]]*Base[[#This Row],[Part_ménages_dépenses_santé]]</f>
        <v>0</v>
      </c>
      <c r="M241" s="2">
        <v>0</v>
      </c>
      <c r="N241" s="6">
        <v>27700000</v>
      </c>
      <c r="O241" s="7">
        <f>Base[[#This Row],[Coût_salarié]]*10^9*Base[[#This Row],[Risque]]*Base[[#This Row],[Prévalence]]*Base[[#This Row],[Part_coûts_salarié]]/Base[[#This Row],[Population_emploi]]</f>
        <v>0</v>
      </c>
      <c r="P241">
        <v>50</v>
      </c>
      <c r="Q241">
        <v>50</v>
      </c>
      <c r="R241" s="2">
        <v>9.9999999999999978E-2</v>
      </c>
      <c r="S241" s="2">
        <v>0.33340000000000003</v>
      </c>
      <c r="T241" s="4">
        <v>0</v>
      </c>
      <c r="U241" s="4">
        <f>IF(Bases_annexes!$F$5=0,16.6587111018772,0.77*Bases_annexes!$F$5/(IF(OR(ISBLANK('Données_d''entrée'!$E$44),'Données_d''entrée'!$E$44=0),35,'Données_d''entrée'!$E$44)*52))</f>
        <v>16.658711101877199</v>
      </c>
      <c r="V241" s="4">
        <v>0</v>
      </c>
      <c r="W2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1" s="4">
        <v>234.5</v>
      </c>
      <c r="Y241" s="4">
        <f>(Base[[#This Row],['[Maladies']Coûts_évités_par_salarié]]+Base[[#This Row],['[Travail']Coûts_évités_par_salarié]])/Base[[#This Row],[Budget_santé_salarié]]</f>
        <v>0</v>
      </c>
      <c r="Z241" s="4">
        <v>0.8</v>
      </c>
      <c r="AA241" s="4">
        <f>Base[[#This Row],[Coût]]*Base[[#This Row],[Part_société_dépenses_santé]]</f>
        <v>0</v>
      </c>
      <c r="AB241" s="4">
        <v>67635124</v>
      </c>
      <c r="AC241" s="4">
        <v>82.297079063317852</v>
      </c>
      <c r="AD241" s="4">
        <v>0</v>
      </c>
      <c r="AE241" s="4">
        <f>Base[[#This Row],['[SC']Prévalence_travail]]*Base[[#This Row],[Population_emploi]]</f>
        <v>0</v>
      </c>
      <c r="AF241" s="4">
        <f>Base[[#This Row],[Risque]]*Base[[#This Row],['[SC']Patients_en_emploi]]</f>
        <v>0</v>
      </c>
      <c r="AG241" s="4"/>
      <c r="AH241" s="4">
        <f>IFERROR(Base[[#This Row],['[SC']Prestations]]/Base[[#This Row],['[SC']Patients_en_emploi]],0)</f>
        <v>0</v>
      </c>
      <c r="AI241" s="4"/>
      <c r="AJ2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1" s="4">
        <f>Base[[#This Row],['[SC']'[Travail']Coûts_évités]]/Base[[#This Row],[Population_emploi]]</f>
        <v>0</v>
      </c>
      <c r="AL241" s="4">
        <f>Base[[#This Row],[Coût_société]]*10^9*Base[[#This Row],[Risque]]*Base[[#This Row],[Prévalence]]*Base[[#This Row],[Part_coûts_salarié]]/Base[[#This Row],[Population_emploi]]</f>
        <v>0</v>
      </c>
      <c r="AM241" s="4">
        <f>IF(Base[[#This Row],[Pathologie]]&lt;&gt;"Dépendance",0,14909.24243952)</f>
        <v>0</v>
      </c>
      <c r="AN241" s="4">
        <f>IF(Base[[#This Row],[Pathologie]]&lt;&gt;"Dépendance",0,1316000)</f>
        <v>0</v>
      </c>
      <c r="AO241" s="4">
        <f>IF(Base[[#This Row],[Pathologie]]&lt;&gt;"Dépendance",0,Base[[#This Row],['[SC']Coût_personne_dépendante]]*Base[[#This Row],['[SC']Nb_personnes_dépendantes]])</f>
        <v>0</v>
      </c>
      <c r="AP241" s="4">
        <f>IF(Base[[#This Row],[Pathologie]]&lt;&gt;"Dépendance",0,Base[[#This Row],['[SC']Coût_total_dépendance]]/Base[[#This Row],[Population_totale]])</f>
        <v>0</v>
      </c>
      <c r="AQ241" s="4">
        <f>IF(Base[[#This Row],[Pathologie]]&lt;&gt;"Dépendance",0,4.5)</f>
        <v>0</v>
      </c>
      <c r="AR241" s="4">
        <v>0.50393265050357905</v>
      </c>
      <c r="AS241" s="4">
        <f>Base[[#This Row],[Espérance_vie]]+Base[[#This Row],['[SC']Hausse_esp_de_vie]]-Base[[#This Row],['[SC']Durée_moyenne_dépendance_avt]]+Base[[#This Row],[Risque]]</f>
        <v>83.011011713821432</v>
      </c>
      <c r="AT2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1" s="4">
        <v>62.9</v>
      </c>
      <c r="AW241" s="4">
        <f t="shared" si="2"/>
        <v>336905600000</v>
      </c>
      <c r="AX241" s="4">
        <v>15049171</v>
      </c>
      <c r="AY241" s="4">
        <f>Base[[#This Row],['[SC']Budget_total_retraites]]/Base[[#This Row],['[SC']Nombre_de_retraités]]</f>
        <v>22386.987296509556</v>
      </c>
      <c r="AZ241" s="4">
        <f>Base[[#This Row],['[SC']Budget_par_retraité]]*Base[[#This Row],['[SC']Nb_personnes_dépendantes]]</f>
        <v>0</v>
      </c>
      <c r="BA241" s="4">
        <f>Base[[#This Row],['[SC']'[Dépendance']Coût_retraite_personnes_dépendantes]]/Base[[#This Row],[Population_totale]]</f>
        <v>0</v>
      </c>
      <c r="BB2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1" s="4">
        <f>Base[[#This Row],['[SC']'[Dépendance']Gains]]-Base[[#This Row],['[SC']'[Dépendance']Coûts]]</f>
        <v>0</v>
      </c>
      <c r="BD241" s="4">
        <f>IF(Base[[#This Row],[Pathologie]]&lt;&gt;"Mort prématurée",0,Base[[#This Row],[Risque]]*Base[[#This Row],[Prévalence]]*Base[[#This Row],[Population_totale]])</f>
        <v>0</v>
      </c>
      <c r="BE241" s="4">
        <v>52.74</v>
      </c>
      <c r="BF241" s="4">
        <f>Base[[#This Row],['[SC']Âge_moyen_retraite]]-Base[[#This Row],['[SC']'[Mort_prématurée']Âge_moyen_mort précoce]]</f>
        <v>10.159999999999997</v>
      </c>
      <c r="BG241" s="4">
        <f>Base[[#This Row],[Espérance_vie]]+Base[[#This Row],['[SC']Hausse_esp_de_vie]]-Base[[#This Row],['[SC']Âge_moyen_retraite]]</f>
        <v>19.90101171382144</v>
      </c>
      <c r="BH241" s="4">
        <v>106583.42676924677</v>
      </c>
      <c r="BI241" s="4">
        <v>97601.789429271477</v>
      </c>
      <c r="BJ241" s="4">
        <v>302038.31496633729</v>
      </c>
      <c r="BK241" s="4">
        <v>117293.58934859755</v>
      </c>
      <c r="BL241" s="4">
        <v>1523999.9999999995</v>
      </c>
      <c r="BM2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1" s="4">
        <v>294804.96027377353</v>
      </c>
      <c r="BO2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1" s="4">
        <f>(Base[[#This Row],['[SC']'[Mort_prématurée']Gains]]-Base[[#This Row],['[SC']'[Mort_prématurée']Coûts]])/Base[[#This Row],[Population_totale]]</f>
        <v>0</v>
      </c>
      <c r="BQ241" s="4">
        <f>IF(Base[[#This Row],[Pathologie]]&lt;&gt;"Mort prématurée",0,Base[[#This Row],[Risque]])</f>
        <v>0</v>
      </c>
      <c r="BR241" s="4">
        <v>2680</v>
      </c>
      <c r="BS2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1" s="4">
        <f>Base[[#This Row],[Prévalence_prod]]*(1-Base[[#This Row],[Risque]])*Base[[#This Row],[Durée_arrêt]]*Base[[#This Row],[Population_emploi]]</f>
        <v>0</v>
      </c>
      <c r="BV241" s="4">
        <f>Base[[#This Row],['[Prod']'[Absentéisme']Total_jours_absence_avant]]-Base[[#This Row],['[Prod']'[Absentéisme']Total_jours_absence_après]]</f>
        <v>0</v>
      </c>
      <c r="BW241" s="4">
        <f>IF(AND(Base[[#This Row],[Pathologie]]&lt;&gt;"Dépendance",Base[[#This Row],[Pathologie]]&lt;&gt;"Mort prématurée",Base[[#This Row],[Pathologie]]&lt;&gt;"Migraine"),0.0619,0)</f>
        <v>0</v>
      </c>
      <c r="BX241" s="4">
        <v>254</v>
      </c>
      <c r="BY24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1" s="4">
        <f>Base[[#This Row],[Prévalence_prod]]*Base[[#This Row],[Présentéisme]]*Base[[#This Row],['[Prod']Jours_ouvrés]]</f>
        <v>6.4516000000000009</v>
      </c>
      <c r="CB241" s="4">
        <f>Base[[#This Row],[Prévalence_prod]]*(1-Base[[#This Row],[Risque]])*Base[[#This Row],[Présentéisme]]*Base[[#This Row],['[Prod']Jours_ouvrés]]</f>
        <v>5.0967640000000012</v>
      </c>
      <c r="CC241" s="4">
        <f>Base[[#This Row],['[Prod']'[Présentéisme']Jours_avant]]-Base[[#This Row],['[Prod']'[Présentéisme']Jours_après]]</f>
        <v>1.3548359999999997</v>
      </c>
      <c r="CD241" s="4">
        <f>Base[[#This Row],['[Prod']'[Présentéisme']Jours_gagnés]]/Base[[#This Row],['[Prod']Jours_ouvrés]]</f>
        <v>5.3339999999999985E-3</v>
      </c>
      <c r="CE241">
        <v>5.8333039429220801E-2</v>
      </c>
      <c r="CF241">
        <v>1.4658164114728258E-2</v>
      </c>
      <c r="CG241" s="4">
        <v>11</v>
      </c>
      <c r="CH241" s="4">
        <v>0.96913802401210614</v>
      </c>
      <c r="CI241" s="4">
        <v>0.10293966445307301</v>
      </c>
      <c r="CJ241" s="4">
        <f>IF(Base[[#This Row],[Secteur]]&lt;&gt;"Moyenne",Base[[#This Row],['[Prod']'[Turnover']DMC_initiale]]*(1+Base[[#This Row],['[Prod']'[Turnover']Ecart_accidents]]*Base[[#This Row],['[Prod']Impact_motifs_turnover]]),CJ224*CI224+CJ225*CI225+CJ226*CI226+CJ227*CI227+CJ228*CI228+CJ229*CI229+CJ230*CI230+CJ231*CI231+CJ232*CI232+CJ233*CI233+CJ234*CI234+CJ235*CI235+CJ236*CI236+CJ237*CI237+CJ238*CI238+CJ239*CI239+CJ240*CI240)</f>
        <v>11.156263626263723</v>
      </c>
      <c r="CK241" s="4">
        <f>1/Base[[#This Row],['[Prod']'[Turnover']DMC_initiale]]</f>
        <v>9.0909090909090912E-2</v>
      </c>
      <c r="CL241" s="4">
        <f>1/Base[[#This Row],['[Prod']'[Turnover']DMC_finale]]</f>
        <v>8.9635744860477456E-2</v>
      </c>
    </row>
    <row r="242" spans="2:90" x14ac:dyDescent="0.25">
      <c r="B242" s="4" t="s">
        <v>324</v>
      </c>
      <c r="C242">
        <v>7.5</v>
      </c>
      <c r="D242" t="s">
        <v>84</v>
      </c>
      <c r="E242" t="s">
        <v>97</v>
      </c>
      <c r="F242" s="3">
        <v>0.21</v>
      </c>
      <c r="G242" s="3">
        <v>0.2</v>
      </c>
      <c r="H242" s="3">
        <v>0.2</v>
      </c>
      <c r="I242" s="3">
        <v>0.127</v>
      </c>
      <c r="J242" s="3">
        <v>0</v>
      </c>
      <c r="K242" s="3">
        <v>7.0000000000000007E-2</v>
      </c>
      <c r="L242" s="2">
        <f>Base[[#This Row],[Coût]]*Base[[#This Row],[Part_ménages_dépenses_santé]]</f>
        <v>0</v>
      </c>
      <c r="M242" s="2">
        <v>0</v>
      </c>
      <c r="N242" s="6">
        <v>27700000</v>
      </c>
      <c r="O242" s="7">
        <f>Base[[#This Row],[Coût_salarié]]*10^9*Base[[#This Row],[Risque]]*Base[[#This Row],[Prévalence]]*Base[[#This Row],[Part_coûts_salarié]]/Base[[#This Row],[Population_emploi]]</f>
        <v>0</v>
      </c>
      <c r="P242">
        <v>50</v>
      </c>
      <c r="Q242">
        <v>50</v>
      </c>
      <c r="R242" s="2">
        <v>9.9999999999999978E-2</v>
      </c>
      <c r="S242" s="2">
        <v>0.33340000000000003</v>
      </c>
      <c r="T242" s="4">
        <v>0</v>
      </c>
      <c r="U242" s="4">
        <f>IF(Bases_annexes!$F$5=0,16.6587111018772,0.77*Bases_annexes!$F$5/(IF(OR(ISBLANK('Données_d''entrée'!$E$44),'Données_d''entrée'!$E$44=0),35,'Données_d''entrée'!$E$44)*52))</f>
        <v>16.658711101877199</v>
      </c>
      <c r="V242" s="4">
        <v>0</v>
      </c>
      <c r="W2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2" s="4">
        <v>234.5</v>
      </c>
      <c r="Y242" s="4">
        <f>(Base[[#This Row],['[Maladies']Coûts_évités_par_salarié]]+Base[[#This Row],['[Travail']Coûts_évités_par_salarié]])/Base[[#This Row],[Budget_santé_salarié]]</f>
        <v>0</v>
      </c>
      <c r="Z242" s="4">
        <v>0.8</v>
      </c>
      <c r="AA242" s="4">
        <f>Base[[#This Row],[Coût]]*Base[[#This Row],[Part_société_dépenses_santé]]</f>
        <v>0</v>
      </c>
      <c r="AB242" s="4">
        <v>67635124</v>
      </c>
      <c r="AC242" s="4">
        <v>82.297079063317852</v>
      </c>
      <c r="AD242" s="4">
        <v>0</v>
      </c>
      <c r="AE242" s="4">
        <f>Base[[#This Row],['[SC']Prévalence_travail]]*Base[[#This Row],[Population_emploi]]</f>
        <v>0</v>
      </c>
      <c r="AF242" s="4">
        <f>Base[[#This Row],[Risque]]*Base[[#This Row],['[SC']Patients_en_emploi]]</f>
        <v>0</v>
      </c>
      <c r="AG242" s="4"/>
      <c r="AH242" s="4">
        <f>IFERROR(Base[[#This Row],['[SC']Prestations]]/Base[[#This Row],['[SC']Patients_en_emploi]],0)</f>
        <v>0</v>
      </c>
      <c r="AI242" s="4"/>
      <c r="AJ2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2" s="4">
        <f>Base[[#This Row],['[SC']'[Travail']Coûts_évités]]/Base[[#This Row],[Population_emploi]]</f>
        <v>0</v>
      </c>
      <c r="AL242" s="4">
        <f>Base[[#This Row],[Coût_société]]*10^9*Base[[#This Row],[Risque]]*Base[[#This Row],[Prévalence]]*Base[[#This Row],[Part_coûts_salarié]]/Base[[#This Row],[Population_emploi]]</f>
        <v>0</v>
      </c>
      <c r="AM242" s="4">
        <f>IF(Base[[#This Row],[Pathologie]]&lt;&gt;"Dépendance",0,14909.24243952)</f>
        <v>0</v>
      </c>
      <c r="AN242" s="4">
        <f>IF(Base[[#This Row],[Pathologie]]&lt;&gt;"Dépendance",0,1316000)</f>
        <v>0</v>
      </c>
      <c r="AO242" s="4">
        <f>IF(Base[[#This Row],[Pathologie]]&lt;&gt;"Dépendance",0,Base[[#This Row],['[SC']Coût_personne_dépendante]]*Base[[#This Row],['[SC']Nb_personnes_dépendantes]])</f>
        <v>0</v>
      </c>
      <c r="AP242" s="4">
        <f>IF(Base[[#This Row],[Pathologie]]&lt;&gt;"Dépendance",0,Base[[#This Row],['[SC']Coût_total_dépendance]]/Base[[#This Row],[Population_totale]])</f>
        <v>0</v>
      </c>
      <c r="AQ242" s="4">
        <f>IF(Base[[#This Row],[Pathologie]]&lt;&gt;"Dépendance",0,4.5)</f>
        <v>0</v>
      </c>
      <c r="AR242" s="4">
        <v>0.50393265050357905</v>
      </c>
      <c r="AS242" s="4">
        <f>Base[[#This Row],[Espérance_vie]]+Base[[#This Row],['[SC']Hausse_esp_de_vie]]-Base[[#This Row],['[SC']Durée_moyenne_dépendance_avt]]+Base[[#This Row],[Risque]]</f>
        <v>83.011011713821432</v>
      </c>
      <c r="AT2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2" s="4">
        <v>62.9</v>
      </c>
      <c r="AW242" s="4">
        <f t="shared" si="2"/>
        <v>336905600000</v>
      </c>
      <c r="AX242" s="4">
        <v>15049171</v>
      </c>
      <c r="AY242" s="4">
        <f>Base[[#This Row],['[SC']Budget_total_retraites]]/Base[[#This Row],['[SC']Nombre_de_retraités]]</f>
        <v>22386.987296509556</v>
      </c>
      <c r="AZ242" s="4">
        <f>Base[[#This Row],['[SC']Budget_par_retraité]]*Base[[#This Row],['[SC']Nb_personnes_dépendantes]]</f>
        <v>0</v>
      </c>
      <c r="BA242" s="4">
        <f>Base[[#This Row],['[SC']'[Dépendance']Coût_retraite_personnes_dépendantes]]/Base[[#This Row],[Population_totale]]</f>
        <v>0</v>
      </c>
      <c r="BB2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2" s="4">
        <f>Base[[#This Row],['[SC']'[Dépendance']Gains]]-Base[[#This Row],['[SC']'[Dépendance']Coûts]]</f>
        <v>0</v>
      </c>
      <c r="BD242" s="4">
        <f>IF(Base[[#This Row],[Pathologie]]&lt;&gt;"Mort prématurée",0,Base[[#This Row],[Risque]]*Base[[#This Row],[Prévalence]]*Base[[#This Row],[Population_totale]])</f>
        <v>0</v>
      </c>
      <c r="BE242" s="4">
        <v>52.74</v>
      </c>
      <c r="BF242" s="4">
        <f>Base[[#This Row],['[SC']Âge_moyen_retraite]]-Base[[#This Row],['[SC']'[Mort_prématurée']Âge_moyen_mort précoce]]</f>
        <v>10.159999999999997</v>
      </c>
      <c r="BG242" s="4">
        <f>Base[[#This Row],[Espérance_vie]]+Base[[#This Row],['[SC']Hausse_esp_de_vie]]-Base[[#This Row],['[SC']Âge_moyen_retraite]]</f>
        <v>19.90101171382144</v>
      </c>
      <c r="BH242" s="4">
        <v>106583.42676924677</v>
      </c>
      <c r="BI242" s="4">
        <v>97601.789429271477</v>
      </c>
      <c r="BJ242" s="4">
        <v>302038.31496633729</v>
      </c>
      <c r="BK242" s="4">
        <v>117293.58934859755</v>
      </c>
      <c r="BL242" s="4">
        <v>1523999.9999999995</v>
      </c>
      <c r="BM2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2" s="4">
        <v>294804.96027377353</v>
      </c>
      <c r="BO2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2" s="4">
        <f>(Base[[#This Row],['[SC']'[Mort_prématurée']Gains]]-Base[[#This Row],['[SC']'[Mort_prématurée']Coûts]])/Base[[#This Row],[Population_totale]]</f>
        <v>0</v>
      </c>
      <c r="BQ242" s="4">
        <f>IF(Base[[#This Row],[Pathologie]]&lt;&gt;"Mort prématurée",0,Base[[#This Row],[Risque]])</f>
        <v>0</v>
      </c>
      <c r="BR242" s="4">
        <v>2680</v>
      </c>
      <c r="BS2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2" s="4">
        <f>Base[[#This Row],[Prévalence_prod]]*(1-Base[[#This Row],[Risque]])*Base[[#This Row],[Durée_arrêt]]*Base[[#This Row],[Population_emploi]]</f>
        <v>0</v>
      </c>
      <c r="BV242" s="4">
        <f>Base[[#This Row],['[Prod']'[Absentéisme']Total_jours_absence_avant]]-Base[[#This Row],['[Prod']'[Absentéisme']Total_jours_absence_après]]</f>
        <v>0</v>
      </c>
      <c r="BW242" s="4">
        <f>IF(AND(Base[[#This Row],[Pathologie]]&lt;&gt;"Dépendance",Base[[#This Row],[Pathologie]]&lt;&gt;"Mort prématurée",Base[[#This Row],[Pathologie]]&lt;&gt;"Migraine"),0.0619,0)</f>
        <v>0</v>
      </c>
      <c r="BX242" s="4">
        <v>254</v>
      </c>
      <c r="BY24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2" s="4">
        <f>Base[[#This Row],[Prévalence_prod]]*Base[[#This Row],[Présentéisme]]*Base[[#This Row],['[Prod']Jours_ouvrés]]</f>
        <v>6.4516000000000009</v>
      </c>
      <c r="CB242" s="4">
        <f>Base[[#This Row],[Prévalence_prod]]*(1-Base[[#This Row],[Risque]])*Base[[#This Row],[Présentéisme]]*Base[[#This Row],['[Prod']Jours_ouvrés]]</f>
        <v>5.0967640000000012</v>
      </c>
      <c r="CC242" s="4">
        <f>Base[[#This Row],['[Prod']'[Présentéisme']Jours_avant]]-Base[[#This Row],['[Prod']'[Présentéisme']Jours_après]]</f>
        <v>1.3548359999999997</v>
      </c>
      <c r="CD242" s="4">
        <f>Base[[#This Row],['[Prod']'[Présentéisme']Jours_gagnés]]/Base[[#This Row],['[Prod']Jours_ouvrés]]</f>
        <v>5.3339999999999985E-3</v>
      </c>
      <c r="CE242">
        <v>5.8333039429220801E-2</v>
      </c>
      <c r="CF242">
        <v>1.4658164114728258E-2</v>
      </c>
      <c r="CG242" s="4">
        <v>11</v>
      </c>
      <c r="CH242" s="4">
        <v>1.3987208237662601</v>
      </c>
      <c r="CI242" s="4">
        <v>2.1768516166491274E-2</v>
      </c>
      <c r="CJ242" s="4">
        <f>IF(Base[[#This Row],[Secteur]]&lt;&gt;"Moyenne",Base[[#This Row],['[Prod']'[Turnover']DMC_initiale]]*(1+Base[[#This Row],['[Prod']'[Turnover']Ecart_accidents]]*Base[[#This Row],['[Prod']Impact_motifs_turnover]]),CJ225*CI225+CJ226*CI226+CJ227*CI227+CJ228*CI228+CJ229*CI229+CJ230*CI230+CJ231*CI231+CJ232*CI232+CJ233*CI233+CJ234*CI234+CJ235*CI235+CJ236*CI236+CJ237*CI237+CJ238*CI238+CJ239*CI239+CJ240*CI240+CJ241*CI241)</f>
        <v>11.225529473239991</v>
      </c>
      <c r="CK242" s="4">
        <f>1/Base[[#This Row],['[Prod']'[Turnover']DMC_initiale]]</f>
        <v>9.0909090909090912E-2</v>
      </c>
      <c r="CL242" s="4">
        <f>1/Base[[#This Row],['[Prod']'[Turnover']DMC_finale]]</f>
        <v>8.9082657738670828E-2</v>
      </c>
    </row>
    <row r="243" spans="2:90" x14ac:dyDescent="0.25">
      <c r="B243" s="4" t="s">
        <v>325</v>
      </c>
      <c r="C243">
        <v>7.5</v>
      </c>
      <c r="D243" t="s">
        <v>84</v>
      </c>
      <c r="E243" t="s">
        <v>97</v>
      </c>
      <c r="F243" s="3">
        <v>0.21</v>
      </c>
      <c r="G243" s="3">
        <v>0.2</v>
      </c>
      <c r="H243" s="3">
        <v>0.2</v>
      </c>
      <c r="I243" s="3">
        <v>0.127</v>
      </c>
      <c r="J243" s="3">
        <v>0</v>
      </c>
      <c r="K243" s="3">
        <v>7.0000000000000007E-2</v>
      </c>
      <c r="L243" s="2">
        <f>Base[[#This Row],[Coût]]*Base[[#This Row],[Part_ménages_dépenses_santé]]</f>
        <v>0</v>
      </c>
      <c r="M243" s="2">
        <v>0</v>
      </c>
      <c r="N243" s="6">
        <v>27700000</v>
      </c>
      <c r="O243" s="7">
        <f>Base[[#This Row],[Coût_salarié]]*10^9*Base[[#This Row],[Risque]]*Base[[#This Row],[Prévalence]]*Base[[#This Row],[Part_coûts_salarié]]/Base[[#This Row],[Population_emploi]]</f>
        <v>0</v>
      </c>
      <c r="P243">
        <v>50</v>
      </c>
      <c r="Q243">
        <v>50</v>
      </c>
      <c r="R243" s="2">
        <v>9.9999999999999978E-2</v>
      </c>
      <c r="S243" s="2">
        <v>0.33340000000000003</v>
      </c>
      <c r="T243" s="4">
        <v>0</v>
      </c>
      <c r="U243" s="4">
        <f>IF(Bases_annexes!$F$5=0,16.6587111018772,0.77*Bases_annexes!$F$5/(IF(OR(ISBLANK('Données_d''entrée'!$E$44),'Données_d''entrée'!$E$44=0),35,'Données_d''entrée'!$E$44)*52))</f>
        <v>16.658711101877199</v>
      </c>
      <c r="V243" s="4">
        <v>0</v>
      </c>
      <c r="W2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3" s="4">
        <v>234.5</v>
      </c>
      <c r="Y243" s="4">
        <f>(Base[[#This Row],['[Maladies']Coûts_évités_par_salarié]]+Base[[#This Row],['[Travail']Coûts_évités_par_salarié]])/Base[[#This Row],[Budget_santé_salarié]]</f>
        <v>0</v>
      </c>
      <c r="Z243" s="4">
        <v>0.8</v>
      </c>
      <c r="AA243" s="4">
        <f>Base[[#This Row],[Coût]]*Base[[#This Row],[Part_société_dépenses_santé]]</f>
        <v>0</v>
      </c>
      <c r="AB243" s="4">
        <v>67635124</v>
      </c>
      <c r="AC243" s="4">
        <v>82.297079063317852</v>
      </c>
      <c r="AD243" s="4">
        <v>0</v>
      </c>
      <c r="AE243" s="4">
        <f>Base[[#This Row],['[SC']Prévalence_travail]]*Base[[#This Row],[Population_emploi]]</f>
        <v>0</v>
      </c>
      <c r="AF243" s="4">
        <f>Base[[#This Row],[Risque]]*Base[[#This Row],['[SC']Patients_en_emploi]]</f>
        <v>0</v>
      </c>
      <c r="AG243" s="4"/>
      <c r="AH243" s="4">
        <f>IFERROR(Base[[#This Row],['[SC']Prestations]]/Base[[#This Row],['[SC']Patients_en_emploi]],0)</f>
        <v>0</v>
      </c>
      <c r="AI243" s="4"/>
      <c r="AJ2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3" s="4">
        <f>Base[[#This Row],['[SC']'[Travail']Coûts_évités]]/Base[[#This Row],[Population_emploi]]</f>
        <v>0</v>
      </c>
      <c r="AL243" s="4">
        <f>Base[[#This Row],[Coût_société]]*10^9*Base[[#This Row],[Risque]]*Base[[#This Row],[Prévalence]]*Base[[#This Row],[Part_coûts_salarié]]/Base[[#This Row],[Population_emploi]]</f>
        <v>0</v>
      </c>
      <c r="AM243" s="4">
        <f>IF(Base[[#This Row],[Pathologie]]&lt;&gt;"Dépendance",0,14909.24243952)</f>
        <v>0</v>
      </c>
      <c r="AN243" s="4">
        <f>IF(Base[[#This Row],[Pathologie]]&lt;&gt;"Dépendance",0,1316000)</f>
        <v>0</v>
      </c>
      <c r="AO243" s="4">
        <f>IF(Base[[#This Row],[Pathologie]]&lt;&gt;"Dépendance",0,Base[[#This Row],['[SC']Coût_personne_dépendante]]*Base[[#This Row],['[SC']Nb_personnes_dépendantes]])</f>
        <v>0</v>
      </c>
      <c r="AP243" s="4">
        <f>IF(Base[[#This Row],[Pathologie]]&lt;&gt;"Dépendance",0,Base[[#This Row],['[SC']Coût_total_dépendance]]/Base[[#This Row],[Population_totale]])</f>
        <v>0</v>
      </c>
      <c r="AQ243" s="4">
        <f>IF(Base[[#This Row],[Pathologie]]&lt;&gt;"Dépendance",0,4.5)</f>
        <v>0</v>
      </c>
      <c r="AR243" s="4">
        <v>0.50393265050357905</v>
      </c>
      <c r="AS243" s="4">
        <f>Base[[#This Row],[Espérance_vie]]+Base[[#This Row],['[SC']Hausse_esp_de_vie]]-Base[[#This Row],['[SC']Durée_moyenne_dépendance_avt]]+Base[[#This Row],[Risque]]</f>
        <v>83.011011713821432</v>
      </c>
      <c r="AT2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3" s="4">
        <v>62.9</v>
      </c>
      <c r="AW243" s="4">
        <f t="shared" si="2"/>
        <v>336905600000</v>
      </c>
      <c r="AX243" s="4">
        <v>15049171</v>
      </c>
      <c r="AY243" s="4">
        <f>Base[[#This Row],['[SC']Budget_total_retraites]]/Base[[#This Row],['[SC']Nombre_de_retraités]]</f>
        <v>22386.987296509556</v>
      </c>
      <c r="AZ243" s="4">
        <f>Base[[#This Row],['[SC']Budget_par_retraité]]*Base[[#This Row],['[SC']Nb_personnes_dépendantes]]</f>
        <v>0</v>
      </c>
      <c r="BA243" s="4">
        <f>Base[[#This Row],['[SC']'[Dépendance']Coût_retraite_personnes_dépendantes]]/Base[[#This Row],[Population_totale]]</f>
        <v>0</v>
      </c>
      <c r="BB2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3" s="4">
        <f>Base[[#This Row],['[SC']'[Dépendance']Gains]]-Base[[#This Row],['[SC']'[Dépendance']Coûts]]</f>
        <v>0</v>
      </c>
      <c r="BD243" s="4">
        <f>IF(Base[[#This Row],[Pathologie]]&lt;&gt;"Mort prématurée",0,Base[[#This Row],[Risque]]*Base[[#This Row],[Prévalence]]*Base[[#This Row],[Population_totale]])</f>
        <v>0</v>
      </c>
      <c r="BE243" s="4">
        <v>52.74</v>
      </c>
      <c r="BF243" s="4">
        <f>Base[[#This Row],['[SC']Âge_moyen_retraite]]-Base[[#This Row],['[SC']'[Mort_prématurée']Âge_moyen_mort précoce]]</f>
        <v>10.159999999999997</v>
      </c>
      <c r="BG243" s="4">
        <f>Base[[#This Row],[Espérance_vie]]+Base[[#This Row],['[SC']Hausse_esp_de_vie]]-Base[[#This Row],['[SC']Âge_moyen_retraite]]</f>
        <v>19.90101171382144</v>
      </c>
      <c r="BH243" s="4">
        <v>106583.42676924677</v>
      </c>
      <c r="BI243" s="4">
        <v>97601.789429271477</v>
      </c>
      <c r="BJ243" s="4">
        <v>302038.31496633729</v>
      </c>
      <c r="BK243" s="4">
        <v>117293.58934859755</v>
      </c>
      <c r="BL243" s="4">
        <v>1523999.9999999995</v>
      </c>
      <c r="BM2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3" s="4">
        <v>294804.96027377353</v>
      </c>
      <c r="BO2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3" s="4">
        <f>(Base[[#This Row],['[SC']'[Mort_prématurée']Gains]]-Base[[#This Row],['[SC']'[Mort_prématurée']Coûts]])/Base[[#This Row],[Population_totale]]</f>
        <v>0</v>
      </c>
      <c r="BQ243" s="4">
        <f>IF(Base[[#This Row],[Pathologie]]&lt;&gt;"Mort prématurée",0,Base[[#This Row],[Risque]])</f>
        <v>0</v>
      </c>
      <c r="BR243" s="4">
        <v>2680</v>
      </c>
      <c r="BS2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3" s="4">
        <f>Base[[#This Row],[Prévalence_prod]]*(1-Base[[#This Row],[Risque]])*Base[[#This Row],[Durée_arrêt]]*Base[[#This Row],[Population_emploi]]</f>
        <v>0</v>
      </c>
      <c r="BV243" s="4">
        <f>Base[[#This Row],['[Prod']'[Absentéisme']Total_jours_absence_avant]]-Base[[#This Row],['[Prod']'[Absentéisme']Total_jours_absence_après]]</f>
        <v>0</v>
      </c>
      <c r="BW243" s="4">
        <f>IF(AND(Base[[#This Row],[Pathologie]]&lt;&gt;"Dépendance",Base[[#This Row],[Pathologie]]&lt;&gt;"Mort prématurée",Base[[#This Row],[Pathologie]]&lt;&gt;"Migraine"),0.0619,0)</f>
        <v>0</v>
      </c>
      <c r="BX243" s="4">
        <v>254</v>
      </c>
      <c r="BY24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3" s="4">
        <f>Base[[#This Row],[Prévalence_prod]]*Base[[#This Row],[Présentéisme]]*Base[[#This Row],['[Prod']Jours_ouvrés]]</f>
        <v>6.4516000000000009</v>
      </c>
      <c r="CB243" s="4">
        <f>Base[[#This Row],[Prévalence_prod]]*(1-Base[[#This Row],[Risque]])*Base[[#This Row],[Présentéisme]]*Base[[#This Row],['[Prod']Jours_ouvrés]]</f>
        <v>5.0967640000000012</v>
      </c>
      <c r="CC243" s="4">
        <f>Base[[#This Row],['[Prod']'[Présentéisme']Jours_avant]]-Base[[#This Row],['[Prod']'[Présentéisme']Jours_après]]</f>
        <v>1.3548359999999997</v>
      </c>
      <c r="CD243" s="4">
        <f>Base[[#This Row],['[Prod']'[Présentéisme']Jours_gagnés]]/Base[[#This Row],['[Prod']Jours_ouvrés]]</f>
        <v>5.3339999999999985E-3</v>
      </c>
      <c r="CE243">
        <v>5.8333039429220801E-2</v>
      </c>
      <c r="CF243">
        <v>1.4658164114728258E-2</v>
      </c>
      <c r="CG243" s="4">
        <v>11</v>
      </c>
      <c r="CH243" s="4">
        <v>1.1624525375985588</v>
      </c>
      <c r="CI243" s="4">
        <v>3.7953151649308701E-2</v>
      </c>
      <c r="CJ243" s="4">
        <f>IF(Base[[#This Row],[Secteur]]&lt;&gt;"Moyenne",Base[[#This Row],['[Prod']'[Turnover']DMC_initiale]]*(1+Base[[#This Row],['[Prod']'[Turnover']Ecart_accidents]]*Base[[#This Row],['[Prod']Impact_motifs_turnover]]),CJ226*CI226+CJ227*CI227+CJ228*CI228+CJ229*CI229+CJ230*CI230+CJ231*CI231+CJ232*CI232+CJ233*CI233+CJ234*CI234+CJ235*CI235+CJ236*CI236+CJ237*CI237+CJ238*CI238+CJ239*CI239+CJ240*CI240+CJ241*CI241+CJ242*CI242)</f>
        <v>11.18743362078872</v>
      </c>
      <c r="CK243" s="4">
        <f>1/Base[[#This Row],['[Prod']'[Turnover']DMC_initiale]]</f>
        <v>9.0909090909090912E-2</v>
      </c>
      <c r="CL243" s="4">
        <f>1/Base[[#This Row],['[Prod']'[Turnover']DMC_finale]]</f>
        <v>8.9386005217655939E-2</v>
      </c>
    </row>
    <row r="244" spans="2:90" x14ac:dyDescent="0.25">
      <c r="B244" s="4" t="s">
        <v>326</v>
      </c>
      <c r="C244">
        <v>7.5</v>
      </c>
      <c r="D244" t="s">
        <v>84</v>
      </c>
      <c r="E244" t="s">
        <v>97</v>
      </c>
      <c r="F244" s="3">
        <v>0.21</v>
      </c>
      <c r="G244" s="3">
        <v>0.2</v>
      </c>
      <c r="H244" s="3">
        <v>0.2</v>
      </c>
      <c r="I244" s="3">
        <v>0.127</v>
      </c>
      <c r="J244" s="3">
        <v>0</v>
      </c>
      <c r="K244" s="3">
        <v>7.0000000000000007E-2</v>
      </c>
      <c r="L244" s="2">
        <f>Base[[#This Row],[Coût]]*Base[[#This Row],[Part_ménages_dépenses_santé]]</f>
        <v>0</v>
      </c>
      <c r="M244" s="2">
        <v>0</v>
      </c>
      <c r="N244" s="6">
        <v>27700000</v>
      </c>
      <c r="O244" s="7">
        <f>Base[[#This Row],[Coût_salarié]]*10^9*Base[[#This Row],[Risque]]*Base[[#This Row],[Prévalence]]*Base[[#This Row],[Part_coûts_salarié]]/Base[[#This Row],[Population_emploi]]</f>
        <v>0</v>
      </c>
      <c r="P244">
        <v>50</v>
      </c>
      <c r="Q244">
        <v>50</v>
      </c>
      <c r="R244" s="2">
        <v>9.9999999999999978E-2</v>
      </c>
      <c r="S244" s="2">
        <v>0.33340000000000003</v>
      </c>
      <c r="T244" s="4">
        <v>0</v>
      </c>
      <c r="U244" s="4">
        <f>IF(Bases_annexes!$F$5=0,16.6587111018772,0.77*Bases_annexes!$F$5/(IF(OR(ISBLANK('Données_d''entrée'!$E$44),'Données_d''entrée'!$E$44=0),35,'Données_d''entrée'!$E$44)*52))</f>
        <v>16.658711101877199</v>
      </c>
      <c r="V244" s="4">
        <v>0</v>
      </c>
      <c r="W2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4" s="4">
        <v>234.5</v>
      </c>
      <c r="Y244" s="4">
        <f>(Base[[#This Row],['[Maladies']Coûts_évités_par_salarié]]+Base[[#This Row],['[Travail']Coûts_évités_par_salarié]])/Base[[#This Row],[Budget_santé_salarié]]</f>
        <v>0</v>
      </c>
      <c r="Z244" s="4">
        <v>0.8</v>
      </c>
      <c r="AA244" s="4">
        <f>Base[[#This Row],[Coût]]*Base[[#This Row],[Part_société_dépenses_santé]]</f>
        <v>0</v>
      </c>
      <c r="AB244" s="4">
        <v>67635124</v>
      </c>
      <c r="AC244" s="4">
        <v>82.297079063317852</v>
      </c>
      <c r="AD244" s="4">
        <v>0</v>
      </c>
      <c r="AE244" s="4">
        <f>Base[[#This Row],['[SC']Prévalence_travail]]*Base[[#This Row],[Population_emploi]]</f>
        <v>0</v>
      </c>
      <c r="AF244" s="4">
        <f>Base[[#This Row],[Risque]]*Base[[#This Row],['[SC']Patients_en_emploi]]</f>
        <v>0</v>
      </c>
      <c r="AG244" s="4"/>
      <c r="AH244" s="4">
        <f>IFERROR(Base[[#This Row],['[SC']Prestations]]/Base[[#This Row],['[SC']Patients_en_emploi]],0)</f>
        <v>0</v>
      </c>
      <c r="AI244" s="4"/>
      <c r="AJ2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4" s="4">
        <f>Base[[#This Row],['[SC']'[Travail']Coûts_évités]]/Base[[#This Row],[Population_emploi]]</f>
        <v>0</v>
      </c>
      <c r="AL244" s="4">
        <f>Base[[#This Row],[Coût_société]]*10^9*Base[[#This Row],[Risque]]*Base[[#This Row],[Prévalence]]*Base[[#This Row],[Part_coûts_salarié]]/Base[[#This Row],[Population_emploi]]</f>
        <v>0</v>
      </c>
      <c r="AM244" s="4">
        <f>IF(Base[[#This Row],[Pathologie]]&lt;&gt;"Dépendance",0,14909.24243952)</f>
        <v>0</v>
      </c>
      <c r="AN244" s="4">
        <f>IF(Base[[#This Row],[Pathologie]]&lt;&gt;"Dépendance",0,1316000)</f>
        <v>0</v>
      </c>
      <c r="AO244" s="4">
        <f>IF(Base[[#This Row],[Pathologie]]&lt;&gt;"Dépendance",0,Base[[#This Row],['[SC']Coût_personne_dépendante]]*Base[[#This Row],['[SC']Nb_personnes_dépendantes]])</f>
        <v>0</v>
      </c>
      <c r="AP244" s="4">
        <f>IF(Base[[#This Row],[Pathologie]]&lt;&gt;"Dépendance",0,Base[[#This Row],['[SC']Coût_total_dépendance]]/Base[[#This Row],[Population_totale]])</f>
        <v>0</v>
      </c>
      <c r="AQ244" s="4">
        <f>IF(Base[[#This Row],[Pathologie]]&lt;&gt;"Dépendance",0,4.5)</f>
        <v>0</v>
      </c>
      <c r="AR244" s="4">
        <v>0.50393265050357905</v>
      </c>
      <c r="AS244" s="4">
        <f>Base[[#This Row],[Espérance_vie]]+Base[[#This Row],['[SC']Hausse_esp_de_vie]]-Base[[#This Row],['[SC']Durée_moyenne_dépendance_avt]]+Base[[#This Row],[Risque]]</f>
        <v>83.011011713821432</v>
      </c>
      <c r="AT2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4" s="4">
        <v>62.9</v>
      </c>
      <c r="AW244" s="4">
        <f t="shared" si="2"/>
        <v>336905600000</v>
      </c>
      <c r="AX244" s="4">
        <v>15049171</v>
      </c>
      <c r="AY244" s="4">
        <f>Base[[#This Row],['[SC']Budget_total_retraites]]/Base[[#This Row],['[SC']Nombre_de_retraités]]</f>
        <v>22386.987296509556</v>
      </c>
      <c r="AZ244" s="4">
        <f>Base[[#This Row],['[SC']Budget_par_retraité]]*Base[[#This Row],['[SC']Nb_personnes_dépendantes]]</f>
        <v>0</v>
      </c>
      <c r="BA244" s="4">
        <f>Base[[#This Row],['[SC']'[Dépendance']Coût_retraite_personnes_dépendantes]]/Base[[#This Row],[Population_totale]]</f>
        <v>0</v>
      </c>
      <c r="BB2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4" s="4">
        <f>Base[[#This Row],['[SC']'[Dépendance']Gains]]-Base[[#This Row],['[SC']'[Dépendance']Coûts]]</f>
        <v>0</v>
      </c>
      <c r="BD244" s="4">
        <f>IF(Base[[#This Row],[Pathologie]]&lt;&gt;"Mort prématurée",0,Base[[#This Row],[Risque]]*Base[[#This Row],[Prévalence]]*Base[[#This Row],[Population_totale]])</f>
        <v>0</v>
      </c>
      <c r="BE244" s="4">
        <v>52.74</v>
      </c>
      <c r="BF244" s="4">
        <f>Base[[#This Row],['[SC']Âge_moyen_retraite]]-Base[[#This Row],['[SC']'[Mort_prématurée']Âge_moyen_mort précoce]]</f>
        <v>10.159999999999997</v>
      </c>
      <c r="BG244" s="4">
        <f>Base[[#This Row],[Espérance_vie]]+Base[[#This Row],['[SC']Hausse_esp_de_vie]]-Base[[#This Row],['[SC']Âge_moyen_retraite]]</f>
        <v>19.90101171382144</v>
      </c>
      <c r="BH244" s="4">
        <v>106583.42676924677</v>
      </c>
      <c r="BI244" s="4">
        <v>97601.789429271477</v>
      </c>
      <c r="BJ244" s="4">
        <v>302038.31496633729</v>
      </c>
      <c r="BK244" s="4">
        <v>117293.58934859755</v>
      </c>
      <c r="BL244" s="4">
        <v>1523999.9999999995</v>
      </c>
      <c r="BM2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4" s="4">
        <v>294804.96027377353</v>
      </c>
      <c r="BO2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4" s="4">
        <f>(Base[[#This Row],['[SC']'[Mort_prématurée']Gains]]-Base[[#This Row],['[SC']'[Mort_prématurée']Coûts]])/Base[[#This Row],[Population_totale]]</f>
        <v>0</v>
      </c>
      <c r="BQ244" s="4">
        <f>IF(Base[[#This Row],[Pathologie]]&lt;&gt;"Mort prématurée",0,Base[[#This Row],[Risque]])</f>
        <v>0</v>
      </c>
      <c r="BR244" s="4">
        <v>2680</v>
      </c>
      <c r="BS2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4" s="4">
        <f>Base[[#This Row],[Prévalence_prod]]*(1-Base[[#This Row],[Risque]])*Base[[#This Row],[Durée_arrêt]]*Base[[#This Row],[Population_emploi]]</f>
        <v>0</v>
      </c>
      <c r="BV244" s="4">
        <f>Base[[#This Row],['[Prod']'[Absentéisme']Total_jours_absence_avant]]-Base[[#This Row],['[Prod']'[Absentéisme']Total_jours_absence_après]]</f>
        <v>0</v>
      </c>
      <c r="BW244" s="4">
        <f>IF(AND(Base[[#This Row],[Pathologie]]&lt;&gt;"Dépendance",Base[[#This Row],[Pathologie]]&lt;&gt;"Mort prématurée",Base[[#This Row],[Pathologie]]&lt;&gt;"Migraine"),0.0619,0)</f>
        <v>0</v>
      </c>
      <c r="BX244" s="4">
        <v>254</v>
      </c>
      <c r="BY24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4" s="4">
        <f>Base[[#This Row],[Prévalence_prod]]*Base[[#This Row],[Présentéisme]]*Base[[#This Row],['[Prod']Jours_ouvrés]]</f>
        <v>6.4516000000000009</v>
      </c>
      <c r="CB244" s="4">
        <f>Base[[#This Row],[Prévalence_prod]]*(1-Base[[#This Row],[Risque]])*Base[[#This Row],[Présentéisme]]*Base[[#This Row],['[Prod']Jours_ouvrés]]</f>
        <v>5.0967640000000012</v>
      </c>
      <c r="CC244" s="4">
        <f>Base[[#This Row],['[Prod']'[Présentéisme']Jours_avant]]-Base[[#This Row],['[Prod']'[Présentéisme']Jours_après]]</f>
        <v>1.3548359999999997</v>
      </c>
      <c r="CD244" s="4">
        <f>Base[[#This Row],['[Prod']'[Présentéisme']Jours_gagnés]]/Base[[#This Row],['[Prod']Jours_ouvrés]]</f>
        <v>5.3339999999999985E-3</v>
      </c>
      <c r="CE244">
        <v>5.8333039429220801E-2</v>
      </c>
      <c r="CF244">
        <v>1.4658164114728258E-2</v>
      </c>
      <c r="CG244" s="4">
        <v>11</v>
      </c>
      <c r="CH244" s="4">
        <v>0.19346787829229528</v>
      </c>
      <c r="CI244" s="4">
        <v>2.8126549817953091E-2</v>
      </c>
      <c r="CJ244" s="4">
        <f>IF(Base[[#This Row],[Secteur]]&lt;&gt;"Moyenne",Base[[#This Row],['[Prod']'[Turnover']DMC_initiale]]*(1+Base[[#This Row],['[Prod']'[Turnover']Ecart_accidents]]*Base[[#This Row],['[Prod']Impact_motifs_turnover]]),CJ227*CI227+CJ228*CI228+CJ229*CI229+CJ230*CI230+CJ231*CI231+CJ232*CI232+CJ233*CI233+CJ234*CI234+CJ235*CI235+CJ236*CI236+CJ237*CI237+CJ238*CI238+CJ239*CI239+CJ240*CI240+CJ241*CI241+CJ242*CI242+CJ243*CI243)</f>
        <v>11.031194723020304</v>
      </c>
      <c r="CK244" s="4">
        <f>1/Base[[#This Row],['[Prod']'[Turnover']DMC_initiale]]</f>
        <v>9.0909090909090912E-2</v>
      </c>
      <c r="CL244" s="4">
        <f>1/Base[[#This Row],['[Prod']'[Turnover']DMC_finale]]</f>
        <v>9.065201232584201E-2</v>
      </c>
    </row>
    <row r="245" spans="2:90" x14ac:dyDescent="0.25">
      <c r="B245" s="4" t="s">
        <v>327</v>
      </c>
      <c r="C245">
        <v>7.5</v>
      </c>
      <c r="D245" t="s">
        <v>84</v>
      </c>
      <c r="E245" t="s">
        <v>97</v>
      </c>
      <c r="F245" s="3">
        <v>0.21</v>
      </c>
      <c r="G245" s="3">
        <v>0.2</v>
      </c>
      <c r="H245" s="3">
        <v>0.2</v>
      </c>
      <c r="I245" s="3">
        <v>0.127</v>
      </c>
      <c r="J245" s="3">
        <v>0</v>
      </c>
      <c r="K245" s="3">
        <v>7.0000000000000007E-2</v>
      </c>
      <c r="L245" s="2">
        <f>Base[[#This Row],[Coût]]*Base[[#This Row],[Part_ménages_dépenses_santé]]</f>
        <v>0</v>
      </c>
      <c r="M245" s="2">
        <v>0</v>
      </c>
      <c r="N245" s="6">
        <v>27700000</v>
      </c>
      <c r="O245" s="7">
        <f>Base[[#This Row],[Coût_salarié]]*10^9*Base[[#This Row],[Risque]]*Base[[#This Row],[Prévalence]]*Base[[#This Row],[Part_coûts_salarié]]/Base[[#This Row],[Population_emploi]]</f>
        <v>0</v>
      </c>
      <c r="P245">
        <v>50</v>
      </c>
      <c r="Q245">
        <v>50</v>
      </c>
      <c r="R245" s="2">
        <v>9.9999999999999978E-2</v>
      </c>
      <c r="S245" s="2">
        <v>0.33340000000000003</v>
      </c>
      <c r="T245" s="4">
        <v>0</v>
      </c>
      <c r="U245" s="4">
        <f>IF(Bases_annexes!$F$5=0,16.6587111018772,0.77*Bases_annexes!$F$5/(IF(OR(ISBLANK('Données_d''entrée'!$E$44),'Données_d''entrée'!$E$44=0),35,'Données_d''entrée'!$E$44)*52))</f>
        <v>16.658711101877199</v>
      </c>
      <c r="V245" s="4">
        <v>0</v>
      </c>
      <c r="W2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5" s="4">
        <v>234.5</v>
      </c>
      <c r="Y245" s="4">
        <f>(Base[[#This Row],['[Maladies']Coûts_évités_par_salarié]]+Base[[#This Row],['[Travail']Coûts_évités_par_salarié]])/Base[[#This Row],[Budget_santé_salarié]]</f>
        <v>0</v>
      </c>
      <c r="Z245" s="4">
        <v>0.8</v>
      </c>
      <c r="AA245" s="4">
        <f>Base[[#This Row],[Coût]]*Base[[#This Row],[Part_société_dépenses_santé]]</f>
        <v>0</v>
      </c>
      <c r="AB245" s="4">
        <v>67635124</v>
      </c>
      <c r="AC245" s="4">
        <v>82.297079063317852</v>
      </c>
      <c r="AD245" s="4">
        <v>0</v>
      </c>
      <c r="AE245" s="4">
        <f>Base[[#This Row],['[SC']Prévalence_travail]]*Base[[#This Row],[Population_emploi]]</f>
        <v>0</v>
      </c>
      <c r="AF245" s="4">
        <f>Base[[#This Row],[Risque]]*Base[[#This Row],['[SC']Patients_en_emploi]]</f>
        <v>0</v>
      </c>
      <c r="AG245" s="4"/>
      <c r="AH245" s="4">
        <f>IFERROR(Base[[#This Row],['[SC']Prestations]]/Base[[#This Row],['[SC']Patients_en_emploi]],0)</f>
        <v>0</v>
      </c>
      <c r="AI245" s="4"/>
      <c r="AJ2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5" s="4">
        <f>Base[[#This Row],['[SC']'[Travail']Coûts_évités]]/Base[[#This Row],[Population_emploi]]</f>
        <v>0</v>
      </c>
      <c r="AL245" s="4">
        <f>Base[[#This Row],[Coût_société]]*10^9*Base[[#This Row],[Risque]]*Base[[#This Row],[Prévalence]]*Base[[#This Row],[Part_coûts_salarié]]/Base[[#This Row],[Population_emploi]]</f>
        <v>0</v>
      </c>
      <c r="AM245" s="4">
        <f>IF(Base[[#This Row],[Pathologie]]&lt;&gt;"Dépendance",0,14909.24243952)</f>
        <v>0</v>
      </c>
      <c r="AN245" s="4">
        <f>IF(Base[[#This Row],[Pathologie]]&lt;&gt;"Dépendance",0,1316000)</f>
        <v>0</v>
      </c>
      <c r="AO245" s="4">
        <f>IF(Base[[#This Row],[Pathologie]]&lt;&gt;"Dépendance",0,Base[[#This Row],['[SC']Coût_personne_dépendante]]*Base[[#This Row],['[SC']Nb_personnes_dépendantes]])</f>
        <v>0</v>
      </c>
      <c r="AP245" s="4">
        <f>IF(Base[[#This Row],[Pathologie]]&lt;&gt;"Dépendance",0,Base[[#This Row],['[SC']Coût_total_dépendance]]/Base[[#This Row],[Population_totale]])</f>
        <v>0</v>
      </c>
      <c r="AQ245" s="4">
        <f>IF(Base[[#This Row],[Pathologie]]&lt;&gt;"Dépendance",0,4.5)</f>
        <v>0</v>
      </c>
      <c r="AR245" s="4">
        <v>0.50393265050357905</v>
      </c>
      <c r="AS245" s="4">
        <f>Base[[#This Row],[Espérance_vie]]+Base[[#This Row],['[SC']Hausse_esp_de_vie]]-Base[[#This Row],['[SC']Durée_moyenne_dépendance_avt]]+Base[[#This Row],[Risque]]</f>
        <v>83.011011713821432</v>
      </c>
      <c r="AT2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5" s="4">
        <v>62.9</v>
      </c>
      <c r="AW245" s="4">
        <f t="shared" si="2"/>
        <v>336905600000</v>
      </c>
      <c r="AX245" s="4">
        <v>15049171</v>
      </c>
      <c r="AY245" s="4">
        <f>Base[[#This Row],['[SC']Budget_total_retraites]]/Base[[#This Row],['[SC']Nombre_de_retraités]]</f>
        <v>22386.987296509556</v>
      </c>
      <c r="AZ245" s="4">
        <f>Base[[#This Row],['[SC']Budget_par_retraité]]*Base[[#This Row],['[SC']Nb_personnes_dépendantes]]</f>
        <v>0</v>
      </c>
      <c r="BA245" s="4">
        <f>Base[[#This Row],['[SC']'[Dépendance']Coût_retraite_personnes_dépendantes]]/Base[[#This Row],[Population_totale]]</f>
        <v>0</v>
      </c>
      <c r="BB2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5" s="4">
        <f>Base[[#This Row],['[SC']'[Dépendance']Gains]]-Base[[#This Row],['[SC']'[Dépendance']Coûts]]</f>
        <v>0</v>
      </c>
      <c r="BD245" s="4">
        <f>IF(Base[[#This Row],[Pathologie]]&lt;&gt;"Mort prématurée",0,Base[[#This Row],[Risque]]*Base[[#This Row],[Prévalence]]*Base[[#This Row],[Population_totale]])</f>
        <v>0</v>
      </c>
      <c r="BE245" s="4">
        <v>52.74</v>
      </c>
      <c r="BF245" s="4">
        <f>Base[[#This Row],['[SC']Âge_moyen_retraite]]-Base[[#This Row],['[SC']'[Mort_prématurée']Âge_moyen_mort précoce]]</f>
        <v>10.159999999999997</v>
      </c>
      <c r="BG245" s="4">
        <f>Base[[#This Row],[Espérance_vie]]+Base[[#This Row],['[SC']Hausse_esp_de_vie]]-Base[[#This Row],['[SC']Âge_moyen_retraite]]</f>
        <v>19.90101171382144</v>
      </c>
      <c r="BH245" s="4">
        <v>106583.42676924677</v>
      </c>
      <c r="BI245" s="4">
        <v>97601.789429271477</v>
      </c>
      <c r="BJ245" s="4">
        <v>302038.31496633729</v>
      </c>
      <c r="BK245" s="4">
        <v>117293.58934859755</v>
      </c>
      <c r="BL245" s="4">
        <v>1523999.9999999995</v>
      </c>
      <c r="BM2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5" s="4">
        <v>294804.96027377353</v>
      </c>
      <c r="BO2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5" s="4">
        <f>(Base[[#This Row],['[SC']'[Mort_prématurée']Gains]]-Base[[#This Row],['[SC']'[Mort_prématurée']Coûts]])/Base[[#This Row],[Population_totale]]</f>
        <v>0</v>
      </c>
      <c r="BQ245" s="4">
        <f>IF(Base[[#This Row],[Pathologie]]&lt;&gt;"Mort prématurée",0,Base[[#This Row],[Risque]])</f>
        <v>0</v>
      </c>
      <c r="BR245" s="4">
        <v>2680</v>
      </c>
      <c r="BS2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5" s="4">
        <f>Base[[#This Row],[Prévalence_prod]]*(1-Base[[#This Row],[Risque]])*Base[[#This Row],[Durée_arrêt]]*Base[[#This Row],[Population_emploi]]</f>
        <v>0</v>
      </c>
      <c r="BV245" s="4">
        <f>Base[[#This Row],['[Prod']'[Absentéisme']Total_jours_absence_avant]]-Base[[#This Row],['[Prod']'[Absentéisme']Total_jours_absence_après]]</f>
        <v>0</v>
      </c>
      <c r="BW245" s="4">
        <f>IF(AND(Base[[#This Row],[Pathologie]]&lt;&gt;"Dépendance",Base[[#This Row],[Pathologie]]&lt;&gt;"Mort prématurée",Base[[#This Row],[Pathologie]]&lt;&gt;"Migraine"),0.0619,0)</f>
        <v>0</v>
      </c>
      <c r="BX245" s="4">
        <v>254</v>
      </c>
      <c r="BY24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5" s="4">
        <f>Base[[#This Row],[Prévalence_prod]]*Base[[#This Row],[Présentéisme]]*Base[[#This Row],['[Prod']Jours_ouvrés]]</f>
        <v>6.4516000000000009</v>
      </c>
      <c r="CB245" s="4">
        <f>Base[[#This Row],[Prévalence_prod]]*(1-Base[[#This Row],[Risque]])*Base[[#This Row],[Présentéisme]]*Base[[#This Row],['[Prod']Jours_ouvrés]]</f>
        <v>5.0967640000000012</v>
      </c>
      <c r="CC245" s="4">
        <f>Base[[#This Row],['[Prod']'[Présentéisme']Jours_avant]]-Base[[#This Row],['[Prod']'[Présentéisme']Jours_après]]</f>
        <v>1.3548359999999997</v>
      </c>
      <c r="CD245" s="4">
        <f>Base[[#This Row],['[Prod']'[Présentéisme']Jours_gagnés]]/Base[[#This Row],['[Prod']Jours_ouvrés]]</f>
        <v>5.3339999999999985E-3</v>
      </c>
      <c r="CE245">
        <v>5.8333039429220801E-2</v>
      </c>
      <c r="CF245">
        <v>1.4658164114728258E-2</v>
      </c>
      <c r="CG245" s="4">
        <v>11</v>
      </c>
      <c r="CH245" s="4">
        <v>0.13729577077682142</v>
      </c>
      <c r="CI245" s="4">
        <v>1.373516710817578E-2</v>
      </c>
      <c r="CJ245" s="4">
        <f>IF(Base[[#This Row],[Secteur]]&lt;&gt;"Moyenne",Base[[#This Row],['[Prod']'[Turnover']DMC_initiale]]*(1+Base[[#This Row],['[Prod']'[Turnover']Ecart_accidents]]*Base[[#This Row],['[Prod']Impact_motifs_turnover]]),CJ228*CI228+CJ229*CI229+CJ230*CI230+CJ231*CI231+CJ232*CI232+CJ233*CI233+CJ234*CI234+CJ235*CI235+CJ236*CI236+CJ237*CI237+CJ238*CI238+CJ239*CI239+CJ240*CI240+CJ241*CI241+CJ242*CI242+CJ243*CI243+CJ244*CI244)</f>
        <v>11.022137543343351</v>
      </c>
      <c r="CK245" s="4">
        <f>1/Base[[#This Row],['[Prod']'[Turnover']DMC_initiale]]</f>
        <v>9.0909090909090912E-2</v>
      </c>
      <c r="CL245" s="4">
        <f>1/Base[[#This Row],['[Prod']'[Turnover']DMC_finale]]</f>
        <v>9.0726503463380792E-2</v>
      </c>
    </row>
    <row r="246" spans="2:90" x14ac:dyDescent="0.25">
      <c r="B246" s="4" t="s">
        <v>328</v>
      </c>
      <c r="C246">
        <v>7.5</v>
      </c>
      <c r="D246" t="s">
        <v>84</v>
      </c>
      <c r="E246" t="s">
        <v>97</v>
      </c>
      <c r="F246" s="3">
        <v>0.21</v>
      </c>
      <c r="G246" s="3">
        <v>0.2</v>
      </c>
      <c r="H246" s="3">
        <v>0.2</v>
      </c>
      <c r="I246" s="3">
        <v>0.127</v>
      </c>
      <c r="J246" s="3">
        <v>0</v>
      </c>
      <c r="K246" s="3">
        <v>7.0000000000000007E-2</v>
      </c>
      <c r="L246" s="2">
        <f>Base[[#This Row],[Coût]]*Base[[#This Row],[Part_ménages_dépenses_santé]]</f>
        <v>0</v>
      </c>
      <c r="M246" s="2">
        <v>0</v>
      </c>
      <c r="N246" s="6">
        <v>27700000</v>
      </c>
      <c r="O246" s="7">
        <f>Base[[#This Row],[Coût_salarié]]*10^9*Base[[#This Row],[Risque]]*Base[[#This Row],[Prévalence]]*Base[[#This Row],[Part_coûts_salarié]]/Base[[#This Row],[Population_emploi]]</f>
        <v>0</v>
      </c>
      <c r="P246">
        <v>50</v>
      </c>
      <c r="Q246">
        <v>50</v>
      </c>
      <c r="R246" s="2">
        <v>9.9999999999999978E-2</v>
      </c>
      <c r="S246" s="2">
        <v>0.33340000000000003</v>
      </c>
      <c r="T246" s="4">
        <v>0</v>
      </c>
      <c r="U246" s="4">
        <f>IF(Bases_annexes!$F$5=0,16.6587111018772,0.77*Bases_annexes!$F$5/(IF(OR(ISBLANK('Données_d''entrée'!$E$44),'Données_d''entrée'!$E$44=0),35,'Données_d''entrée'!$E$44)*52))</f>
        <v>16.658711101877199</v>
      </c>
      <c r="V246" s="4">
        <v>0</v>
      </c>
      <c r="W2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6" s="4">
        <v>234.5</v>
      </c>
      <c r="Y246" s="4">
        <f>(Base[[#This Row],['[Maladies']Coûts_évités_par_salarié]]+Base[[#This Row],['[Travail']Coûts_évités_par_salarié]])/Base[[#This Row],[Budget_santé_salarié]]</f>
        <v>0</v>
      </c>
      <c r="Z246" s="4">
        <v>0.8</v>
      </c>
      <c r="AA246" s="4">
        <f>Base[[#This Row],[Coût]]*Base[[#This Row],[Part_société_dépenses_santé]]</f>
        <v>0</v>
      </c>
      <c r="AB246" s="4">
        <v>67635124</v>
      </c>
      <c r="AC246" s="4">
        <v>82.297079063317852</v>
      </c>
      <c r="AD246" s="4">
        <v>0</v>
      </c>
      <c r="AE246" s="4">
        <f>Base[[#This Row],['[SC']Prévalence_travail]]*Base[[#This Row],[Population_emploi]]</f>
        <v>0</v>
      </c>
      <c r="AF246" s="4">
        <f>Base[[#This Row],[Risque]]*Base[[#This Row],['[SC']Patients_en_emploi]]</f>
        <v>0</v>
      </c>
      <c r="AG246" s="4"/>
      <c r="AH246" s="4">
        <f>IFERROR(Base[[#This Row],['[SC']Prestations]]/Base[[#This Row],['[SC']Patients_en_emploi]],0)</f>
        <v>0</v>
      </c>
      <c r="AI246" s="4"/>
      <c r="AJ2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6" s="4">
        <f>Base[[#This Row],['[SC']'[Travail']Coûts_évités]]/Base[[#This Row],[Population_emploi]]</f>
        <v>0</v>
      </c>
      <c r="AL246" s="4">
        <f>Base[[#This Row],[Coût_société]]*10^9*Base[[#This Row],[Risque]]*Base[[#This Row],[Prévalence]]*Base[[#This Row],[Part_coûts_salarié]]/Base[[#This Row],[Population_emploi]]</f>
        <v>0</v>
      </c>
      <c r="AM246" s="4">
        <f>IF(Base[[#This Row],[Pathologie]]&lt;&gt;"Dépendance",0,14909.24243952)</f>
        <v>0</v>
      </c>
      <c r="AN246" s="4">
        <f>IF(Base[[#This Row],[Pathologie]]&lt;&gt;"Dépendance",0,1316000)</f>
        <v>0</v>
      </c>
      <c r="AO246" s="4">
        <f>IF(Base[[#This Row],[Pathologie]]&lt;&gt;"Dépendance",0,Base[[#This Row],['[SC']Coût_personne_dépendante]]*Base[[#This Row],['[SC']Nb_personnes_dépendantes]])</f>
        <v>0</v>
      </c>
      <c r="AP246" s="4">
        <f>IF(Base[[#This Row],[Pathologie]]&lt;&gt;"Dépendance",0,Base[[#This Row],['[SC']Coût_total_dépendance]]/Base[[#This Row],[Population_totale]])</f>
        <v>0</v>
      </c>
      <c r="AQ246" s="4">
        <f>IF(Base[[#This Row],[Pathologie]]&lt;&gt;"Dépendance",0,4.5)</f>
        <v>0</v>
      </c>
      <c r="AR246" s="4">
        <v>0.50393265050357905</v>
      </c>
      <c r="AS246" s="4">
        <f>Base[[#This Row],[Espérance_vie]]+Base[[#This Row],['[SC']Hausse_esp_de_vie]]-Base[[#This Row],['[SC']Durée_moyenne_dépendance_avt]]+Base[[#This Row],[Risque]]</f>
        <v>83.011011713821432</v>
      </c>
      <c r="AT2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6" s="4">
        <v>62.9</v>
      </c>
      <c r="AW246" s="4">
        <f t="shared" si="2"/>
        <v>336905600000</v>
      </c>
      <c r="AX246" s="4">
        <v>15049171</v>
      </c>
      <c r="AY246" s="4">
        <f>Base[[#This Row],['[SC']Budget_total_retraites]]/Base[[#This Row],['[SC']Nombre_de_retraités]]</f>
        <v>22386.987296509556</v>
      </c>
      <c r="AZ246" s="4">
        <f>Base[[#This Row],['[SC']Budget_par_retraité]]*Base[[#This Row],['[SC']Nb_personnes_dépendantes]]</f>
        <v>0</v>
      </c>
      <c r="BA246" s="4">
        <f>Base[[#This Row],['[SC']'[Dépendance']Coût_retraite_personnes_dépendantes]]/Base[[#This Row],[Population_totale]]</f>
        <v>0</v>
      </c>
      <c r="BB2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6" s="4">
        <f>Base[[#This Row],['[SC']'[Dépendance']Gains]]-Base[[#This Row],['[SC']'[Dépendance']Coûts]]</f>
        <v>0</v>
      </c>
      <c r="BD246" s="4">
        <f>IF(Base[[#This Row],[Pathologie]]&lt;&gt;"Mort prématurée",0,Base[[#This Row],[Risque]]*Base[[#This Row],[Prévalence]]*Base[[#This Row],[Population_totale]])</f>
        <v>0</v>
      </c>
      <c r="BE246" s="4">
        <v>52.74</v>
      </c>
      <c r="BF246" s="4">
        <f>Base[[#This Row],['[SC']Âge_moyen_retraite]]-Base[[#This Row],['[SC']'[Mort_prématurée']Âge_moyen_mort précoce]]</f>
        <v>10.159999999999997</v>
      </c>
      <c r="BG246" s="4">
        <f>Base[[#This Row],[Espérance_vie]]+Base[[#This Row],['[SC']Hausse_esp_de_vie]]-Base[[#This Row],['[SC']Âge_moyen_retraite]]</f>
        <v>19.90101171382144</v>
      </c>
      <c r="BH246" s="4">
        <v>106583.42676924677</v>
      </c>
      <c r="BI246" s="4">
        <v>97601.789429271477</v>
      </c>
      <c r="BJ246" s="4">
        <v>302038.31496633729</v>
      </c>
      <c r="BK246" s="4">
        <v>117293.58934859755</v>
      </c>
      <c r="BL246" s="4">
        <v>1523999.9999999995</v>
      </c>
      <c r="BM2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6" s="4">
        <v>294804.96027377353</v>
      </c>
      <c r="BO2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6" s="4">
        <f>(Base[[#This Row],['[SC']'[Mort_prématurée']Gains]]-Base[[#This Row],['[SC']'[Mort_prématurée']Coûts]])/Base[[#This Row],[Population_totale]]</f>
        <v>0</v>
      </c>
      <c r="BQ246" s="4">
        <f>IF(Base[[#This Row],[Pathologie]]&lt;&gt;"Mort prématurée",0,Base[[#This Row],[Risque]])</f>
        <v>0</v>
      </c>
      <c r="BR246" s="4">
        <v>2680</v>
      </c>
      <c r="BS2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6" s="4">
        <f>Base[[#This Row],[Prévalence_prod]]*(1-Base[[#This Row],[Risque]])*Base[[#This Row],[Durée_arrêt]]*Base[[#This Row],[Population_emploi]]</f>
        <v>0</v>
      </c>
      <c r="BV246" s="4">
        <f>Base[[#This Row],['[Prod']'[Absentéisme']Total_jours_absence_avant]]-Base[[#This Row],['[Prod']'[Absentéisme']Total_jours_absence_après]]</f>
        <v>0</v>
      </c>
      <c r="BW246" s="4">
        <f>IF(AND(Base[[#This Row],[Pathologie]]&lt;&gt;"Dépendance",Base[[#This Row],[Pathologie]]&lt;&gt;"Mort prématurée",Base[[#This Row],[Pathologie]]&lt;&gt;"Migraine"),0.0619,0)</f>
        <v>0</v>
      </c>
      <c r="BX246" s="4">
        <v>254</v>
      </c>
      <c r="BY24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6" s="4">
        <f>Base[[#This Row],[Prévalence_prod]]*Base[[#This Row],[Présentéisme]]*Base[[#This Row],['[Prod']Jours_ouvrés]]</f>
        <v>6.4516000000000009</v>
      </c>
      <c r="CB246" s="4">
        <f>Base[[#This Row],[Prévalence_prod]]*(1-Base[[#This Row],[Risque]])*Base[[#This Row],[Présentéisme]]*Base[[#This Row],['[Prod']Jours_ouvrés]]</f>
        <v>5.0967640000000012</v>
      </c>
      <c r="CC246" s="4">
        <f>Base[[#This Row],['[Prod']'[Présentéisme']Jours_avant]]-Base[[#This Row],['[Prod']'[Présentéisme']Jours_après]]</f>
        <v>1.3548359999999997</v>
      </c>
      <c r="CD246" s="4">
        <f>Base[[#This Row],['[Prod']'[Présentéisme']Jours_gagnés]]/Base[[#This Row],['[Prod']Jours_ouvrés]]</f>
        <v>5.3339999999999985E-3</v>
      </c>
      <c r="CE246">
        <v>5.8333039429220801E-2</v>
      </c>
      <c r="CF246">
        <v>1.4658164114728258E-2</v>
      </c>
      <c r="CG246" s="4">
        <v>11</v>
      </c>
      <c r="CH246" s="4">
        <v>0.60922528771817497</v>
      </c>
      <c r="CI246" s="4">
        <v>3.8601807163334179E-3</v>
      </c>
      <c r="CJ246" s="4">
        <f>IF(Base[[#This Row],[Secteur]]&lt;&gt;"Moyenne",Base[[#This Row],['[Prod']'[Turnover']DMC_initiale]]*(1+Base[[#This Row],['[Prod']'[Turnover']Ecart_accidents]]*Base[[#This Row],['[Prod']Impact_motifs_turnover]]),CJ229*CI229+CJ230*CI230+CJ231*CI231+CJ232*CI232+CJ233*CI233+CJ234*CI234+CJ235*CI235+CJ236*CI236+CJ237*CI237+CJ238*CI238+CJ239*CI239+CJ240*CI240+CJ241*CI241+CJ242*CI242+CJ243*CI243+CJ244*CI244+CJ245*CI245)</f>
        <v>11.098231366752371</v>
      </c>
      <c r="CK246" s="4">
        <f>1/Base[[#This Row],['[Prod']'[Turnover']DMC_initiale]]</f>
        <v>9.0909090909090912E-2</v>
      </c>
      <c r="CL246" s="4">
        <f>1/Base[[#This Row],['[Prod']'[Turnover']DMC_finale]]</f>
        <v>9.0104447001867274E-2</v>
      </c>
    </row>
    <row r="247" spans="2:90" x14ac:dyDescent="0.25">
      <c r="B247" s="4" t="s">
        <v>329</v>
      </c>
      <c r="C247">
        <v>7.5</v>
      </c>
      <c r="D247" t="s">
        <v>84</v>
      </c>
      <c r="E247" t="s">
        <v>97</v>
      </c>
      <c r="F247" s="3">
        <v>0.21</v>
      </c>
      <c r="G247" s="3">
        <v>0.2</v>
      </c>
      <c r="H247" s="3">
        <v>0.2</v>
      </c>
      <c r="I247" s="3">
        <v>0.127</v>
      </c>
      <c r="J247" s="3">
        <v>0</v>
      </c>
      <c r="K247" s="3">
        <v>7.0000000000000007E-2</v>
      </c>
      <c r="L247" s="2">
        <f>Base[[#This Row],[Coût]]*Base[[#This Row],[Part_ménages_dépenses_santé]]</f>
        <v>0</v>
      </c>
      <c r="M247" s="2">
        <v>0</v>
      </c>
      <c r="N247" s="6">
        <v>27700000</v>
      </c>
      <c r="O247" s="7">
        <f>Base[[#This Row],[Coût_salarié]]*10^9*Base[[#This Row],[Risque]]*Base[[#This Row],[Prévalence]]*Base[[#This Row],[Part_coûts_salarié]]/Base[[#This Row],[Population_emploi]]</f>
        <v>0</v>
      </c>
      <c r="P247">
        <v>50</v>
      </c>
      <c r="Q247">
        <v>50</v>
      </c>
      <c r="R247" s="2">
        <v>9.9999999999999978E-2</v>
      </c>
      <c r="S247" s="2">
        <v>0.33340000000000003</v>
      </c>
      <c r="T247" s="4">
        <v>0</v>
      </c>
      <c r="U247" s="4">
        <f>IF(Bases_annexes!$F$5=0,16.6587111018772,0.77*Bases_annexes!$F$5/(IF(OR(ISBLANK('Données_d''entrée'!$E$44),'Données_d''entrée'!$E$44=0),35,'Données_d''entrée'!$E$44)*52))</f>
        <v>16.658711101877199</v>
      </c>
      <c r="V247" s="4">
        <v>0</v>
      </c>
      <c r="W2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7" s="4">
        <v>234.5</v>
      </c>
      <c r="Y247" s="4">
        <f>(Base[[#This Row],['[Maladies']Coûts_évités_par_salarié]]+Base[[#This Row],['[Travail']Coûts_évités_par_salarié]])/Base[[#This Row],[Budget_santé_salarié]]</f>
        <v>0</v>
      </c>
      <c r="Z247" s="4">
        <v>0.8</v>
      </c>
      <c r="AA247" s="4">
        <f>Base[[#This Row],[Coût]]*Base[[#This Row],[Part_société_dépenses_santé]]</f>
        <v>0</v>
      </c>
      <c r="AB247" s="4">
        <v>67635124</v>
      </c>
      <c r="AC247" s="4">
        <v>82.297079063317852</v>
      </c>
      <c r="AD247" s="4">
        <v>0</v>
      </c>
      <c r="AE247" s="4">
        <f>Base[[#This Row],['[SC']Prévalence_travail]]*Base[[#This Row],[Population_emploi]]</f>
        <v>0</v>
      </c>
      <c r="AF247" s="4">
        <f>Base[[#This Row],[Risque]]*Base[[#This Row],['[SC']Patients_en_emploi]]</f>
        <v>0</v>
      </c>
      <c r="AG247" s="4"/>
      <c r="AH247" s="4">
        <f>IFERROR(Base[[#This Row],['[SC']Prestations]]/Base[[#This Row],['[SC']Patients_en_emploi]],0)</f>
        <v>0</v>
      </c>
      <c r="AI247" s="4"/>
      <c r="AJ2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7" s="4">
        <f>Base[[#This Row],['[SC']'[Travail']Coûts_évités]]/Base[[#This Row],[Population_emploi]]</f>
        <v>0</v>
      </c>
      <c r="AL247" s="4">
        <f>Base[[#This Row],[Coût_société]]*10^9*Base[[#This Row],[Risque]]*Base[[#This Row],[Prévalence]]*Base[[#This Row],[Part_coûts_salarié]]/Base[[#This Row],[Population_emploi]]</f>
        <v>0</v>
      </c>
      <c r="AM247" s="4">
        <f>IF(Base[[#This Row],[Pathologie]]&lt;&gt;"Dépendance",0,14909.24243952)</f>
        <v>0</v>
      </c>
      <c r="AN247" s="4">
        <f>IF(Base[[#This Row],[Pathologie]]&lt;&gt;"Dépendance",0,1316000)</f>
        <v>0</v>
      </c>
      <c r="AO247" s="4">
        <f>IF(Base[[#This Row],[Pathologie]]&lt;&gt;"Dépendance",0,Base[[#This Row],['[SC']Coût_personne_dépendante]]*Base[[#This Row],['[SC']Nb_personnes_dépendantes]])</f>
        <v>0</v>
      </c>
      <c r="AP247" s="4">
        <f>IF(Base[[#This Row],[Pathologie]]&lt;&gt;"Dépendance",0,Base[[#This Row],['[SC']Coût_total_dépendance]]/Base[[#This Row],[Population_totale]])</f>
        <v>0</v>
      </c>
      <c r="AQ247" s="4">
        <f>IF(Base[[#This Row],[Pathologie]]&lt;&gt;"Dépendance",0,4.5)</f>
        <v>0</v>
      </c>
      <c r="AR247" s="4">
        <v>0.50393265050357905</v>
      </c>
      <c r="AS247" s="4">
        <f>Base[[#This Row],[Espérance_vie]]+Base[[#This Row],['[SC']Hausse_esp_de_vie]]-Base[[#This Row],['[SC']Durée_moyenne_dépendance_avt]]+Base[[#This Row],[Risque]]</f>
        <v>83.011011713821432</v>
      </c>
      <c r="AT2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7" s="4">
        <v>62.9</v>
      </c>
      <c r="AW247" s="4">
        <f t="shared" si="2"/>
        <v>336905600000</v>
      </c>
      <c r="AX247" s="4">
        <v>15049171</v>
      </c>
      <c r="AY247" s="4">
        <f>Base[[#This Row],['[SC']Budget_total_retraites]]/Base[[#This Row],['[SC']Nombre_de_retraités]]</f>
        <v>22386.987296509556</v>
      </c>
      <c r="AZ247" s="4">
        <f>Base[[#This Row],['[SC']Budget_par_retraité]]*Base[[#This Row],['[SC']Nb_personnes_dépendantes]]</f>
        <v>0</v>
      </c>
      <c r="BA247" s="4">
        <f>Base[[#This Row],['[SC']'[Dépendance']Coût_retraite_personnes_dépendantes]]/Base[[#This Row],[Population_totale]]</f>
        <v>0</v>
      </c>
      <c r="BB2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7" s="4">
        <f>Base[[#This Row],['[SC']'[Dépendance']Gains]]-Base[[#This Row],['[SC']'[Dépendance']Coûts]]</f>
        <v>0</v>
      </c>
      <c r="BD247" s="4">
        <f>IF(Base[[#This Row],[Pathologie]]&lt;&gt;"Mort prématurée",0,Base[[#This Row],[Risque]]*Base[[#This Row],[Prévalence]]*Base[[#This Row],[Population_totale]])</f>
        <v>0</v>
      </c>
      <c r="BE247" s="4">
        <v>52.74</v>
      </c>
      <c r="BF247" s="4">
        <f>Base[[#This Row],['[SC']Âge_moyen_retraite]]-Base[[#This Row],['[SC']'[Mort_prématurée']Âge_moyen_mort précoce]]</f>
        <v>10.159999999999997</v>
      </c>
      <c r="BG247" s="4">
        <f>Base[[#This Row],[Espérance_vie]]+Base[[#This Row],['[SC']Hausse_esp_de_vie]]-Base[[#This Row],['[SC']Âge_moyen_retraite]]</f>
        <v>19.90101171382144</v>
      </c>
      <c r="BH247" s="4">
        <v>106583.42676924677</v>
      </c>
      <c r="BI247" s="4">
        <v>97601.789429271477</v>
      </c>
      <c r="BJ247" s="4">
        <v>302038.31496633729</v>
      </c>
      <c r="BK247" s="4">
        <v>117293.58934859755</v>
      </c>
      <c r="BL247" s="4">
        <v>1523999.9999999995</v>
      </c>
      <c r="BM2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7" s="4">
        <v>294804.96027377353</v>
      </c>
      <c r="BO2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7" s="4">
        <f>(Base[[#This Row],['[SC']'[Mort_prématurée']Gains]]-Base[[#This Row],['[SC']'[Mort_prématurée']Coûts]])/Base[[#This Row],[Population_totale]]</f>
        <v>0</v>
      </c>
      <c r="BQ247" s="4">
        <f>IF(Base[[#This Row],[Pathologie]]&lt;&gt;"Mort prématurée",0,Base[[#This Row],[Risque]])</f>
        <v>0</v>
      </c>
      <c r="BR247" s="4">
        <v>2680</v>
      </c>
      <c r="BS2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7" s="4">
        <f>Base[[#This Row],[Prévalence_prod]]*(1-Base[[#This Row],[Risque]])*Base[[#This Row],[Durée_arrêt]]*Base[[#This Row],[Population_emploi]]</f>
        <v>0</v>
      </c>
      <c r="BV247" s="4">
        <f>Base[[#This Row],['[Prod']'[Absentéisme']Total_jours_absence_avant]]-Base[[#This Row],['[Prod']'[Absentéisme']Total_jours_absence_après]]</f>
        <v>0</v>
      </c>
      <c r="BW247" s="4">
        <f>IF(AND(Base[[#This Row],[Pathologie]]&lt;&gt;"Dépendance",Base[[#This Row],[Pathologie]]&lt;&gt;"Mort prématurée",Base[[#This Row],[Pathologie]]&lt;&gt;"Migraine"),0.0619,0)</f>
        <v>0</v>
      </c>
      <c r="BX247" s="4">
        <v>254</v>
      </c>
      <c r="BY24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7" s="4">
        <f>Base[[#This Row],[Prévalence_prod]]*Base[[#This Row],[Présentéisme]]*Base[[#This Row],['[Prod']Jours_ouvrés]]</f>
        <v>6.4516000000000009</v>
      </c>
      <c r="CB247" s="4">
        <f>Base[[#This Row],[Prévalence_prod]]*(1-Base[[#This Row],[Risque]])*Base[[#This Row],[Présentéisme]]*Base[[#This Row],['[Prod']Jours_ouvrés]]</f>
        <v>5.0967640000000012</v>
      </c>
      <c r="CC247" s="4">
        <f>Base[[#This Row],['[Prod']'[Présentéisme']Jours_avant]]-Base[[#This Row],['[Prod']'[Présentéisme']Jours_après]]</f>
        <v>1.3548359999999997</v>
      </c>
      <c r="CD247" s="4">
        <f>Base[[#This Row],['[Prod']'[Présentéisme']Jours_gagnés]]/Base[[#This Row],['[Prod']Jours_ouvrés]]</f>
        <v>5.3339999999999985E-3</v>
      </c>
      <c r="CE247">
        <v>5.8333039429220801E-2</v>
      </c>
      <c r="CF247">
        <v>1.4658164114728258E-2</v>
      </c>
      <c r="CG247" s="4">
        <v>11</v>
      </c>
      <c r="CH247" s="4">
        <v>0.78414927716175975</v>
      </c>
      <c r="CI247" s="4">
        <v>0.12835819090128339</v>
      </c>
      <c r="CJ247" s="4">
        <f>IF(Base[[#This Row],[Secteur]]&lt;&gt;"Moyenne",Base[[#This Row],['[Prod']'[Turnover']DMC_initiale]]*(1+Base[[#This Row],['[Prod']'[Turnover']Ecart_accidents]]*Base[[#This Row],['[Prod']Impact_motifs_turnover]]),CJ230*CI230+CJ231*CI231+CJ232*CI232+CJ233*CI233+CJ234*CI234+CJ235*CI235+CJ236*CI236+CJ237*CI237+CJ238*CI238+CJ239*CI239+CJ240*CI240+CJ241*CI241+CJ242*CI242+CJ243*CI243+CJ244*CI244+CJ245*CI245+CJ246*CI246)</f>
        <v>11.126436076745907</v>
      </c>
      <c r="CK247" s="4">
        <f>1/Base[[#This Row],['[Prod']'[Turnover']DMC_initiale]]</f>
        <v>9.0909090909090912E-2</v>
      </c>
      <c r="CL247" s="4">
        <f>1/Base[[#This Row],['[Prod']'[Turnover']DMC_finale]]</f>
        <v>8.9876038751526707E-2</v>
      </c>
    </row>
    <row r="248" spans="2:90" x14ac:dyDescent="0.25">
      <c r="B248" s="4" t="s">
        <v>330</v>
      </c>
      <c r="C248">
        <v>7.5</v>
      </c>
      <c r="D248" t="s">
        <v>84</v>
      </c>
      <c r="E248" t="s">
        <v>97</v>
      </c>
      <c r="F248" s="3">
        <v>0.21</v>
      </c>
      <c r="G248" s="3">
        <v>0.2</v>
      </c>
      <c r="H248" s="3">
        <v>0.2</v>
      </c>
      <c r="I248" s="3">
        <v>0.127</v>
      </c>
      <c r="J248" s="3">
        <v>0</v>
      </c>
      <c r="K248" s="3">
        <v>7.0000000000000007E-2</v>
      </c>
      <c r="L248" s="2">
        <f>Base[[#This Row],[Coût]]*Base[[#This Row],[Part_ménages_dépenses_santé]]</f>
        <v>0</v>
      </c>
      <c r="M248" s="2">
        <v>0</v>
      </c>
      <c r="N248" s="6">
        <v>27700000</v>
      </c>
      <c r="O248" s="7">
        <f>Base[[#This Row],[Coût_salarié]]*10^9*Base[[#This Row],[Risque]]*Base[[#This Row],[Prévalence]]*Base[[#This Row],[Part_coûts_salarié]]/Base[[#This Row],[Population_emploi]]</f>
        <v>0</v>
      </c>
      <c r="P248">
        <v>50</v>
      </c>
      <c r="Q248">
        <v>50</v>
      </c>
      <c r="R248" s="2">
        <v>9.9999999999999978E-2</v>
      </c>
      <c r="S248" s="2">
        <v>0.33340000000000003</v>
      </c>
      <c r="T248" s="4">
        <v>0</v>
      </c>
      <c r="U248" s="4">
        <f>IF(Bases_annexes!$F$5=0,16.6587111018772,0.77*Bases_annexes!$F$5/(IF(OR(ISBLANK('Données_d''entrée'!$E$44),'Données_d''entrée'!$E$44=0),35,'Données_d''entrée'!$E$44)*52))</f>
        <v>16.658711101877199</v>
      </c>
      <c r="V248" s="4">
        <v>0</v>
      </c>
      <c r="W2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8" s="4">
        <v>234.5</v>
      </c>
      <c r="Y248" s="4">
        <f>(Base[[#This Row],['[Maladies']Coûts_évités_par_salarié]]+Base[[#This Row],['[Travail']Coûts_évités_par_salarié]])/Base[[#This Row],[Budget_santé_salarié]]</f>
        <v>0</v>
      </c>
      <c r="Z248" s="4">
        <v>0.8</v>
      </c>
      <c r="AA248" s="4">
        <f>Base[[#This Row],[Coût]]*Base[[#This Row],[Part_société_dépenses_santé]]</f>
        <v>0</v>
      </c>
      <c r="AB248" s="4">
        <v>67635124</v>
      </c>
      <c r="AC248" s="4">
        <v>82.297079063317852</v>
      </c>
      <c r="AD248" s="4">
        <v>0</v>
      </c>
      <c r="AE248" s="4">
        <f>Base[[#This Row],['[SC']Prévalence_travail]]*Base[[#This Row],[Population_emploi]]</f>
        <v>0</v>
      </c>
      <c r="AF248" s="4">
        <f>Base[[#This Row],[Risque]]*Base[[#This Row],['[SC']Patients_en_emploi]]</f>
        <v>0</v>
      </c>
      <c r="AG248" s="4"/>
      <c r="AH248" s="4">
        <f>IFERROR(Base[[#This Row],['[SC']Prestations]]/Base[[#This Row],['[SC']Patients_en_emploi]],0)</f>
        <v>0</v>
      </c>
      <c r="AI248" s="4"/>
      <c r="AJ2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8" s="4">
        <f>Base[[#This Row],['[SC']'[Travail']Coûts_évités]]/Base[[#This Row],[Population_emploi]]</f>
        <v>0</v>
      </c>
      <c r="AL248" s="4">
        <f>Base[[#This Row],[Coût_société]]*10^9*Base[[#This Row],[Risque]]*Base[[#This Row],[Prévalence]]*Base[[#This Row],[Part_coûts_salarié]]/Base[[#This Row],[Population_emploi]]</f>
        <v>0</v>
      </c>
      <c r="AM248" s="4">
        <f>IF(Base[[#This Row],[Pathologie]]&lt;&gt;"Dépendance",0,14909.24243952)</f>
        <v>0</v>
      </c>
      <c r="AN248" s="4">
        <f>IF(Base[[#This Row],[Pathologie]]&lt;&gt;"Dépendance",0,1316000)</f>
        <v>0</v>
      </c>
      <c r="AO248" s="4">
        <f>IF(Base[[#This Row],[Pathologie]]&lt;&gt;"Dépendance",0,Base[[#This Row],['[SC']Coût_personne_dépendante]]*Base[[#This Row],['[SC']Nb_personnes_dépendantes]])</f>
        <v>0</v>
      </c>
      <c r="AP248" s="4">
        <f>IF(Base[[#This Row],[Pathologie]]&lt;&gt;"Dépendance",0,Base[[#This Row],['[SC']Coût_total_dépendance]]/Base[[#This Row],[Population_totale]])</f>
        <v>0</v>
      </c>
      <c r="AQ248" s="4">
        <f>IF(Base[[#This Row],[Pathologie]]&lt;&gt;"Dépendance",0,4.5)</f>
        <v>0</v>
      </c>
      <c r="AR248" s="4">
        <v>0.50393265050357905</v>
      </c>
      <c r="AS248" s="4">
        <f>Base[[#This Row],[Espérance_vie]]+Base[[#This Row],['[SC']Hausse_esp_de_vie]]-Base[[#This Row],['[SC']Durée_moyenne_dépendance_avt]]+Base[[#This Row],[Risque]]</f>
        <v>83.011011713821432</v>
      </c>
      <c r="AT2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8" s="4">
        <v>62.9</v>
      </c>
      <c r="AW248" s="4">
        <f t="shared" si="2"/>
        <v>336905600000</v>
      </c>
      <c r="AX248" s="4">
        <v>15049171</v>
      </c>
      <c r="AY248" s="4">
        <f>Base[[#This Row],['[SC']Budget_total_retraites]]/Base[[#This Row],['[SC']Nombre_de_retraités]]</f>
        <v>22386.987296509556</v>
      </c>
      <c r="AZ248" s="4">
        <f>Base[[#This Row],['[SC']Budget_par_retraité]]*Base[[#This Row],['[SC']Nb_personnes_dépendantes]]</f>
        <v>0</v>
      </c>
      <c r="BA248" s="4">
        <f>Base[[#This Row],['[SC']'[Dépendance']Coût_retraite_personnes_dépendantes]]/Base[[#This Row],[Population_totale]]</f>
        <v>0</v>
      </c>
      <c r="BB2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8" s="4">
        <f>Base[[#This Row],['[SC']'[Dépendance']Gains]]-Base[[#This Row],['[SC']'[Dépendance']Coûts]]</f>
        <v>0</v>
      </c>
      <c r="BD248" s="4">
        <f>IF(Base[[#This Row],[Pathologie]]&lt;&gt;"Mort prématurée",0,Base[[#This Row],[Risque]]*Base[[#This Row],[Prévalence]]*Base[[#This Row],[Population_totale]])</f>
        <v>0</v>
      </c>
      <c r="BE248" s="4">
        <v>52.74</v>
      </c>
      <c r="BF248" s="4">
        <f>Base[[#This Row],['[SC']Âge_moyen_retraite]]-Base[[#This Row],['[SC']'[Mort_prématurée']Âge_moyen_mort précoce]]</f>
        <v>10.159999999999997</v>
      </c>
      <c r="BG248" s="4">
        <f>Base[[#This Row],[Espérance_vie]]+Base[[#This Row],['[SC']Hausse_esp_de_vie]]-Base[[#This Row],['[SC']Âge_moyen_retraite]]</f>
        <v>19.90101171382144</v>
      </c>
      <c r="BH248" s="4">
        <v>106583.42676924677</v>
      </c>
      <c r="BI248" s="4">
        <v>97601.789429271477</v>
      </c>
      <c r="BJ248" s="4">
        <v>302038.31496633729</v>
      </c>
      <c r="BK248" s="4">
        <v>117293.58934859755</v>
      </c>
      <c r="BL248" s="4">
        <v>1523999.9999999995</v>
      </c>
      <c r="BM2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8" s="4">
        <v>294804.96027377353</v>
      </c>
      <c r="BO2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8" s="4">
        <f>(Base[[#This Row],['[SC']'[Mort_prématurée']Gains]]-Base[[#This Row],['[SC']'[Mort_prématurée']Coûts]])/Base[[#This Row],[Population_totale]]</f>
        <v>0</v>
      </c>
      <c r="BQ248" s="4">
        <f>IF(Base[[#This Row],[Pathologie]]&lt;&gt;"Mort prématurée",0,Base[[#This Row],[Risque]])</f>
        <v>0</v>
      </c>
      <c r="BR248" s="4">
        <v>2680</v>
      </c>
      <c r="BS2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8" s="4">
        <f>Base[[#This Row],[Prévalence_prod]]*(1-Base[[#This Row],[Risque]])*Base[[#This Row],[Durée_arrêt]]*Base[[#This Row],[Population_emploi]]</f>
        <v>0</v>
      </c>
      <c r="BV248" s="4">
        <f>Base[[#This Row],['[Prod']'[Absentéisme']Total_jours_absence_avant]]-Base[[#This Row],['[Prod']'[Absentéisme']Total_jours_absence_après]]</f>
        <v>0</v>
      </c>
      <c r="BW248" s="4">
        <f>IF(AND(Base[[#This Row],[Pathologie]]&lt;&gt;"Dépendance",Base[[#This Row],[Pathologie]]&lt;&gt;"Mort prématurée",Base[[#This Row],[Pathologie]]&lt;&gt;"Migraine"),0.0619,0)</f>
        <v>0</v>
      </c>
      <c r="BX248" s="4">
        <v>254</v>
      </c>
      <c r="BY24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8" s="4">
        <f>Base[[#This Row],[Prévalence_prod]]*Base[[#This Row],[Présentéisme]]*Base[[#This Row],['[Prod']Jours_ouvrés]]</f>
        <v>6.4516000000000009</v>
      </c>
      <c r="CB248" s="4">
        <f>Base[[#This Row],[Prévalence_prod]]*(1-Base[[#This Row],[Risque]])*Base[[#This Row],[Présentéisme]]*Base[[#This Row],['[Prod']Jours_ouvrés]]</f>
        <v>5.0967640000000012</v>
      </c>
      <c r="CC248" s="4">
        <f>Base[[#This Row],['[Prod']'[Présentéisme']Jours_avant]]-Base[[#This Row],['[Prod']'[Présentéisme']Jours_après]]</f>
        <v>1.3548359999999997</v>
      </c>
      <c r="CD248" s="4">
        <f>Base[[#This Row],['[Prod']'[Présentéisme']Jours_gagnés]]/Base[[#This Row],['[Prod']Jours_ouvrés]]</f>
        <v>5.3339999999999985E-3</v>
      </c>
      <c r="CE248">
        <v>5.8333039429220801E-2</v>
      </c>
      <c r="CF248">
        <v>1.4658164114728258E-2</v>
      </c>
      <c r="CG248" s="4">
        <v>11</v>
      </c>
      <c r="CH248" s="4">
        <v>0.99648427619813984</v>
      </c>
      <c r="CI248" s="4">
        <v>0.42377466100567313</v>
      </c>
      <c r="CJ248" s="4">
        <f>IF(Base[[#This Row],[Secteur]]&lt;&gt;"Moyenne",Base[[#This Row],['[Prod']'[Turnover']DMC_initiale]]*(1+Base[[#This Row],['[Prod']'[Turnover']Ecart_accidents]]*Base[[#This Row],['[Prod']Impact_motifs_turnover]]),CJ231*CI231+CJ232*CI232+CJ233*CI233+CJ234*CI234+CJ235*CI235+CJ236*CI236+CJ237*CI237+CJ238*CI238+CJ239*CI239+CJ240*CI240+CJ241*CI241+CJ242*CI242+CJ243*CI243+CJ244*CI244+CJ245*CI245+CJ246*CI246+CJ247*CI247)</f>
        <v>11.160672930640844</v>
      </c>
      <c r="CK248" s="4">
        <f>1/Base[[#This Row],['[Prod']'[Turnover']DMC_initiale]]</f>
        <v>9.0909090909090912E-2</v>
      </c>
      <c r="CL248" s="4">
        <f>1/Base[[#This Row],['[Prod']'[Turnover']DMC_finale]]</f>
        <v>8.9600332006376626E-2</v>
      </c>
    </row>
    <row r="249" spans="2:90" x14ac:dyDescent="0.25">
      <c r="B249" s="4" t="s">
        <v>331</v>
      </c>
      <c r="C249">
        <v>7.5</v>
      </c>
      <c r="D249" t="s">
        <v>84</v>
      </c>
      <c r="E249" t="s">
        <v>97</v>
      </c>
      <c r="F249" s="3">
        <v>0.21</v>
      </c>
      <c r="G249" s="3">
        <v>0.2</v>
      </c>
      <c r="H249" s="3">
        <v>0.2</v>
      </c>
      <c r="I249" s="3">
        <v>0.127</v>
      </c>
      <c r="J249" s="3">
        <v>0</v>
      </c>
      <c r="K249" s="3">
        <v>7.0000000000000007E-2</v>
      </c>
      <c r="L249" s="2">
        <f>Base[[#This Row],[Coût]]*Base[[#This Row],[Part_ménages_dépenses_santé]]</f>
        <v>0</v>
      </c>
      <c r="M249" s="2">
        <v>0</v>
      </c>
      <c r="N249" s="6">
        <v>27700000</v>
      </c>
      <c r="O249" s="7">
        <f>Base[[#This Row],[Coût_salarié]]*10^9*Base[[#This Row],[Risque]]*Base[[#This Row],[Prévalence]]*Base[[#This Row],[Part_coûts_salarié]]/Base[[#This Row],[Population_emploi]]</f>
        <v>0</v>
      </c>
      <c r="P249">
        <v>50</v>
      </c>
      <c r="Q249">
        <v>50</v>
      </c>
      <c r="R249" s="2">
        <v>9.9999999999999978E-2</v>
      </c>
      <c r="S249" s="2">
        <v>0.33340000000000003</v>
      </c>
      <c r="T249" s="4">
        <v>0</v>
      </c>
      <c r="U249" s="4">
        <f>IF(Bases_annexes!$F$5=0,16.6587111018772,0.77*Bases_annexes!$F$5/(IF(OR(ISBLANK('Données_d''entrée'!$E$44),'Données_d''entrée'!$E$44=0),35,'Données_d''entrée'!$E$44)*52))</f>
        <v>16.658711101877199</v>
      </c>
      <c r="V249" s="4">
        <v>0</v>
      </c>
      <c r="W2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49" s="4">
        <v>234.5</v>
      </c>
      <c r="Y249" s="4">
        <f>(Base[[#This Row],['[Maladies']Coûts_évités_par_salarié]]+Base[[#This Row],['[Travail']Coûts_évités_par_salarié]])/Base[[#This Row],[Budget_santé_salarié]]</f>
        <v>0</v>
      </c>
      <c r="Z249" s="4">
        <v>0.8</v>
      </c>
      <c r="AA249" s="4">
        <f>Base[[#This Row],[Coût]]*Base[[#This Row],[Part_société_dépenses_santé]]</f>
        <v>0</v>
      </c>
      <c r="AB249" s="4">
        <v>67635124</v>
      </c>
      <c r="AC249" s="4">
        <v>82.297079063317852</v>
      </c>
      <c r="AD249" s="4">
        <v>0</v>
      </c>
      <c r="AE249" s="4">
        <f>Base[[#This Row],['[SC']Prévalence_travail]]*Base[[#This Row],[Population_emploi]]</f>
        <v>0</v>
      </c>
      <c r="AF249" s="4">
        <f>Base[[#This Row],[Risque]]*Base[[#This Row],['[SC']Patients_en_emploi]]</f>
        <v>0</v>
      </c>
      <c r="AG249" s="4"/>
      <c r="AH249" s="4">
        <f>IFERROR(Base[[#This Row],['[SC']Prestations]]/Base[[#This Row],['[SC']Patients_en_emploi]],0)</f>
        <v>0</v>
      </c>
      <c r="AI249" s="4"/>
      <c r="AJ2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49" s="4">
        <f>Base[[#This Row],['[SC']'[Travail']Coûts_évités]]/Base[[#This Row],[Population_emploi]]</f>
        <v>0</v>
      </c>
      <c r="AL249" s="4">
        <f>Base[[#This Row],[Coût_société]]*10^9*Base[[#This Row],[Risque]]*Base[[#This Row],[Prévalence]]*Base[[#This Row],[Part_coûts_salarié]]/Base[[#This Row],[Population_emploi]]</f>
        <v>0</v>
      </c>
      <c r="AM249" s="4">
        <f>IF(Base[[#This Row],[Pathologie]]&lt;&gt;"Dépendance",0,14909.24243952)</f>
        <v>0</v>
      </c>
      <c r="AN249" s="4">
        <f>IF(Base[[#This Row],[Pathologie]]&lt;&gt;"Dépendance",0,1316000)</f>
        <v>0</v>
      </c>
      <c r="AO249" s="4">
        <f>IF(Base[[#This Row],[Pathologie]]&lt;&gt;"Dépendance",0,Base[[#This Row],['[SC']Coût_personne_dépendante]]*Base[[#This Row],['[SC']Nb_personnes_dépendantes]])</f>
        <v>0</v>
      </c>
      <c r="AP249" s="4">
        <f>IF(Base[[#This Row],[Pathologie]]&lt;&gt;"Dépendance",0,Base[[#This Row],['[SC']Coût_total_dépendance]]/Base[[#This Row],[Population_totale]])</f>
        <v>0</v>
      </c>
      <c r="AQ249" s="4">
        <f>IF(Base[[#This Row],[Pathologie]]&lt;&gt;"Dépendance",0,4.5)</f>
        <v>0</v>
      </c>
      <c r="AR249" s="4">
        <v>0.50393265050357905</v>
      </c>
      <c r="AS249" s="4">
        <f>Base[[#This Row],[Espérance_vie]]+Base[[#This Row],['[SC']Hausse_esp_de_vie]]-Base[[#This Row],['[SC']Durée_moyenne_dépendance_avt]]+Base[[#This Row],[Risque]]</f>
        <v>83.011011713821432</v>
      </c>
      <c r="AT2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49" s="4">
        <v>62.9</v>
      </c>
      <c r="AW249" s="4">
        <f t="shared" si="2"/>
        <v>336905600000</v>
      </c>
      <c r="AX249" s="4">
        <v>15049171</v>
      </c>
      <c r="AY249" s="4">
        <f>Base[[#This Row],['[SC']Budget_total_retraites]]/Base[[#This Row],['[SC']Nombre_de_retraités]]</f>
        <v>22386.987296509556</v>
      </c>
      <c r="AZ249" s="4">
        <f>Base[[#This Row],['[SC']Budget_par_retraité]]*Base[[#This Row],['[SC']Nb_personnes_dépendantes]]</f>
        <v>0</v>
      </c>
      <c r="BA249" s="4">
        <f>Base[[#This Row],['[SC']'[Dépendance']Coût_retraite_personnes_dépendantes]]/Base[[#This Row],[Population_totale]]</f>
        <v>0</v>
      </c>
      <c r="BB2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49" s="4">
        <f>Base[[#This Row],['[SC']'[Dépendance']Gains]]-Base[[#This Row],['[SC']'[Dépendance']Coûts]]</f>
        <v>0</v>
      </c>
      <c r="BD249" s="4">
        <f>IF(Base[[#This Row],[Pathologie]]&lt;&gt;"Mort prématurée",0,Base[[#This Row],[Risque]]*Base[[#This Row],[Prévalence]]*Base[[#This Row],[Population_totale]])</f>
        <v>0</v>
      </c>
      <c r="BE249" s="4">
        <v>52.74</v>
      </c>
      <c r="BF249" s="4">
        <f>Base[[#This Row],['[SC']Âge_moyen_retraite]]-Base[[#This Row],['[SC']'[Mort_prématurée']Âge_moyen_mort précoce]]</f>
        <v>10.159999999999997</v>
      </c>
      <c r="BG249" s="4">
        <f>Base[[#This Row],[Espérance_vie]]+Base[[#This Row],['[SC']Hausse_esp_de_vie]]-Base[[#This Row],['[SC']Âge_moyen_retraite]]</f>
        <v>19.90101171382144</v>
      </c>
      <c r="BH249" s="4">
        <v>106583.42676924677</v>
      </c>
      <c r="BI249" s="4">
        <v>97601.789429271477</v>
      </c>
      <c r="BJ249" s="4">
        <v>302038.31496633729</v>
      </c>
      <c r="BK249" s="4">
        <v>117293.58934859755</v>
      </c>
      <c r="BL249" s="4">
        <v>1523999.9999999995</v>
      </c>
      <c r="BM2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49" s="4">
        <v>294804.96027377353</v>
      </c>
      <c r="BO2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49" s="4">
        <f>(Base[[#This Row],['[SC']'[Mort_prématurée']Gains]]-Base[[#This Row],['[SC']'[Mort_prématurée']Coûts]])/Base[[#This Row],[Population_totale]]</f>
        <v>0</v>
      </c>
      <c r="BQ249" s="4">
        <f>IF(Base[[#This Row],[Pathologie]]&lt;&gt;"Mort prématurée",0,Base[[#This Row],[Risque]])</f>
        <v>0</v>
      </c>
      <c r="BR249" s="4">
        <v>2680</v>
      </c>
      <c r="BS2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49" s="4">
        <f>Base[[#This Row],[Prévalence_prod]]*(1-Base[[#This Row],[Risque]])*Base[[#This Row],[Durée_arrêt]]*Base[[#This Row],[Population_emploi]]</f>
        <v>0</v>
      </c>
      <c r="BV249" s="4">
        <f>Base[[#This Row],['[Prod']'[Absentéisme']Total_jours_absence_avant]]-Base[[#This Row],['[Prod']'[Absentéisme']Total_jours_absence_après]]</f>
        <v>0</v>
      </c>
      <c r="BW249" s="4">
        <f>IF(AND(Base[[#This Row],[Pathologie]]&lt;&gt;"Dépendance",Base[[#This Row],[Pathologie]]&lt;&gt;"Mort prématurée",Base[[#This Row],[Pathologie]]&lt;&gt;"Migraine"),0.0619,0)</f>
        <v>0</v>
      </c>
      <c r="BX249" s="4">
        <v>254</v>
      </c>
      <c r="BY24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4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49" s="4">
        <f>Base[[#This Row],[Prévalence_prod]]*Base[[#This Row],[Présentéisme]]*Base[[#This Row],['[Prod']Jours_ouvrés]]</f>
        <v>6.4516000000000009</v>
      </c>
      <c r="CB249" s="4">
        <f>Base[[#This Row],[Prévalence_prod]]*(1-Base[[#This Row],[Risque]])*Base[[#This Row],[Présentéisme]]*Base[[#This Row],['[Prod']Jours_ouvrés]]</f>
        <v>5.0967640000000012</v>
      </c>
      <c r="CC249" s="4">
        <f>Base[[#This Row],['[Prod']'[Présentéisme']Jours_avant]]-Base[[#This Row],['[Prod']'[Présentéisme']Jours_après]]</f>
        <v>1.3548359999999997</v>
      </c>
      <c r="CD249" s="4">
        <f>Base[[#This Row],['[Prod']'[Présentéisme']Jours_gagnés]]/Base[[#This Row],['[Prod']Jours_ouvrés]]</f>
        <v>5.3339999999999985E-3</v>
      </c>
      <c r="CE249">
        <v>5.8333039429220801E-2</v>
      </c>
      <c r="CF249">
        <v>1.4658164114728258E-2</v>
      </c>
      <c r="CG249" s="4">
        <v>11</v>
      </c>
      <c r="CH249" s="4">
        <v>1.1593596509901765</v>
      </c>
      <c r="CI249" s="4">
        <v>4.0741311947357597E-2</v>
      </c>
      <c r="CJ249" s="4">
        <f>IF(Base[[#This Row],[Secteur]]&lt;&gt;"Moyenne",Base[[#This Row],['[Prod']'[Turnover']DMC_initiale]]*(1+Base[[#This Row],['[Prod']'[Turnover']Ecart_accidents]]*Base[[#This Row],['[Prod']Impact_motifs_turnover]]),CJ232*CI232+CJ233*CI233+CJ234*CI234+CJ235*CI235+CJ236*CI236+CJ237*CI237+CJ238*CI238+CJ239*CI239+CJ240*CI240+CJ241*CI241+CJ242*CI242+CJ243*CI243+CJ244*CI244+CJ245*CI245+CJ246*CI246+CJ247*CI247+CJ248*CI248)</f>
        <v>11.186934924354288</v>
      </c>
      <c r="CK249" s="4">
        <f>1/Base[[#This Row],['[Prod']'[Turnover']DMC_initiale]]</f>
        <v>9.0909090909090912E-2</v>
      </c>
      <c r="CL249" s="4">
        <f>1/Base[[#This Row],['[Prod']'[Turnover']DMC_finale]]</f>
        <v>8.9389989908940148E-2</v>
      </c>
    </row>
    <row r="250" spans="2:90" x14ac:dyDescent="0.25">
      <c r="B250" s="4" t="s">
        <v>332</v>
      </c>
      <c r="C250">
        <v>7.5</v>
      </c>
      <c r="D250" t="s">
        <v>84</v>
      </c>
      <c r="E250" t="s">
        <v>97</v>
      </c>
      <c r="F250" s="3">
        <v>0.21</v>
      </c>
      <c r="G250" s="3">
        <v>0.2</v>
      </c>
      <c r="H250" s="3">
        <v>0.2</v>
      </c>
      <c r="I250" s="3">
        <v>0.127</v>
      </c>
      <c r="J250" s="3">
        <v>0</v>
      </c>
      <c r="K250" s="3">
        <v>7.0000000000000007E-2</v>
      </c>
      <c r="L250" s="2">
        <f>Base[[#This Row],[Coût]]*Base[[#This Row],[Part_ménages_dépenses_santé]]</f>
        <v>0</v>
      </c>
      <c r="M250" s="2">
        <v>0</v>
      </c>
      <c r="N250" s="6">
        <v>27700000</v>
      </c>
      <c r="O250" s="7">
        <f>Base[[#This Row],[Coût_salarié]]*10^9*Base[[#This Row],[Risque]]*Base[[#This Row],[Prévalence]]*Base[[#This Row],[Part_coûts_salarié]]/Base[[#This Row],[Population_emploi]]</f>
        <v>0</v>
      </c>
      <c r="P250">
        <v>50</v>
      </c>
      <c r="Q250">
        <v>50</v>
      </c>
      <c r="R250" s="2">
        <v>9.9999999999999978E-2</v>
      </c>
      <c r="S250" s="2">
        <v>0.33340000000000003</v>
      </c>
      <c r="T250" s="4">
        <v>0</v>
      </c>
      <c r="U250" s="4">
        <f>IF(Bases_annexes!$F$5=0,16.6587111018772,0.77*Bases_annexes!$F$5/(IF(OR(ISBLANK('Données_d''entrée'!$E$44),'Données_d''entrée'!$E$44=0),35,'Données_d''entrée'!$E$44)*52))</f>
        <v>16.658711101877199</v>
      </c>
      <c r="V250" s="4">
        <v>0</v>
      </c>
      <c r="W2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250" s="4">
        <v>234.5</v>
      </c>
      <c r="Y250" s="4">
        <f>(Base[[#This Row],['[Maladies']Coûts_évités_par_salarié]]+Base[[#This Row],['[Travail']Coûts_évités_par_salarié]])/Base[[#This Row],[Budget_santé_salarié]]</f>
        <v>0</v>
      </c>
      <c r="Z250" s="4">
        <v>0.8</v>
      </c>
      <c r="AA250" s="4">
        <f>Base[[#This Row],[Coût]]*Base[[#This Row],[Part_société_dépenses_santé]]</f>
        <v>0</v>
      </c>
      <c r="AB250" s="4">
        <v>67635124</v>
      </c>
      <c r="AC250" s="4">
        <v>82.297079063317852</v>
      </c>
      <c r="AD250" s="4">
        <v>0</v>
      </c>
      <c r="AE250" s="4">
        <f>Base[[#This Row],['[SC']Prévalence_travail]]*Base[[#This Row],[Population_emploi]]</f>
        <v>0</v>
      </c>
      <c r="AF250" s="4">
        <f>Base[[#This Row],[Risque]]*Base[[#This Row],['[SC']Patients_en_emploi]]</f>
        <v>0</v>
      </c>
      <c r="AG250" s="4"/>
      <c r="AH250" s="4">
        <f>IFERROR(Base[[#This Row],['[SC']Prestations]]/Base[[#This Row],['[SC']Patients_en_emploi]],0)</f>
        <v>0</v>
      </c>
      <c r="AI250" s="4"/>
      <c r="AJ2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250" s="4">
        <f>Base[[#This Row],['[SC']'[Travail']Coûts_évités]]/Base[[#This Row],[Population_emploi]]</f>
        <v>0</v>
      </c>
      <c r="AL250" s="4">
        <f>Base[[#This Row],[Coût_société]]*10^9*Base[[#This Row],[Risque]]*Base[[#This Row],[Prévalence]]*Base[[#This Row],[Part_coûts_salarié]]/Base[[#This Row],[Population_emploi]]</f>
        <v>0</v>
      </c>
      <c r="AM250" s="4">
        <f>IF(Base[[#This Row],[Pathologie]]&lt;&gt;"Dépendance",0,14909.24243952)</f>
        <v>0</v>
      </c>
      <c r="AN250" s="4">
        <f>IF(Base[[#This Row],[Pathologie]]&lt;&gt;"Dépendance",0,1316000)</f>
        <v>0</v>
      </c>
      <c r="AO250" s="4">
        <f>IF(Base[[#This Row],[Pathologie]]&lt;&gt;"Dépendance",0,Base[[#This Row],['[SC']Coût_personne_dépendante]]*Base[[#This Row],['[SC']Nb_personnes_dépendantes]])</f>
        <v>0</v>
      </c>
      <c r="AP250" s="4">
        <f>IF(Base[[#This Row],[Pathologie]]&lt;&gt;"Dépendance",0,Base[[#This Row],['[SC']Coût_total_dépendance]]/Base[[#This Row],[Population_totale]])</f>
        <v>0</v>
      </c>
      <c r="AQ250" s="4">
        <f>IF(Base[[#This Row],[Pathologie]]&lt;&gt;"Dépendance",0,4.5)</f>
        <v>0</v>
      </c>
      <c r="AR250" s="4">
        <v>0.50393265050357905</v>
      </c>
      <c r="AS250" s="4">
        <f>Base[[#This Row],[Espérance_vie]]+Base[[#This Row],['[SC']Hausse_esp_de_vie]]-Base[[#This Row],['[SC']Durée_moyenne_dépendance_avt]]+Base[[#This Row],[Risque]]</f>
        <v>83.011011713821432</v>
      </c>
      <c r="AT2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0" s="4">
        <v>62.9</v>
      </c>
      <c r="AW250" s="4">
        <f t="shared" si="2"/>
        <v>336905600000</v>
      </c>
      <c r="AX250" s="4">
        <v>15049171</v>
      </c>
      <c r="AY250" s="4">
        <f>Base[[#This Row],['[SC']Budget_total_retraites]]/Base[[#This Row],['[SC']Nombre_de_retraités]]</f>
        <v>22386.987296509556</v>
      </c>
      <c r="AZ250" s="4">
        <f>Base[[#This Row],['[SC']Budget_par_retraité]]*Base[[#This Row],['[SC']Nb_personnes_dépendantes]]</f>
        <v>0</v>
      </c>
      <c r="BA250" s="4">
        <f>Base[[#This Row],['[SC']'[Dépendance']Coût_retraite_personnes_dépendantes]]/Base[[#This Row],[Population_totale]]</f>
        <v>0</v>
      </c>
      <c r="BB2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0" s="4">
        <f>Base[[#This Row],['[SC']'[Dépendance']Gains]]-Base[[#This Row],['[SC']'[Dépendance']Coûts]]</f>
        <v>0</v>
      </c>
      <c r="BD250" s="4">
        <f>IF(Base[[#This Row],[Pathologie]]&lt;&gt;"Mort prématurée",0,Base[[#This Row],[Risque]]*Base[[#This Row],[Prévalence]]*Base[[#This Row],[Population_totale]])</f>
        <v>0</v>
      </c>
      <c r="BE250" s="4">
        <v>52.74</v>
      </c>
      <c r="BF250" s="4">
        <f>Base[[#This Row],['[SC']Âge_moyen_retraite]]-Base[[#This Row],['[SC']'[Mort_prématurée']Âge_moyen_mort précoce]]</f>
        <v>10.159999999999997</v>
      </c>
      <c r="BG250" s="4">
        <f>Base[[#This Row],[Espérance_vie]]+Base[[#This Row],['[SC']Hausse_esp_de_vie]]-Base[[#This Row],['[SC']Âge_moyen_retraite]]</f>
        <v>19.90101171382144</v>
      </c>
      <c r="BH250" s="4">
        <v>106583.42676924677</v>
      </c>
      <c r="BI250" s="4">
        <v>97601.789429271477</v>
      </c>
      <c r="BJ250" s="4">
        <v>302038.31496633729</v>
      </c>
      <c r="BK250" s="4">
        <v>117293.58934859755</v>
      </c>
      <c r="BL250" s="4">
        <v>1523999.9999999995</v>
      </c>
      <c r="BM2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0" s="4">
        <v>294804.96027377353</v>
      </c>
      <c r="BO2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0" s="4">
        <f>(Base[[#This Row],['[SC']'[Mort_prématurée']Gains]]-Base[[#This Row],['[SC']'[Mort_prématurée']Coûts]])/Base[[#This Row],[Population_totale]]</f>
        <v>0</v>
      </c>
      <c r="BQ250" s="4">
        <f>IF(Base[[#This Row],[Pathologie]]&lt;&gt;"Mort prématurée",0,Base[[#This Row],[Risque]])</f>
        <v>0</v>
      </c>
      <c r="BR250" s="4">
        <v>2680</v>
      </c>
      <c r="BS2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2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250" s="4">
        <f>Base[[#This Row],[Prévalence_prod]]*(1-Base[[#This Row],[Risque]])*Base[[#This Row],[Durée_arrêt]]*Base[[#This Row],[Population_emploi]]</f>
        <v>0</v>
      </c>
      <c r="BV250" s="4">
        <f>Base[[#This Row],['[Prod']'[Absentéisme']Total_jours_absence_avant]]-Base[[#This Row],['[Prod']'[Absentéisme']Total_jours_absence_après]]</f>
        <v>0</v>
      </c>
      <c r="BW250" s="4">
        <f>IF(AND(Base[[#This Row],[Pathologie]]&lt;&gt;"Dépendance",Base[[#This Row],[Pathologie]]&lt;&gt;"Mort prématurée",Base[[#This Row],[Pathologie]]&lt;&gt;"Migraine"),0.0619,0)</f>
        <v>0</v>
      </c>
      <c r="BX250" s="4">
        <v>254</v>
      </c>
      <c r="BY25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25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250" s="4">
        <f>Base[[#This Row],[Prévalence_prod]]*Base[[#This Row],[Présentéisme]]*Base[[#This Row],['[Prod']Jours_ouvrés]]</f>
        <v>6.4516000000000009</v>
      </c>
      <c r="CB250" s="4">
        <f>Base[[#This Row],[Prévalence_prod]]*(1-Base[[#This Row],[Risque]])*Base[[#This Row],[Présentéisme]]*Base[[#This Row],['[Prod']Jours_ouvrés]]</f>
        <v>5.0967640000000012</v>
      </c>
      <c r="CC250" s="4">
        <f>Base[[#This Row],['[Prod']'[Présentéisme']Jours_avant]]-Base[[#This Row],['[Prod']'[Présentéisme']Jours_après]]</f>
        <v>1.3548359999999997</v>
      </c>
      <c r="CD250" s="4">
        <f>Base[[#This Row],['[Prod']'[Présentéisme']Jours_gagnés]]/Base[[#This Row],['[Prod']Jours_ouvrés]]</f>
        <v>5.3339999999999985E-3</v>
      </c>
      <c r="CE250">
        <v>5.8333039429220801E-2</v>
      </c>
      <c r="CF250">
        <v>1.4658164114728258E-2</v>
      </c>
      <c r="CG250" s="4">
        <v>11</v>
      </c>
      <c r="CH250" s="4">
        <v>0.85076983926913452</v>
      </c>
      <c r="CI250" s="4">
        <v>0</v>
      </c>
      <c r="CJ250" s="4">
        <f>IF(Base[[#This Row],[Secteur]]&lt;&gt;"Moyenne",Base[[#This Row],['[Prod']'[Turnover']DMC_initiale]]*(1+Base[[#This Row],['[Prod']'[Turnover']Ecart_accidents]]*Base[[#This Row],['[Prod']Impact_motifs_turnover]]),CJ233*CI233+CJ234*CI234+CJ235*CI235+CJ236*CI236+CJ237*CI237+CJ238*CI238+CJ239*CI239+CJ240*CI240+CJ241*CI241+CJ242*CI242+CJ243*CI243+CJ244*CI244+CJ245*CI245+CJ246*CI246+CJ247*CI247+CJ248*CI248+CJ249*CI249)</f>
        <v>11.137177963206547</v>
      </c>
      <c r="CK250" s="4">
        <f>1/Base[[#This Row],['[Prod']'[Turnover']DMC_initiale]]</f>
        <v>9.0909090909090912E-2</v>
      </c>
      <c r="CL250" s="4">
        <f>1/Base[[#This Row],['[Prod']'[Turnover']DMC_finale]]</f>
        <v>8.9789352680154741E-2</v>
      </c>
    </row>
    <row r="251" spans="2:90" x14ac:dyDescent="0.25">
      <c r="B251" s="4" t="s">
        <v>315</v>
      </c>
      <c r="C251">
        <v>15</v>
      </c>
      <c r="D251" t="s">
        <v>83</v>
      </c>
      <c r="E251" t="s">
        <v>3</v>
      </c>
      <c r="F251" s="3">
        <v>0.14968089896154918</v>
      </c>
      <c r="G251" s="3">
        <v>2.5999999999999999E-2</v>
      </c>
      <c r="H251" s="3">
        <v>2.5999999999999999E-2</v>
      </c>
      <c r="I251" s="3">
        <v>8.5000000000000006E-2</v>
      </c>
      <c r="J251" s="3">
        <v>24.289173334126499</v>
      </c>
      <c r="K251" s="3">
        <v>7.0000000000000007E-2</v>
      </c>
      <c r="L251" s="2">
        <f>Base[[#This Row],[Coût]]*Base[[#This Row],[Part_ménages_dépenses_santé]]</f>
        <v>1.7002421333888551</v>
      </c>
      <c r="M251" s="2">
        <v>0.99784170771638514</v>
      </c>
      <c r="N251" s="6">
        <v>27700000</v>
      </c>
      <c r="O251" s="7">
        <f>Base[[#This Row],[Coût_salarié]]*10^9*Base[[#This Row],[Risque]]*Base[[#This Row],[Prévalence]]*Base[[#This Row],[Part_coûts_salarié]]/Base[[#This Row],[Population_emploi]]</f>
        <v>0.23835945757874455</v>
      </c>
      <c r="P251">
        <v>50</v>
      </c>
      <c r="Q251">
        <v>50</v>
      </c>
      <c r="R251" s="2">
        <v>9.9999999999999978E-2</v>
      </c>
      <c r="S251" s="2">
        <v>0.33340000000000003</v>
      </c>
      <c r="T251" s="4">
        <v>2.5999999999999999E-2</v>
      </c>
      <c r="U251" s="4">
        <f>IF(Bases_annexes!$F$5=0,16.6587111018772,0.77*Bases_annexes!$F$5/(IF(OR(ISBLANK('Données_d''entrée'!$E$44),'Données_d''entrée'!$E$44=0),35,'Données_d''entrée'!$E$44)*52))</f>
        <v>16.658711101877199</v>
      </c>
      <c r="V251" s="4">
        <v>22.173118639135399</v>
      </c>
      <c r="W2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1" s="4">
        <v>234.5</v>
      </c>
      <c r="Y251" s="4">
        <f>(Base[[#This Row],['[Maladies']Coûts_évités_par_salarié]]+Base[[#This Row],['[Travail']Coûts_évités_par_salarié]])/Base[[#This Row],[Budget_santé_salarié]]</f>
        <v>1.0532669466316357E-2</v>
      </c>
      <c r="Z251" s="4">
        <v>0.8</v>
      </c>
      <c r="AA251" s="4">
        <f>Base[[#This Row],[Coût]]*Base[[#This Row],[Part_société_dépenses_santé]]</f>
        <v>19.431338667301201</v>
      </c>
      <c r="AB251" s="4">
        <v>67635124</v>
      </c>
      <c r="AC251" s="4">
        <v>82.297079063317852</v>
      </c>
      <c r="AD251" s="4">
        <v>2.5999999999999999E-2</v>
      </c>
      <c r="AE251" s="4">
        <f>Base[[#This Row],['[SC']Prévalence_travail]]*Base[[#This Row],[Population_emploi]]</f>
        <v>720200</v>
      </c>
      <c r="AF251" s="4">
        <f>Base[[#This Row],[Risque]]*Base[[#This Row],['[SC']Patients_en_emploi]]</f>
        <v>107800.18343210772</v>
      </c>
      <c r="AG251" s="4">
        <v>1257615774.8399999</v>
      </c>
      <c r="AH251" s="4">
        <f>IFERROR(Base[[#This Row],['[SC']Prestations]]/Base[[#This Row],['[SC']Patients_en_emploi]],0)</f>
        <v>1746.203519633435</v>
      </c>
      <c r="AI251" s="4">
        <v>51.7</v>
      </c>
      <c r="AJ2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1" s="4">
        <f>Base[[#This Row],['[SC']'[Travail']Coûts_évités]]/Base[[#This Row],[Population_emploi]]</f>
        <v>6.7957061273023971</v>
      </c>
      <c r="AL251" s="4">
        <f>Base[[#This Row],[Coût_société]]*10^9*Base[[#This Row],[Risque]]*Base[[#This Row],[Prévalence]]*Base[[#This Row],[Part_coûts_salarié]]/Base[[#This Row],[Population_emploi]]</f>
        <v>2.7241080866142231</v>
      </c>
      <c r="AM251" s="4">
        <f>IF(Base[[#This Row],[Pathologie]]&lt;&gt;"Dépendance",0,14909.24243952)</f>
        <v>0</v>
      </c>
      <c r="AN251" s="4">
        <f>IF(Base[[#This Row],[Pathologie]]&lt;&gt;"Dépendance",0,1316000)</f>
        <v>0</v>
      </c>
      <c r="AO251" s="4">
        <f>IF(Base[[#This Row],[Pathologie]]&lt;&gt;"Dépendance",0,Base[[#This Row],['[SC']Coût_personne_dépendante]]*Base[[#This Row],['[SC']Nb_personnes_dépendantes]])</f>
        <v>0</v>
      </c>
      <c r="AP251" s="4">
        <f>IF(Base[[#This Row],[Pathologie]]&lt;&gt;"Dépendance",0,Base[[#This Row],['[SC']Coût_total_dépendance]]/Base[[#This Row],[Population_totale]])</f>
        <v>0</v>
      </c>
      <c r="AQ251" s="4">
        <f>IF(Base[[#This Row],[Pathologie]]&lt;&gt;"Dépendance",0,4.5)</f>
        <v>0</v>
      </c>
      <c r="AR251" s="4">
        <v>0.83987615528424797</v>
      </c>
      <c r="AS251" s="4">
        <f>Base[[#This Row],[Espérance_vie]]+Base[[#This Row],['[SC']Hausse_esp_de_vie]]-Base[[#This Row],['[SC']Durée_moyenne_dépendance_avt]]+Base[[#This Row],[Risque]]</f>
        <v>83.286636117563646</v>
      </c>
      <c r="AT2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1" s="4">
        <v>62.9</v>
      </c>
      <c r="AW251" s="4">
        <f t="shared" si="0"/>
        <v>336905600000</v>
      </c>
      <c r="AX251" s="4">
        <v>15049171</v>
      </c>
      <c r="AY251" s="4">
        <f>Base[[#This Row],['[SC']Budget_total_retraites]]/Base[[#This Row],['[SC']Nombre_de_retraités]]</f>
        <v>22386.987296509556</v>
      </c>
      <c r="AZ251" s="4">
        <f>Base[[#This Row],['[SC']Budget_par_retraité]]*Base[[#This Row],['[SC']Nb_personnes_dépendantes]]</f>
        <v>0</v>
      </c>
      <c r="BA251" s="4">
        <f>Base[[#This Row],['[SC']'[Dépendance']Coût_retraite_personnes_dépendantes]]/Base[[#This Row],[Population_totale]]</f>
        <v>0</v>
      </c>
      <c r="BB2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1" s="4">
        <f>Base[[#This Row],['[SC']'[Dépendance']Gains]]-Base[[#This Row],['[SC']'[Dépendance']Coûts]]</f>
        <v>0</v>
      </c>
      <c r="BD251" s="4">
        <f>IF(Base[[#This Row],[Pathologie]]&lt;&gt;"Mort prématurée",0,Base[[#This Row],[Risque]]*Base[[#This Row],[Prévalence]]*Base[[#This Row],[Population_totale]])</f>
        <v>0</v>
      </c>
      <c r="BE251" s="4">
        <v>52.74</v>
      </c>
      <c r="BF251" s="4">
        <f>Base[[#This Row],['[SC']Âge_moyen_retraite]]-Base[[#This Row],['[SC']'[Mort_prématurée']Âge_moyen_mort précoce]]</f>
        <v>10.159999999999997</v>
      </c>
      <c r="BG251" s="4">
        <f>Base[[#This Row],[Espérance_vie]]+Base[[#This Row],['[SC']Hausse_esp_de_vie]]-Base[[#This Row],['[SC']Âge_moyen_retraite]]</f>
        <v>20.236955218602098</v>
      </c>
      <c r="BH251" s="4">
        <v>106583.42676924677</v>
      </c>
      <c r="BI251" s="4">
        <v>97601.789429271477</v>
      </c>
      <c r="BJ251" s="4">
        <v>302038.31496633729</v>
      </c>
      <c r="BK251" s="4">
        <v>117293.58934859755</v>
      </c>
      <c r="BL251" s="4">
        <v>1523999.9999999995</v>
      </c>
      <c r="BM2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1" s="4">
        <v>294804.96027377353</v>
      </c>
      <c r="BO2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1" s="4">
        <f>(Base[[#This Row],['[SC']'[Mort_prématurée']Gains]]-Base[[#This Row],['[SC']'[Mort_prématurée']Coûts]])/Base[[#This Row],[Population_totale]]</f>
        <v>0</v>
      </c>
      <c r="BQ251" s="4">
        <f>IF(Base[[#This Row],[Pathologie]]&lt;&gt;"Mort prématurée",0,Base[[#This Row],[Risque]])</f>
        <v>0</v>
      </c>
      <c r="BR251" s="4">
        <v>2680</v>
      </c>
      <c r="BS2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1" s="4">
        <f>Base[[#This Row],[Prévalence_prod]]*(1-Base[[#This Row],[Risque]])*Base[[#This Row],[Durée_arrêt]]*Base[[#This Row],[Population_emploi]]</f>
        <v>13578813.787344631</v>
      </c>
      <c r="BV251" s="4">
        <f>Base[[#This Row],['[Prod']'[Absentéisme']Total_jours_absence_avant]]-Base[[#This Row],['[Prod']'[Absentéisme']Total_jours_absence_après]]</f>
        <v>2390266.2565606833</v>
      </c>
      <c r="BW251" s="4">
        <f>IF(AND(Base[[#This Row],[Pathologie]]&lt;&gt;"Dépendance",Base[[#This Row],[Pathologie]]&lt;&gt;"Mort prématurée",Base[[#This Row],[Pathologie]]&lt;&gt;"Migraine"),0.0619,0)</f>
        <v>6.1899999999999997E-2</v>
      </c>
      <c r="BX251" s="4">
        <v>254</v>
      </c>
      <c r="BY25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1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1" s="4">
        <f>Base[[#This Row],[Prévalence_prod]]*Base[[#This Row],[Présentéisme]]*Base[[#This Row],['[Prod']Jours_ouvrés]]</f>
        <v>0.56134000000000006</v>
      </c>
      <c r="CB251" s="4">
        <f>Base[[#This Row],[Prévalence_prod]]*(1-Base[[#This Row],[Risque]])*Base[[#This Row],[Présentéisme]]*Base[[#This Row],['[Prod']Jours_ouvrés]]</f>
        <v>0.47731812417692393</v>
      </c>
      <c r="CC251" s="4">
        <f>Base[[#This Row],['[Prod']'[Présentéisme']Jours_avant]]-Base[[#This Row],['[Prod']'[Présentéisme']Jours_après]]</f>
        <v>8.4021875823076131E-2</v>
      </c>
      <c r="CD251" s="4">
        <f>Base[[#This Row],['[Prod']'[Présentéisme']Jours_gagnés]]/Base[[#This Row],['[Prod']Jours_ouvrés]]</f>
        <v>3.3079478670502413E-4</v>
      </c>
      <c r="CE251">
        <v>7.5880726467531134E-2</v>
      </c>
      <c r="CF251">
        <v>1.989821358241517E-2</v>
      </c>
      <c r="CG251" s="4">
        <v>11</v>
      </c>
      <c r="CH251" s="4">
        <v>1.3966184516047948</v>
      </c>
      <c r="CI251" s="4">
        <v>1.4392894727292521E-2</v>
      </c>
      <c r="CJ251" s="4">
        <f>IF(Base[[#This Row],[Secteur]]&lt;&gt;"Moyenne",Base[[#This Row],['[Prod']'[Turnover']DMC_initiale]]*(1+Base[[#This Row],['[Prod']'[Turnover']Ecart_accidents]]*Base[[#This Row],['[Prod']Impact_motifs_turnover]]),CJ234*CI234+CJ235*CI235+CJ236*CI236+CJ237*CI237+CJ238*CI238+CJ239*CI239+CJ240*CI240+CJ241*CI241+CJ242*CI242+CJ243*CI243+CJ244*CI244+CJ245*CI245+CJ246*CI246+CJ247*CI247+CJ248*CI248+CJ249*CI249+CJ250*CI250)</f>
        <v>11.305692334674916</v>
      </c>
      <c r="CK251" s="4">
        <f>1/Base[[#This Row],['[Prod']'[Turnover']DMC_initiale]]</f>
        <v>9.0909090909090912E-2</v>
      </c>
      <c r="CL251" s="4">
        <f>1/Base[[#This Row],['[Prod']'[Turnover']DMC_finale]]</f>
        <v>8.8451018336397527E-2</v>
      </c>
    </row>
    <row r="252" spans="2:90" x14ac:dyDescent="0.25">
      <c r="B252" s="4" t="s">
        <v>316</v>
      </c>
      <c r="C252">
        <v>15</v>
      </c>
      <c r="D252" t="s">
        <v>83</v>
      </c>
      <c r="E252" t="s">
        <v>3</v>
      </c>
      <c r="F252" s="3">
        <v>0.14968089896154918</v>
      </c>
      <c r="G252" s="3">
        <v>2.5999999999999999E-2</v>
      </c>
      <c r="H252" s="3">
        <v>2.5999999999999999E-2</v>
      </c>
      <c r="I252" s="3">
        <v>8.5000000000000006E-2</v>
      </c>
      <c r="J252" s="3">
        <v>24.289173334126499</v>
      </c>
      <c r="K252" s="3">
        <v>7.0000000000000007E-2</v>
      </c>
      <c r="L252" s="2">
        <f>Base[[#This Row],[Coût]]*Base[[#This Row],[Part_ménages_dépenses_santé]]</f>
        <v>1.7002421333888551</v>
      </c>
      <c r="M252" s="2">
        <v>0.99784170771638514</v>
      </c>
      <c r="N252" s="6">
        <v>27700000</v>
      </c>
      <c r="O252" s="7">
        <f>Base[[#This Row],[Coût_salarié]]*10^9*Base[[#This Row],[Risque]]*Base[[#This Row],[Prévalence]]*Base[[#This Row],[Part_coûts_salarié]]/Base[[#This Row],[Population_emploi]]</f>
        <v>0.23835945757874455</v>
      </c>
      <c r="P252">
        <v>50</v>
      </c>
      <c r="Q252">
        <v>50</v>
      </c>
      <c r="R252" s="2">
        <v>9.9999999999999978E-2</v>
      </c>
      <c r="S252" s="2">
        <v>0.33340000000000003</v>
      </c>
      <c r="T252" s="4">
        <v>2.5999999999999999E-2</v>
      </c>
      <c r="U252" s="4">
        <f>IF(Bases_annexes!$F$5=0,16.6587111018772,0.77*Bases_annexes!$F$5/(IF(OR(ISBLANK('Données_d''entrée'!$E$44),'Données_d''entrée'!$E$44=0),35,'Données_d''entrée'!$E$44)*52))</f>
        <v>16.658711101877199</v>
      </c>
      <c r="V252" s="4">
        <v>22.173118639135399</v>
      </c>
      <c r="W2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2" s="4">
        <v>234.5</v>
      </c>
      <c r="Y252" s="4">
        <f>(Base[[#This Row],['[Maladies']Coûts_évités_par_salarié]]+Base[[#This Row],['[Travail']Coûts_évités_par_salarié]])/Base[[#This Row],[Budget_santé_salarié]]</f>
        <v>1.0532669466316357E-2</v>
      </c>
      <c r="Z252" s="4">
        <v>0.8</v>
      </c>
      <c r="AA252" s="4">
        <f>Base[[#This Row],[Coût]]*Base[[#This Row],[Part_société_dépenses_santé]]</f>
        <v>19.431338667301201</v>
      </c>
      <c r="AB252" s="4">
        <v>67635124</v>
      </c>
      <c r="AC252" s="4">
        <v>82.297079063317852</v>
      </c>
      <c r="AD252" s="4">
        <v>2.5999999999999999E-2</v>
      </c>
      <c r="AE252" s="4">
        <f>Base[[#This Row],['[SC']Prévalence_travail]]*Base[[#This Row],[Population_emploi]]</f>
        <v>720200</v>
      </c>
      <c r="AF252" s="4">
        <f>Base[[#This Row],[Risque]]*Base[[#This Row],['[SC']Patients_en_emploi]]</f>
        <v>107800.18343210772</v>
      </c>
      <c r="AG252" s="4">
        <v>1257615774.8399999</v>
      </c>
      <c r="AH252" s="4">
        <f>IFERROR(Base[[#This Row],['[SC']Prestations]]/Base[[#This Row],['[SC']Patients_en_emploi]],0)</f>
        <v>1746.203519633435</v>
      </c>
      <c r="AI252" s="4">
        <v>51.7</v>
      </c>
      <c r="AJ2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2" s="4">
        <f>Base[[#This Row],['[SC']'[Travail']Coûts_évités]]/Base[[#This Row],[Population_emploi]]</f>
        <v>6.7957061273023971</v>
      </c>
      <c r="AL252" s="4">
        <f>Base[[#This Row],[Coût_société]]*10^9*Base[[#This Row],[Risque]]*Base[[#This Row],[Prévalence]]*Base[[#This Row],[Part_coûts_salarié]]/Base[[#This Row],[Population_emploi]]</f>
        <v>2.7241080866142231</v>
      </c>
      <c r="AM252" s="4">
        <f>IF(Base[[#This Row],[Pathologie]]&lt;&gt;"Dépendance",0,14909.24243952)</f>
        <v>0</v>
      </c>
      <c r="AN252" s="4">
        <f>IF(Base[[#This Row],[Pathologie]]&lt;&gt;"Dépendance",0,1316000)</f>
        <v>0</v>
      </c>
      <c r="AO252" s="4">
        <f>IF(Base[[#This Row],[Pathologie]]&lt;&gt;"Dépendance",0,Base[[#This Row],['[SC']Coût_personne_dépendante]]*Base[[#This Row],['[SC']Nb_personnes_dépendantes]])</f>
        <v>0</v>
      </c>
      <c r="AP252" s="4">
        <f>IF(Base[[#This Row],[Pathologie]]&lt;&gt;"Dépendance",0,Base[[#This Row],['[SC']Coût_total_dépendance]]/Base[[#This Row],[Population_totale]])</f>
        <v>0</v>
      </c>
      <c r="AQ252" s="4">
        <f>IF(Base[[#This Row],[Pathologie]]&lt;&gt;"Dépendance",0,4.5)</f>
        <v>0</v>
      </c>
      <c r="AR252" s="4">
        <v>0.83987615528424797</v>
      </c>
      <c r="AS252" s="4">
        <f>Base[[#This Row],[Espérance_vie]]+Base[[#This Row],['[SC']Hausse_esp_de_vie]]-Base[[#This Row],['[SC']Durée_moyenne_dépendance_avt]]+Base[[#This Row],[Risque]]</f>
        <v>83.286636117563646</v>
      </c>
      <c r="AT2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2" s="4">
        <v>62.9</v>
      </c>
      <c r="AW252" s="4">
        <f t="shared" si="0"/>
        <v>336905600000</v>
      </c>
      <c r="AX252" s="4">
        <v>15049171</v>
      </c>
      <c r="AY252" s="4">
        <f>Base[[#This Row],['[SC']Budget_total_retraites]]/Base[[#This Row],['[SC']Nombre_de_retraités]]</f>
        <v>22386.987296509556</v>
      </c>
      <c r="AZ252" s="4">
        <f>Base[[#This Row],['[SC']Budget_par_retraité]]*Base[[#This Row],['[SC']Nb_personnes_dépendantes]]</f>
        <v>0</v>
      </c>
      <c r="BA252" s="4">
        <f>Base[[#This Row],['[SC']'[Dépendance']Coût_retraite_personnes_dépendantes]]/Base[[#This Row],[Population_totale]]</f>
        <v>0</v>
      </c>
      <c r="BB2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2" s="4">
        <f>Base[[#This Row],['[SC']'[Dépendance']Gains]]-Base[[#This Row],['[SC']'[Dépendance']Coûts]]</f>
        <v>0</v>
      </c>
      <c r="BD252" s="4">
        <f>IF(Base[[#This Row],[Pathologie]]&lt;&gt;"Mort prématurée",0,Base[[#This Row],[Risque]]*Base[[#This Row],[Prévalence]]*Base[[#This Row],[Population_totale]])</f>
        <v>0</v>
      </c>
      <c r="BE252" s="4">
        <v>52.74</v>
      </c>
      <c r="BF252" s="4">
        <f>Base[[#This Row],['[SC']Âge_moyen_retraite]]-Base[[#This Row],['[SC']'[Mort_prématurée']Âge_moyen_mort précoce]]</f>
        <v>10.159999999999997</v>
      </c>
      <c r="BG252" s="4">
        <f>Base[[#This Row],[Espérance_vie]]+Base[[#This Row],['[SC']Hausse_esp_de_vie]]-Base[[#This Row],['[SC']Âge_moyen_retraite]]</f>
        <v>20.236955218602098</v>
      </c>
      <c r="BH252" s="4">
        <v>106583.42676924677</v>
      </c>
      <c r="BI252" s="4">
        <v>97601.789429271477</v>
      </c>
      <c r="BJ252" s="4">
        <v>302038.31496633729</v>
      </c>
      <c r="BK252" s="4">
        <v>117293.58934859755</v>
      </c>
      <c r="BL252" s="4">
        <v>1523999.9999999995</v>
      </c>
      <c r="BM2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2" s="4">
        <v>294804.96027377353</v>
      </c>
      <c r="BO2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2" s="4">
        <f>(Base[[#This Row],['[SC']'[Mort_prématurée']Gains]]-Base[[#This Row],['[SC']'[Mort_prématurée']Coûts]])/Base[[#This Row],[Population_totale]]</f>
        <v>0</v>
      </c>
      <c r="BQ252" s="4">
        <f>IF(Base[[#This Row],[Pathologie]]&lt;&gt;"Mort prématurée",0,Base[[#This Row],[Risque]])</f>
        <v>0</v>
      </c>
      <c r="BR252" s="4">
        <v>2680</v>
      </c>
      <c r="BS2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2" s="4">
        <f>Base[[#This Row],[Prévalence_prod]]*(1-Base[[#This Row],[Risque]])*Base[[#This Row],[Durée_arrêt]]*Base[[#This Row],[Population_emploi]]</f>
        <v>13578813.787344631</v>
      </c>
      <c r="BV252" s="4">
        <f>Base[[#This Row],['[Prod']'[Absentéisme']Total_jours_absence_avant]]-Base[[#This Row],['[Prod']'[Absentéisme']Total_jours_absence_après]]</f>
        <v>2390266.2565606833</v>
      </c>
      <c r="BW252" s="4">
        <f>IF(AND(Base[[#This Row],[Pathologie]]&lt;&gt;"Dépendance",Base[[#This Row],[Pathologie]]&lt;&gt;"Mort prématurée",Base[[#This Row],[Pathologie]]&lt;&gt;"Migraine"),0.0619,0)</f>
        <v>6.1899999999999997E-2</v>
      </c>
      <c r="BX252" s="4">
        <v>254</v>
      </c>
      <c r="BY25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2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2" s="4">
        <f>Base[[#This Row],[Prévalence_prod]]*Base[[#This Row],[Présentéisme]]*Base[[#This Row],['[Prod']Jours_ouvrés]]</f>
        <v>0.56134000000000006</v>
      </c>
      <c r="CB252" s="4">
        <f>Base[[#This Row],[Prévalence_prod]]*(1-Base[[#This Row],[Risque]])*Base[[#This Row],[Présentéisme]]*Base[[#This Row],['[Prod']Jours_ouvrés]]</f>
        <v>0.47731812417692393</v>
      </c>
      <c r="CC252" s="4">
        <f>Base[[#This Row],['[Prod']'[Présentéisme']Jours_avant]]-Base[[#This Row],['[Prod']'[Présentéisme']Jours_après]]</f>
        <v>8.4021875823076131E-2</v>
      </c>
      <c r="CD252" s="4">
        <f>Base[[#This Row],['[Prod']'[Présentéisme']Jours_gagnés]]/Base[[#This Row],['[Prod']Jours_ouvrés]]</f>
        <v>3.3079478670502413E-4</v>
      </c>
      <c r="CE252">
        <v>7.5880726467531134E-2</v>
      </c>
      <c r="CF252">
        <v>1.989821358241517E-2</v>
      </c>
      <c r="CG252" s="4">
        <v>11</v>
      </c>
      <c r="CH252" s="4">
        <v>0.68054183762612652</v>
      </c>
      <c r="CI252" s="4">
        <v>1.2135452577082654E-2</v>
      </c>
      <c r="CJ252" s="4">
        <f>IF(Base[[#This Row],[Secteur]]&lt;&gt;"Moyenne",Base[[#This Row],['[Prod']'[Turnover']DMC_initiale]]*(1+Base[[#This Row],['[Prod']'[Turnover']Ecart_accidents]]*Base[[#This Row],['[Prod']Impact_motifs_turnover]]),CJ235*CI235+CJ236*CI236+CJ237*CI237+CJ238*CI238+CJ239*CI239+CJ240*CI240+CJ241*CI241+CJ242*CI242+CJ243*CI243+CJ244*CI244+CJ245*CI245+CJ246*CI246+CJ247*CI247+CJ248*CI248+CJ249*CI249+CJ250*CI250+CJ251*CI251)</f>
        <v>11.148957235205394</v>
      </c>
      <c r="CK252" s="4">
        <f>1/Base[[#This Row],['[Prod']'[Turnover']DMC_initiale]]</f>
        <v>9.0909090909090912E-2</v>
      </c>
      <c r="CL252" s="4">
        <f>1/Base[[#This Row],['[Prod']'[Turnover']DMC_finale]]</f>
        <v>8.9694487018236124E-2</v>
      </c>
    </row>
    <row r="253" spans="2:90" x14ac:dyDescent="0.25">
      <c r="B253" s="4" t="s">
        <v>317</v>
      </c>
      <c r="C253">
        <v>15</v>
      </c>
      <c r="D253" t="s">
        <v>83</v>
      </c>
      <c r="E253" t="s">
        <v>3</v>
      </c>
      <c r="F253" s="3">
        <v>0.14968089896154918</v>
      </c>
      <c r="G253" s="3">
        <v>2.5999999999999999E-2</v>
      </c>
      <c r="H253" s="3">
        <v>2.5999999999999999E-2</v>
      </c>
      <c r="I253" s="3">
        <v>8.5000000000000006E-2</v>
      </c>
      <c r="J253" s="3">
        <v>24.289173334126499</v>
      </c>
      <c r="K253" s="3">
        <v>7.0000000000000007E-2</v>
      </c>
      <c r="L253" s="2">
        <f>Base[[#This Row],[Coût]]*Base[[#This Row],[Part_ménages_dépenses_santé]]</f>
        <v>1.7002421333888551</v>
      </c>
      <c r="M253" s="2">
        <v>0.99784170771638514</v>
      </c>
      <c r="N253" s="6">
        <v>27700000</v>
      </c>
      <c r="O253" s="7">
        <f>Base[[#This Row],[Coût_salarié]]*10^9*Base[[#This Row],[Risque]]*Base[[#This Row],[Prévalence]]*Base[[#This Row],[Part_coûts_salarié]]/Base[[#This Row],[Population_emploi]]</f>
        <v>0.23835945757874455</v>
      </c>
      <c r="P253">
        <v>50</v>
      </c>
      <c r="Q253">
        <v>50</v>
      </c>
      <c r="R253" s="2">
        <v>9.9999999999999978E-2</v>
      </c>
      <c r="S253" s="2">
        <v>0.33340000000000003</v>
      </c>
      <c r="T253" s="4">
        <v>2.5999999999999999E-2</v>
      </c>
      <c r="U253" s="4">
        <f>IF(Bases_annexes!$F$5=0,16.6587111018772,0.77*Bases_annexes!$F$5/(IF(OR(ISBLANK('Données_d''entrée'!$E$44),'Données_d''entrée'!$E$44=0),35,'Données_d''entrée'!$E$44)*52))</f>
        <v>16.658711101877199</v>
      </c>
      <c r="V253" s="4">
        <v>22.173118639135399</v>
      </c>
      <c r="W2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3" s="4">
        <v>234.5</v>
      </c>
      <c r="Y253" s="4">
        <f>(Base[[#This Row],['[Maladies']Coûts_évités_par_salarié]]+Base[[#This Row],['[Travail']Coûts_évités_par_salarié]])/Base[[#This Row],[Budget_santé_salarié]]</f>
        <v>1.0532669466316357E-2</v>
      </c>
      <c r="Z253" s="4">
        <v>0.8</v>
      </c>
      <c r="AA253" s="4">
        <f>Base[[#This Row],[Coût]]*Base[[#This Row],[Part_société_dépenses_santé]]</f>
        <v>19.431338667301201</v>
      </c>
      <c r="AB253" s="4">
        <v>67635124</v>
      </c>
      <c r="AC253" s="4">
        <v>82.297079063317852</v>
      </c>
      <c r="AD253" s="4">
        <v>2.5999999999999999E-2</v>
      </c>
      <c r="AE253" s="4">
        <f>Base[[#This Row],['[SC']Prévalence_travail]]*Base[[#This Row],[Population_emploi]]</f>
        <v>720200</v>
      </c>
      <c r="AF253" s="4">
        <f>Base[[#This Row],[Risque]]*Base[[#This Row],['[SC']Patients_en_emploi]]</f>
        <v>107800.18343210772</v>
      </c>
      <c r="AG253" s="4">
        <v>1257615774.8399999</v>
      </c>
      <c r="AH253" s="4">
        <f>IFERROR(Base[[#This Row],['[SC']Prestations]]/Base[[#This Row],['[SC']Patients_en_emploi]],0)</f>
        <v>1746.203519633435</v>
      </c>
      <c r="AI253" s="4">
        <v>51.7</v>
      </c>
      <c r="AJ2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3" s="4">
        <f>Base[[#This Row],['[SC']'[Travail']Coûts_évités]]/Base[[#This Row],[Population_emploi]]</f>
        <v>6.7957061273023971</v>
      </c>
      <c r="AL253" s="4">
        <f>Base[[#This Row],[Coût_société]]*10^9*Base[[#This Row],[Risque]]*Base[[#This Row],[Prévalence]]*Base[[#This Row],[Part_coûts_salarié]]/Base[[#This Row],[Population_emploi]]</f>
        <v>2.7241080866142231</v>
      </c>
      <c r="AM253" s="4">
        <f>IF(Base[[#This Row],[Pathologie]]&lt;&gt;"Dépendance",0,14909.24243952)</f>
        <v>0</v>
      </c>
      <c r="AN253" s="4">
        <f>IF(Base[[#This Row],[Pathologie]]&lt;&gt;"Dépendance",0,1316000)</f>
        <v>0</v>
      </c>
      <c r="AO253" s="4">
        <f>IF(Base[[#This Row],[Pathologie]]&lt;&gt;"Dépendance",0,Base[[#This Row],['[SC']Coût_personne_dépendante]]*Base[[#This Row],['[SC']Nb_personnes_dépendantes]])</f>
        <v>0</v>
      </c>
      <c r="AP253" s="4">
        <f>IF(Base[[#This Row],[Pathologie]]&lt;&gt;"Dépendance",0,Base[[#This Row],['[SC']Coût_total_dépendance]]/Base[[#This Row],[Population_totale]])</f>
        <v>0</v>
      </c>
      <c r="AQ253" s="4">
        <f>IF(Base[[#This Row],[Pathologie]]&lt;&gt;"Dépendance",0,4.5)</f>
        <v>0</v>
      </c>
      <c r="AR253" s="4">
        <v>0.83987615528424797</v>
      </c>
      <c r="AS253" s="4">
        <f>Base[[#This Row],[Espérance_vie]]+Base[[#This Row],['[SC']Hausse_esp_de_vie]]-Base[[#This Row],['[SC']Durée_moyenne_dépendance_avt]]+Base[[#This Row],[Risque]]</f>
        <v>83.286636117563646</v>
      </c>
      <c r="AT2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3" s="4">
        <v>62.9</v>
      </c>
      <c r="AW253" s="4">
        <f t="shared" si="0"/>
        <v>336905600000</v>
      </c>
      <c r="AX253" s="4">
        <v>15049171</v>
      </c>
      <c r="AY253" s="4">
        <f>Base[[#This Row],['[SC']Budget_total_retraites]]/Base[[#This Row],['[SC']Nombre_de_retraités]]</f>
        <v>22386.987296509556</v>
      </c>
      <c r="AZ253" s="4">
        <f>Base[[#This Row],['[SC']Budget_par_retraité]]*Base[[#This Row],['[SC']Nb_personnes_dépendantes]]</f>
        <v>0</v>
      </c>
      <c r="BA253" s="4">
        <f>Base[[#This Row],['[SC']'[Dépendance']Coût_retraite_personnes_dépendantes]]/Base[[#This Row],[Population_totale]]</f>
        <v>0</v>
      </c>
      <c r="BB2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3" s="4">
        <f>Base[[#This Row],['[SC']'[Dépendance']Gains]]-Base[[#This Row],['[SC']'[Dépendance']Coûts]]</f>
        <v>0</v>
      </c>
      <c r="BD253" s="4">
        <f>IF(Base[[#This Row],[Pathologie]]&lt;&gt;"Mort prématurée",0,Base[[#This Row],[Risque]]*Base[[#This Row],[Prévalence]]*Base[[#This Row],[Population_totale]])</f>
        <v>0</v>
      </c>
      <c r="BE253" s="4">
        <v>52.74</v>
      </c>
      <c r="BF253" s="4">
        <f>Base[[#This Row],['[SC']Âge_moyen_retraite]]-Base[[#This Row],['[SC']'[Mort_prématurée']Âge_moyen_mort précoce]]</f>
        <v>10.159999999999997</v>
      </c>
      <c r="BG253" s="4">
        <f>Base[[#This Row],[Espérance_vie]]+Base[[#This Row],['[SC']Hausse_esp_de_vie]]-Base[[#This Row],['[SC']Âge_moyen_retraite]]</f>
        <v>20.236955218602098</v>
      </c>
      <c r="BH253" s="4">
        <v>106583.42676924677</v>
      </c>
      <c r="BI253" s="4">
        <v>97601.789429271477</v>
      </c>
      <c r="BJ253" s="4">
        <v>302038.31496633729</v>
      </c>
      <c r="BK253" s="4">
        <v>117293.58934859755</v>
      </c>
      <c r="BL253" s="4">
        <v>1523999.9999999995</v>
      </c>
      <c r="BM2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3" s="4">
        <v>294804.96027377353</v>
      </c>
      <c r="BO2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3" s="4">
        <f>(Base[[#This Row],['[SC']'[Mort_prématurée']Gains]]-Base[[#This Row],['[SC']'[Mort_prématurée']Coûts]])/Base[[#This Row],[Population_totale]]</f>
        <v>0</v>
      </c>
      <c r="BQ253" s="4">
        <f>IF(Base[[#This Row],[Pathologie]]&lt;&gt;"Mort prématurée",0,Base[[#This Row],[Risque]])</f>
        <v>0</v>
      </c>
      <c r="BR253" s="4">
        <v>2680</v>
      </c>
      <c r="BS2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3" s="4">
        <f>Base[[#This Row],[Prévalence_prod]]*(1-Base[[#This Row],[Risque]])*Base[[#This Row],[Durée_arrêt]]*Base[[#This Row],[Population_emploi]]</f>
        <v>13578813.787344631</v>
      </c>
      <c r="BV253" s="4">
        <f>Base[[#This Row],['[Prod']'[Absentéisme']Total_jours_absence_avant]]-Base[[#This Row],['[Prod']'[Absentéisme']Total_jours_absence_après]]</f>
        <v>2390266.2565606833</v>
      </c>
      <c r="BW253" s="4">
        <f>IF(AND(Base[[#This Row],[Pathologie]]&lt;&gt;"Dépendance",Base[[#This Row],[Pathologie]]&lt;&gt;"Mort prématurée",Base[[#This Row],[Pathologie]]&lt;&gt;"Migraine"),0.0619,0)</f>
        <v>6.1899999999999997E-2</v>
      </c>
      <c r="BX253" s="4">
        <v>254</v>
      </c>
      <c r="BY253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3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3" s="4">
        <f>Base[[#This Row],[Prévalence_prod]]*Base[[#This Row],[Présentéisme]]*Base[[#This Row],['[Prod']Jours_ouvrés]]</f>
        <v>0.56134000000000006</v>
      </c>
      <c r="CB253" s="4">
        <f>Base[[#This Row],[Prévalence_prod]]*(1-Base[[#This Row],[Risque]])*Base[[#This Row],[Présentéisme]]*Base[[#This Row],['[Prod']Jours_ouvrés]]</f>
        <v>0.47731812417692393</v>
      </c>
      <c r="CC253" s="4">
        <f>Base[[#This Row],['[Prod']'[Présentéisme']Jours_avant]]-Base[[#This Row],['[Prod']'[Présentéisme']Jours_après]]</f>
        <v>8.4021875823076131E-2</v>
      </c>
      <c r="CD253" s="4">
        <f>Base[[#This Row],['[Prod']'[Présentéisme']Jours_gagnés]]/Base[[#This Row],['[Prod']Jours_ouvrés]]</f>
        <v>3.3079478670502413E-4</v>
      </c>
      <c r="CE253">
        <v>7.5880726467531134E-2</v>
      </c>
      <c r="CF253">
        <v>1.989821358241517E-2</v>
      </c>
      <c r="CG253" s="4">
        <v>11</v>
      </c>
      <c r="CH253" s="4">
        <v>0.31563677172153043</v>
      </c>
      <c r="CI253" s="4">
        <v>1.3003350630813707E-4</v>
      </c>
      <c r="CJ253" s="4">
        <f>IF(Base[[#This Row],[Secteur]]&lt;&gt;"Moyenne",Base[[#This Row],['[Prod']'[Turnover']DMC_initiale]]*(1+Base[[#This Row],['[Prod']'[Turnover']Ecart_accidents]]*Base[[#This Row],['[Prod']Impact_motifs_turnover]]),CJ236*CI236+CJ237*CI237+CJ238*CI238+CJ239*CI239+CJ240*CI240+CJ241*CI241+CJ242*CI242+CJ243*CI243+CJ244*CI244+CJ245*CI245+CJ246*CI246+CJ247*CI247+CJ248*CI248+CJ249*CI249+CJ250*CI250+CJ251*CI251+CJ252*CI252)</f>
        <v>11.069086686879968</v>
      </c>
      <c r="CK253" s="4">
        <f>1/Base[[#This Row],['[Prod']'[Turnover']DMC_initiale]]</f>
        <v>9.0909090909090912E-2</v>
      </c>
      <c r="CL253" s="4">
        <f>1/Base[[#This Row],['[Prod']'[Turnover']DMC_finale]]</f>
        <v>9.0341690176235209E-2</v>
      </c>
    </row>
    <row r="254" spans="2:90" x14ac:dyDescent="0.25">
      <c r="B254" s="4" t="s">
        <v>318</v>
      </c>
      <c r="C254">
        <v>15</v>
      </c>
      <c r="D254" t="s">
        <v>83</v>
      </c>
      <c r="E254" t="s">
        <v>3</v>
      </c>
      <c r="F254" s="3">
        <v>0.14968089896154918</v>
      </c>
      <c r="G254" s="3">
        <v>2.5999999999999999E-2</v>
      </c>
      <c r="H254" s="3">
        <v>2.5999999999999999E-2</v>
      </c>
      <c r="I254" s="3">
        <v>8.5000000000000006E-2</v>
      </c>
      <c r="J254" s="3">
        <v>24.289173334126499</v>
      </c>
      <c r="K254" s="3">
        <v>7.0000000000000007E-2</v>
      </c>
      <c r="L254" s="2">
        <f>Base[[#This Row],[Coût]]*Base[[#This Row],[Part_ménages_dépenses_santé]]</f>
        <v>1.7002421333888551</v>
      </c>
      <c r="M254" s="2">
        <v>0.99784170771638514</v>
      </c>
      <c r="N254" s="6">
        <v>27700000</v>
      </c>
      <c r="O254" s="7">
        <f>Base[[#This Row],[Coût_salarié]]*10^9*Base[[#This Row],[Risque]]*Base[[#This Row],[Prévalence]]*Base[[#This Row],[Part_coûts_salarié]]/Base[[#This Row],[Population_emploi]]</f>
        <v>0.23835945757874455</v>
      </c>
      <c r="P254">
        <v>50</v>
      </c>
      <c r="Q254">
        <v>50</v>
      </c>
      <c r="R254" s="2">
        <v>9.9999999999999978E-2</v>
      </c>
      <c r="S254" s="2">
        <v>0.33340000000000003</v>
      </c>
      <c r="T254" s="4">
        <v>2.5999999999999999E-2</v>
      </c>
      <c r="U254" s="4">
        <f>IF(Bases_annexes!$F$5=0,16.6587111018772,0.77*Bases_annexes!$F$5/(IF(OR(ISBLANK('Données_d''entrée'!$E$44),'Données_d''entrée'!$E$44=0),35,'Données_d''entrée'!$E$44)*52))</f>
        <v>16.658711101877199</v>
      </c>
      <c r="V254" s="4">
        <v>22.173118639135399</v>
      </c>
      <c r="W2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4" s="4">
        <v>234.5</v>
      </c>
      <c r="Y254" s="4">
        <f>(Base[[#This Row],['[Maladies']Coûts_évités_par_salarié]]+Base[[#This Row],['[Travail']Coûts_évités_par_salarié]])/Base[[#This Row],[Budget_santé_salarié]]</f>
        <v>1.0532669466316357E-2</v>
      </c>
      <c r="Z254" s="4">
        <v>0.8</v>
      </c>
      <c r="AA254" s="4">
        <f>Base[[#This Row],[Coût]]*Base[[#This Row],[Part_société_dépenses_santé]]</f>
        <v>19.431338667301201</v>
      </c>
      <c r="AB254" s="4">
        <v>67635124</v>
      </c>
      <c r="AC254" s="4">
        <v>82.297079063317852</v>
      </c>
      <c r="AD254" s="4">
        <v>2.5999999999999999E-2</v>
      </c>
      <c r="AE254" s="4">
        <f>Base[[#This Row],['[SC']Prévalence_travail]]*Base[[#This Row],[Population_emploi]]</f>
        <v>720200</v>
      </c>
      <c r="AF254" s="4">
        <f>Base[[#This Row],[Risque]]*Base[[#This Row],['[SC']Patients_en_emploi]]</f>
        <v>107800.18343210772</v>
      </c>
      <c r="AG254" s="4">
        <v>1257615774.8399999</v>
      </c>
      <c r="AH254" s="4">
        <f>IFERROR(Base[[#This Row],['[SC']Prestations]]/Base[[#This Row],['[SC']Patients_en_emploi]],0)</f>
        <v>1746.203519633435</v>
      </c>
      <c r="AI254" s="4">
        <v>51.7</v>
      </c>
      <c r="AJ2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4" s="4">
        <f>Base[[#This Row],['[SC']'[Travail']Coûts_évités]]/Base[[#This Row],[Population_emploi]]</f>
        <v>6.7957061273023971</v>
      </c>
      <c r="AL254" s="4">
        <f>Base[[#This Row],[Coût_société]]*10^9*Base[[#This Row],[Risque]]*Base[[#This Row],[Prévalence]]*Base[[#This Row],[Part_coûts_salarié]]/Base[[#This Row],[Population_emploi]]</f>
        <v>2.7241080866142231</v>
      </c>
      <c r="AM254" s="4">
        <f>IF(Base[[#This Row],[Pathologie]]&lt;&gt;"Dépendance",0,14909.24243952)</f>
        <v>0</v>
      </c>
      <c r="AN254" s="4">
        <f>IF(Base[[#This Row],[Pathologie]]&lt;&gt;"Dépendance",0,1316000)</f>
        <v>0</v>
      </c>
      <c r="AO254" s="4">
        <f>IF(Base[[#This Row],[Pathologie]]&lt;&gt;"Dépendance",0,Base[[#This Row],['[SC']Coût_personne_dépendante]]*Base[[#This Row],['[SC']Nb_personnes_dépendantes]])</f>
        <v>0</v>
      </c>
      <c r="AP254" s="4">
        <f>IF(Base[[#This Row],[Pathologie]]&lt;&gt;"Dépendance",0,Base[[#This Row],['[SC']Coût_total_dépendance]]/Base[[#This Row],[Population_totale]])</f>
        <v>0</v>
      </c>
      <c r="AQ254" s="4">
        <f>IF(Base[[#This Row],[Pathologie]]&lt;&gt;"Dépendance",0,4.5)</f>
        <v>0</v>
      </c>
      <c r="AR254" s="4">
        <v>0.83987615528424797</v>
      </c>
      <c r="AS254" s="4">
        <f>Base[[#This Row],[Espérance_vie]]+Base[[#This Row],['[SC']Hausse_esp_de_vie]]-Base[[#This Row],['[SC']Durée_moyenne_dépendance_avt]]+Base[[#This Row],[Risque]]</f>
        <v>83.286636117563646</v>
      </c>
      <c r="AT2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4" s="4">
        <v>62.9</v>
      </c>
      <c r="AW254" s="4">
        <f t="shared" si="0"/>
        <v>336905600000</v>
      </c>
      <c r="AX254" s="4">
        <v>15049171</v>
      </c>
      <c r="AY254" s="4">
        <f>Base[[#This Row],['[SC']Budget_total_retraites]]/Base[[#This Row],['[SC']Nombre_de_retraités]]</f>
        <v>22386.987296509556</v>
      </c>
      <c r="AZ254" s="4">
        <f>Base[[#This Row],['[SC']Budget_par_retraité]]*Base[[#This Row],['[SC']Nb_personnes_dépendantes]]</f>
        <v>0</v>
      </c>
      <c r="BA254" s="4">
        <f>Base[[#This Row],['[SC']'[Dépendance']Coût_retraite_personnes_dépendantes]]/Base[[#This Row],[Population_totale]]</f>
        <v>0</v>
      </c>
      <c r="BB2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4" s="4">
        <f>Base[[#This Row],['[SC']'[Dépendance']Gains]]-Base[[#This Row],['[SC']'[Dépendance']Coûts]]</f>
        <v>0</v>
      </c>
      <c r="BD254" s="4">
        <f>IF(Base[[#This Row],[Pathologie]]&lt;&gt;"Mort prématurée",0,Base[[#This Row],[Risque]]*Base[[#This Row],[Prévalence]]*Base[[#This Row],[Population_totale]])</f>
        <v>0</v>
      </c>
      <c r="BE254" s="4">
        <v>52.74</v>
      </c>
      <c r="BF254" s="4">
        <f>Base[[#This Row],['[SC']Âge_moyen_retraite]]-Base[[#This Row],['[SC']'[Mort_prématurée']Âge_moyen_mort précoce]]</f>
        <v>10.159999999999997</v>
      </c>
      <c r="BG254" s="4">
        <f>Base[[#This Row],[Espérance_vie]]+Base[[#This Row],['[SC']Hausse_esp_de_vie]]-Base[[#This Row],['[SC']Âge_moyen_retraite]]</f>
        <v>20.236955218602098</v>
      </c>
      <c r="BH254" s="4">
        <v>106583.42676924677</v>
      </c>
      <c r="BI254" s="4">
        <v>97601.789429271477</v>
      </c>
      <c r="BJ254" s="4">
        <v>302038.31496633729</v>
      </c>
      <c r="BK254" s="4">
        <v>117293.58934859755</v>
      </c>
      <c r="BL254" s="4">
        <v>1523999.9999999995</v>
      </c>
      <c r="BM2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4" s="4">
        <v>294804.96027377353</v>
      </c>
      <c r="BO2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4" s="4">
        <f>(Base[[#This Row],['[SC']'[Mort_prématurée']Gains]]-Base[[#This Row],['[SC']'[Mort_prématurée']Coûts]])/Base[[#This Row],[Population_totale]]</f>
        <v>0</v>
      </c>
      <c r="BQ254" s="4">
        <f>IF(Base[[#This Row],[Pathologie]]&lt;&gt;"Mort prématurée",0,Base[[#This Row],[Risque]])</f>
        <v>0</v>
      </c>
      <c r="BR254" s="4">
        <v>2680</v>
      </c>
      <c r="BS2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4" s="4">
        <f>Base[[#This Row],[Prévalence_prod]]*(1-Base[[#This Row],[Risque]])*Base[[#This Row],[Durée_arrêt]]*Base[[#This Row],[Population_emploi]]</f>
        <v>13578813.787344631</v>
      </c>
      <c r="BV254" s="4">
        <f>Base[[#This Row],['[Prod']'[Absentéisme']Total_jours_absence_avant]]-Base[[#This Row],['[Prod']'[Absentéisme']Total_jours_absence_après]]</f>
        <v>2390266.2565606833</v>
      </c>
      <c r="BW254" s="4">
        <f>IF(AND(Base[[#This Row],[Pathologie]]&lt;&gt;"Dépendance",Base[[#This Row],[Pathologie]]&lt;&gt;"Mort prématurée",Base[[#This Row],[Pathologie]]&lt;&gt;"Migraine"),0.0619,0)</f>
        <v>6.1899999999999997E-2</v>
      </c>
      <c r="BX254" s="4">
        <v>254</v>
      </c>
      <c r="BY254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4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4" s="4">
        <f>Base[[#This Row],[Prévalence_prod]]*Base[[#This Row],[Présentéisme]]*Base[[#This Row],['[Prod']Jours_ouvrés]]</f>
        <v>0.56134000000000006</v>
      </c>
      <c r="CB254" s="4">
        <f>Base[[#This Row],[Prévalence_prod]]*(1-Base[[#This Row],[Risque]])*Base[[#This Row],[Présentéisme]]*Base[[#This Row],['[Prod']Jours_ouvrés]]</f>
        <v>0.47731812417692393</v>
      </c>
      <c r="CC254" s="4">
        <f>Base[[#This Row],['[Prod']'[Présentéisme']Jours_avant]]-Base[[#This Row],['[Prod']'[Présentéisme']Jours_après]]</f>
        <v>8.4021875823076131E-2</v>
      </c>
      <c r="CD254" s="4">
        <f>Base[[#This Row],['[Prod']'[Présentéisme']Jours_gagnés]]/Base[[#This Row],['[Prod']Jours_ouvrés]]</f>
        <v>3.3079478670502413E-4</v>
      </c>
      <c r="CE254">
        <v>7.5880726467531134E-2</v>
      </c>
      <c r="CF254">
        <v>1.989821358241517E-2</v>
      </c>
      <c r="CG254" s="4">
        <v>11</v>
      </c>
      <c r="CH254" s="4">
        <v>1.1688035738877327</v>
      </c>
      <c r="CI254" s="4">
        <v>9.6557438521367826E-3</v>
      </c>
      <c r="CJ254" s="4">
        <f>IF(Base[[#This Row],[Secteur]]&lt;&gt;"Moyenne",Base[[#This Row],['[Prod']'[Turnover']DMC_initiale]]*(1+Base[[#This Row],['[Prod']'[Turnover']Ecart_accidents]]*Base[[#This Row],['[Prod']Impact_motifs_turnover]]),CJ237*CI237+CJ238*CI238+CJ239*CI239+CJ240*CI240+CJ241*CI241+CJ242*CI242+CJ243*CI243+CJ244*CI244+CJ245*CI245+CJ246*CI246+CJ247*CI247+CJ248*CI248+CJ249*CI249+CJ250*CI250+CJ251*CI251+CJ252*CI252+CJ253*CI253)</f>
        <v>11.25582813464019</v>
      </c>
      <c r="CK254" s="4">
        <f>1/Base[[#This Row],['[Prod']'[Turnover']DMC_initiale]]</f>
        <v>9.0909090909090912E-2</v>
      </c>
      <c r="CL254" s="4">
        <f>1/Base[[#This Row],['[Prod']'[Turnover']DMC_finale]]</f>
        <v>8.8842863273868436E-2</v>
      </c>
    </row>
    <row r="255" spans="2:90" x14ac:dyDescent="0.25">
      <c r="B255" s="4" t="s">
        <v>319</v>
      </c>
      <c r="C255">
        <v>15</v>
      </c>
      <c r="D255" t="s">
        <v>83</v>
      </c>
      <c r="E255" t="s">
        <v>3</v>
      </c>
      <c r="F255" s="3">
        <v>0.14968089896154918</v>
      </c>
      <c r="G255" s="3">
        <v>2.5999999999999999E-2</v>
      </c>
      <c r="H255" s="3">
        <v>2.5999999999999999E-2</v>
      </c>
      <c r="I255" s="3">
        <v>8.5000000000000006E-2</v>
      </c>
      <c r="J255" s="3">
        <v>24.289173334126499</v>
      </c>
      <c r="K255" s="3">
        <v>7.0000000000000007E-2</v>
      </c>
      <c r="L255" s="2">
        <f>Base[[#This Row],[Coût]]*Base[[#This Row],[Part_ménages_dépenses_santé]]</f>
        <v>1.7002421333888551</v>
      </c>
      <c r="M255" s="2">
        <v>0.99784170771638514</v>
      </c>
      <c r="N255" s="6">
        <v>27700000</v>
      </c>
      <c r="O255" s="7">
        <f>Base[[#This Row],[Coût_salarié]]*10^9*Base[[#This Row],[Risque]]*Base[[#This Row],[Prévalence]]*Base[[#This Row],[Part_coûts_salarié]]/Base[[#This Row],[Population_emploi]]</f>
        <v>0.23835945757874455</v>
      </c>
      <c r="P255">
        <v>50</v>
      </c>
      <c r="Q255">
        <v>50</v>
      </c>
      <c r="R255" s="2">
        <v>9.9999999999999978E-2</v>
      </c>
      <c r="S255" s="2">
        <v>0.33340000000000003</v>
      </c>
      <c r="T255" s="4">
        <v>2.5999999999999999E-2</v>
      </c>
      <c r="U255" s="4">
        <f>IF(Bases_annexes!$F$5=0,16.6587111018772,0.77*Bases_annexes!$F$5/(IF(OR(ISBLANK('Données_d''entrée'!$E$44),'Données_d''entrée'!$E$44=0),35,'Données_d''entrée'!$E$44)*52))</f>
        <v>16.658711101877199</v>
      </c>
      <c r="V255" s="4">
        <v>22.173118639135399</v>
      </c>
      <c r="W2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5" s="4">
        <v>234.5</v>
      </c>
      <c r="Y255" s="4">
        <f>(Base[[#This Row],['[Maladies']Coûts_évités_par_salarié]]+Base[[#This Row],['[Travail']Coûts_évités_par_salarié]])/Base[[#This Row],[Budget_santé_salarié]]</f>
        <v>1.0532669466316357E-2</v>
      </c>
      <c r="Z255" s="4">
        <v>0.8</v>
      </c>
      <c r="AA255" s="4">
        <f>Base[[#This Row],[Coût]]*Base[[#This Row],[Part_société_dépenses_santé]]</f>
        <v>19.431338667301201</v>
      </c>
      <c r="AB255" s="4">
        <v>67635124</v>
      </c>
      <c r="AC255" s="4">
        <v>82.297079063317852</v>
      </c>
      <c r="AD255" s="4">
        <v>2.5999999999999999E-2</v>
      </c>
      <c r="AE255" s="4">
        <f>Base[[#This Row],['[SC']Prévalence_travail]]*Base[[#This Row],[Population_emploi]]</f>
        <v>720200</v>
      </c>
      <c r="AF255" s="4">
        <f>Base[[#This Row],[Risque]]*Base[[#This Row],['[SC']Patients_en_emploi]]</f>
        <v>107800.18343210772</v>
      </c>
      <c r="AG255" s="4">
        <v>1257615774.8399999</v>
      </c>
      <c r="AH255" s="4">
        <f>IFERROR(Base[[#This Row],['[SC']Prestations]]/Base[[#This Row],['[SC']Patients_en_emploi]],0)</f>
        <v>1746.203519633435</v>
      </c>
      <c r="AI255" s="4">
        <v>51.7</v>
      </c>
      <c r="AJ2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5" s="4">
        <f>Base[[#This Row],['[SC']'[Travail']Coûts_évités]]/Base[[#This Row],[Population_emploi]]</f>
        <v>6.7957061273023971</v>
      </c>
      <c r="AL255" s="4">
        <f>Base[[#This Row],[Coût_société]]*10^9*Base[[#This Row],[Risque]]*Base[[#This Row],[Prévalence]]*Base[[#This Row],[Part_coûts_salarié]]/Base[[#This Row],[Population_emploi]]</f>
        <v>2.7241080866142231</v>
      </c>
      <c r="AM255" s="4">
        <f>IF(Base[[#This Row],[Pathologie]]&lt;&gt;"Dépendance",0,14909.24243952)</f>
        <v>0</v>
      </c>
      <c r="AN255" s="4">
        <f>IF(Base[[#This Row],[Pathologie]]&lt;&gt;"Dépendance",0,1316000)</f>
        <v>0</v>
      </c>
      <c r="AO255" s="4">
        <f>IF(Base[[#This Row],[Pathologie]]&lt;&gt;"Dépendance",0,Base[[#This Row],['[SC']Coût_personne_dépendante]]*Base[[#This Row],['[SC']Nb_personnes_dépendantes]])</f>
        <v>0</v>
      </c>
      <c r="AP255" s="4">
        <f>IF(Base[[#This Row],[Pathologie]]&lt;&gt;"Dépendance",0,Base[[#This Row],['[SC']Coût_total_dépendance]]/Base[[#This Row],[Population_totale]])</f>
        <v>0</v>
      </c>
      <c r="AQ255" s="4">
        <f>IF(Base[[#This Row],[Pathologie]]&lt;&gt;"Dépendance",0,4.5)</f>
        <v>0</v>
      </c>
      <c r="AR255" s="4">
        <v>0.83987615528424797</v>
      </c>
      <c r="AS255" s="4">
        <f>Base[[#This Row],[Espérance_vie]]+Base[[#This Row],['[SC']Hausse_esp_de_vie]]-Base[[#This Row],['[SC']Durée_moyenne_dépendance_avt]]+Base[[#This Row],[Risque]]</f>
        <v>83.286636117563646</v>
      </c>
      <c r="AT2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5" s="4">
        <v>62.9</v>
      </c>
      <c r="AW255" s="4">
        <f t="shared" si="0"/>
        <v>336905600000</v>
      </c>
      <c r="AX255" s="4">
        <v>15049171</v>
      </c>
      <c r="AY255" s="4">
        <f>Base[[#This Row],['[SC']Budget_total_retraites]]/Base[[#This Row],['[SC']Nombre_de_retraités]]</f>
        <v>22386.987296509556</v>
      </c>
      <c r="AZ255" s="4">
        <f>Base[[#This Row],['[SC']Budget_par_retraité]]*Base[[#This Row],['[SC']Nb_personnes_dépendantes]]</f>
        <v>0</v>
      </c>
      <c r="BA255" s="4">
        <f>Base[[#This Row],['[SC']'[Dépendance']Coût_retraite_personnes_dépendantes]]/Base[[#This Row],[Population_totale]]</f>
        <v>0</v>
      </c>
      <c r="BB2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5" s="4">
        <f>Base[[#This Row],['[SC']'[Dépendance']Gains]]-Base[[#This Row],['[SC']'[Dépendance']Coûts]]</f>
        <v>0</v>
      </c>
      <c r="BD255" s="4">
        <f>IF(Base[[#This Row],[Pathologie]]&lt;&gt;"Mort prématurée",0,Base[[#This Row],[Risque]]*Base[[#This Row],[Prévalence]]*Base[[#This Row],[Population_totale]])</f>
        <v>0</v>
      </c>
      <c r="BE255" s="4">
        <v>52.74</v>
      </c>
      <c r="BF255" s="4">
        <f>Base[[#This Row],['[SC']Âge_moyen_retraite]]-Base[[#This Row],['[SC']'[Mort_prématurée']Âge_moyen_mort précoce]]</f>
        <v>10.159999999999997</v>
      </c>
      <c r="BG255" s="4">
        <f>Base[[#This Row],[Espérance_vie]]+Base[[#This Row],['[SC']Hausse_esp_de_vie]]-Base[[#This Row],['[SC']Âge_moyen_retraite]]</f>
        <v>20.236955218602098</v>
      </c>
      <c r="BH255" s="4">
        <v>106583.42676924677</v>
      </c>
      <c r="BI255" s="4">
        <v>97601.789429271477</v>
      </c>
      <c r="BJ255" s="4">
        <v>302038.31496633729</v>
      </c>
      <c r="BK255" s="4">
        <v>117293.58934859755</v>
      </c>
      <c r="BL255" s="4">
        <v>1523999.9999999995</v>
      </c>
      <c r="BM2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5" s="4">
        <v>294804.96027377353</v>
      </c>
      <c r="BO2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5" s="4">
        <f>(Base[[#This Row],['[SC']'[Mort_prématurée']Gains]]-Base[[#This Row],['[SC']'[Mort_prématurée']Coûts]])/Base[[#This Row],[Population_totale]]</f>
        <v>0</v>
      </c>
      <c r="BQ255" s="4">
        <f>IF(Base[[#This Row],[Pathologie]]&lt;&gt;"Mort prématurée",0,Base[[#This Row],[Risque]])</f>
        <v>0</v>
      </c>
      <c r="BR255" s="4">
        <v>2680</v>
      </c>
      <c r="BS2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5" s="4">
        <f>Base[[#This Row],[Prévalence_prod]]*(1-Base[[#This Row],[Risque]])*Base[[#This Row],[Durée_arrêt]]*Base[[#This Row],[Population_emploi]]</f>
        <v>13578813.787344631</v>
      </c>
      <c r="BV255" s="4">
        <f>Base[[#This Row],['[Prod']'[Absentéisme']Total_jours_absence_avant]]-Base[[#This Row],['[Prod']'[Absentéisme']Total_jours_absence_après]]</f>
        <v>2390266.2565606833</v>
      </c>
      <c r="BW255" s="4">
        <f>IF(AND(Base[[#This Row],[Pathologie]]&lt;&gt;"Dépendance",Base[[#This Row],[Pathologie]]&lt;&gt;"Mort prématurée",Base[[#This Row],[Pathologie]]&lt;&gt;"Migraine"),0.0619,0)</f>
        <v>6.1899999999999997E-2</v>
      </c>
      <c r="BX255" s="4">
        <v>254</v>
      </c>
      <c r="BY255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5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5" s="4">
        <f>Base[[#This Row],[Prévalence_prod]]*Base[[#This Row],[Présentéisme]]*Base[[#This Row],['[Prod']Jours_ouvrés]]</f>
        <v>0.56134000000000006</v>
      </c>
      <c r="CB255" s="4">
        <f>Base[[#This Row],[Prévalence_prod]]*(1-Base[[#This Row],[Risque]])*Base[[#This Row],[Présentéisme]]*Base[[#This Row],['[Prod']Jours_ouvrés]]</f>
        <v>0.47731812417692393</v>
      </c>
      <c r="CC255" s="4">
        <f>Base[[#This Row],['[Prod']'[Présentéisme']Jours_avant]]-Base[[#This Row],['[Prod']'[Présentéisme']Jours_après]]</f>
        <v>8.4021875823076131E-2</v>
      </c>
      <c r="CD255" s="4">
        <f>Base[[#This Row],['[Prod']'[Présentéisme']Jours_gagnés]]/Base[[#This Row],['[Prod']Jours_ouvrés]]</f>
        <v>3.3079478670502413E-4</v>
      </c>
      <c r="CE255">
        <v>7.5880726467531134E-2</v>
      </c>
      <c r="CF255">
        <v>1.989821358241517E-2</v>
      </c>
      <c r="CG255" s="4">
        <v>11</v>
      </c>
      <c r="CH255" s="4">
        <v>0.52204401140486179</v>
      </c>
      <c r="CI255" s="4">
        <v>1.2443904150185675E-2</v>
      </c>
      <c r="CJ255" s="4">
        <f>IF(Base[[#This Row],[Secteur]]&lt;&gt;"Moyenne",Base[[#This Row],['[Prod']'[Turnover']DMC_initiale]]*(1+Base[[#This Row],['[Prod']'[Turnover']Ecart_accidents]]*Base[[#This Row],['[Prod']Impact_motifs_turnover]]),CJ238*CI238+CJ239*CI239+CJ240*CI240+CJ241*CI241+CJ242*CI242+CJ243*CI243+CJ244*CI244+CJ245*CI245+CJ246*CI246+CJ247*CI247+CJ248*CI248+CJ249*CI249+CJ250*CI250+CJ251*CI251+CJ252*CI252+CJ253*CI253+CJ254*CI254)</f>
        <v>11.114265175621902</v>
      </c>
      <c r="CK255" s="4">
        <f>1/Base[[#This Row],['[Prod']'[Turnover']DMC_initiale]]</f>
        <v>9.0909090909090912E-2</v>
      </c>
      <c r="CL255" s="4">
        <f>1/Base[[#This Row],['[Prod']'[Turnover']DMC_finale]]</f>
        <v>8.9974459327586145E-2</v>
      </c>
    </row>
    <row r="256" spans="2:90" x14ac:dyDescent="0.25">
      <c r="B256" s="4" t="s">
        <v>320</v>
      </c>
      <c r="C256">
        <v>15</v>
      </c>
      <c r="D256" t="s">
        <v>83</v>
      </c>
      <c r="E256" t="s">
        <v>3</v>
      </c>
      <c r="F256" s="3">
        <v>0.14968089896154918</v>
      </c>
      <c r="G256" s="3">
        <v>2.5999999999999999E-2</v>
      </c>
      <c r="H256" s="3">
        <v>2.5999999999999999E-2</v>
      </c>
      <c r="I256" s="3">
        <v>8.5000000000000006E-2</v>
      </c>
      <c r="J256" s="3">
        <v>24.289173334126499</v>
      </c>
      <c r="K256" s="3">
        <v>7.0000000000000007E-2</v>
      </c>
      <c r="L256" s="2">
        <f>Base[[#This Row],[Coût]]*Base[[#This Row],[Part_ménages_dépenses_santé]]</f>
        <v>1.7002421333888551</v>
      </c>
      <c r="M256" s="2">
        <v>0.99784170771638514</v>
      </c>
      <c r="N256" s="6">
        <v>27700000</v>
      </c>
      <c r="O256" s="7">
        <f>Base[[#This Row],[Coût_salarié]]*10^9*Base[[#This Row],[Risque]]*Base[[#This Row],[Prévalence]]*Base[[#This Row],[Part_coûts_salarié]]/Base[[#This Row],[Population_emploi]]</f>
        <v>0.23835945757874455</v>
      </c>
      <c r="P256">
        <v>50</v>
      </c>
      <c r="Q256">
        <v>50</v>
      </c>
      <c r="R256" s="2">
        <v>9.9999999999999978E-2</v>
      </c>
      <c r="S256" s="2">
        <v>0.33340000000000003</v>
      </c>
      <c r="T256" s="4">
        <v>2.5999999999999999E-2</v>
      </c>
      <c r="U256" s="4">
        <f>IF(Bases_annexes!$F$5=0,16.6587111018772,0.77*Bases_annexes!$F$5/(IF(OR(ISBLANK('Données_d''entrée'!$E$44),'Données_d''entrée'!$E$44=0),35,'Données_d''entrée'!$E$44)*52))</f>
        <v>16.658711101877199</v>
      </c>
      <c r="V256" s="4">
        <v>22.173118639135399</v>
      </c>
      <c r="W2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6" s="4">
        <v>234.5</v>
      </c>
      <c r="Y256" s="4">
        <f>(Base[[#This Row],['[Maladies']Coûts_évités_par_salarié]]+Base[[#This Row],['[Travail']Coûts_évités_par_salarié]])/Base[[#This Row],[Budget_santé_salarié]]</f>
        <v>1.0532669466316357E-2</v>
      </c>
      <c r="Z256" s="4">
        <v>0.8</v>
      </c>
      <c r="AA256" s="4">
        <f>Base[[#This Row],[Coût]]*Base[[#This Row],[Part_société_dépenses_santé]]</f>
        <v>19.431338667301201</v>
      </c>
      <c r="AB256" s="4">
        <v>67635124</v>
      </c>
      <c r="AC256" s="4">
        <v>82.297079063317852</v>
      </c>
      <c r="AD256" s="4">
        <v>2.5999999999999999E-2</v>
      </c>
      <c r="AE256" s="4">
        <f>Base[[#This Row],['[SC']Prévalence_travail]]*Base[[#This Row],[Population_emploi]]</f>
        <v>720200</v>
      </c>
      <c r="AF256" s="4">
        <f>Base[[#This Row],[Risque]]*Base[[#This Row],['[SC']Patients_en_emploi]]</f>
        <v>107800.18343210772</v>
      </c>
      <c r="AG256" s="4">
        <v>1257615774.8399999</v>
      </c>
      <c r="AH256" s="4">
        <f>IFERROR(Base[[#This Row],['[SC']Prestations]]/Base[[#This Row],['[SC']Patients_en_emploi]],0)</f>
        <v>1746.203519633435</v>
      </c>
      <c r="AI256" s="4">
        <v>51.7</v>
      </c>
      <c r="AJ2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6" s="4">
        <f>Base[[#This Row],['[SC']'[Travail']Coûts_évités]]/Base[[#This Row],[Population_emploi]]</f>
        <v>6.7957061273023971</v>
      </c>
      <c r="AL256" s="4">
        <f>Base[[#This Row],[Coût_société]]*10^9*Base[[#This Row],[Risque]]*Base[[#This Row],[Prévalence]]*Base[[#This Row],[Part_coûts_salarié]]/Base[[#This Row],[Population_emploi]]</f>
        <v>2.7241080866142231</v>
      </c>
      <c r="AM256" s="4">
        <f>IF(Base[[#This Row],[Pathologie]]&lt;&gt;"Dépendance",0,14909.24243952)</f>
        <v>0</v>
      </c>
      <c r="AN256" s="4">
        <f>IF(Base[[#This Row],[Pathologie]]&lt;&gt;"Dépendance",0,1316000)</f>
        <v>0</v>
      </c>
      <c r="AO256" s="4">
        <f>IF(Base[[#This Row],[Pathologie]]&lt;&gt;"Dépendance",0,Base[[#This Row],['[SC']Coût_personne_dépendante]]*Base[[#This Row],['[SC']Nb_personnes_dépendantes]])</f>
        <v>0</v>
      </c>
      <c r="AP256" s="4">
        <f>IF(Base[[#This Row],[Pathologie]]&lt;&gt;"Dépendance",0,Base[[#This Row],['[SC']Coût_total_dépendance]]/Base[[#This Row],[Population_totale]])</f>
        <v>0</v>
      </c>
      <c r="AQ256" s="4">
        <f>IF(Base[[#This Row],[Pathologie]]&lt;&gt;"Dépendance",0,4.5)</f>
        <v>0</v>
      </c>
      <c r="AR256" s="4">
        <v>0.83987615528424797</v>
      </c>
      <c r="AS256" s="4">
        <f>Base[[#This Row],[Espérance_vie]]+Base[[#This Row],['[SC']Hausse_esp_de_vie]]-Base[[#This Row],['[SC']Durée_moyenne_dépendance_avt]]+Base[[#This Row],[Risque]]</f>
        <v>83.286636117563646</v>
      </c>
      <c r="AT2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6" s="4">
        <v>62.9</v>
      </c>
      <c r="AW256" s="4">
        <f t="shared" si="0"/>
        <v>336905600000</v>
      </c>
      <c r="AX256" s="4">
        <v>15049171</v>
      </c>
      <c r="AY256" s="4">
        <f>Base[[#This Row],['[SC']Budget_total_retraites]]/Base[[#This Row],['[SC']Nombre_de_retraités]]</f>
        <v>22386.987296509556</v>
      </c>
      <c r="AZ256" s="4">
        <f>Base[[#This Row],['[SC']Budget_par_retraité]]*Base[[#This Row],['[SC']Nb_personnes_dépendantes]]</f>
        <v>0</v>
      </c>
      <c r="BA256" s="4">
        <f>Base[[#This Row],['[SC']'[Dépendance']Coût_retraite_personnes_dépendantes]]/Base[[#This Row],[Population_totale]]</f>
        <v>0</v>
      </c>
      <c r="BB2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6" s="4">
        <f>Base[[#This Row],['[SC']'[Dépendance']Gains]]-Base[[#This Row],['[SC']'[Dépendance']Coûts]]</f>
        <v>0</v>
      </c>
      <c r="BD256" s="4">
        <f>IF(Base[[#This Row],[Pathologie]]&lt;&gt;"Mort prématurée",0,Base[[#This Row],[Risque]]*Base[[#This Row],[Prévalence]]*Base[[#This Row],[Population_totale]])</f>
        <v>0</v>
      </c>
      <c r="BE256" s="4">
        <v>52.74</v>
      </c>
      <c r="BF256" s="4">
        <f>Base[[#This Row],['[SC']Âge_moyen_retraite]]-Base[[#This Row],['[SC']'[Mort_prématurée']Âge_moyen_mort précoce]]</f>
        <v>10.159999999999997</v>
      </c>
      <c r="BG256" s="4">
        <f>Base[[#This Row],[Espérance_vie]]+Base[[#This Row],['[SC']Hausse_esp_de_vie]]-Base[[#This Row],['[SC']Âge_moyen_retraite]]</f>
        <v>20.236955218602098</v>
      </c>
      <c r="BH256" s="4">
        <v>106583.42676924677</v>
      </c>
      <c r="BI256" s="4">
        <v>97601.789429271477</v>
      </c>
      <c r="BJ256" s="4">
        <v>302038.31496633729</v>
      </c>
      <c r="BK256" s="4">
        <v>117293.58934859755</v>
      </c>
      <c r="BL256" s="4">
        <v>1523999.9999999995</v>
      </c>
      <c r="BM2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6" s="4">
        <v>294804.96027377353</v>
      </c>
      <c r="BO2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6" s="4">
        <f>(Base[[#This Row],['[SC']'[Mort_prématurée']Gains]]-Base[[#This Row],['[SC']'[Mort_prématurée']Coûts]])/Base[[#This Row],[Population_totale]]</f>
        <v>0</v>
      </c>
      <c r="BQ256" s="4">
        <f>IF(Base[[#This Row],[Pathologie]]&lt;&gt;"Mort prématurée",0,Base[[#This Row],[Risque]])</f>
        <v>0</v>
      </c>
      <c r="BR256" s="4">
        <v>2680</v>
      </c>
      <c r="BS2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6" s="4">
        <f>Base[[#This Row],[Prévalence_prod]]*(1-Base[[#This Row],[Risque]])*Base[[#This Row],[Durée_arrêt]]*Base[[#This Row],[Population_emploi]]</f>
        <v>13578813.787344631</v>
      </c>
      <c r="BV256" s="4">
        <f>Base[[#This Row],['[Prod']'[Absentéisme']Total_jours_absence_avant]]-Base[[#This Row],['[Prod']'[Absentéisme']Total_jours_absence_après]]</f>
        <v>2390266.2565606833</v>
      </c>
      <c r="BW256" s="4">
        <f>IF(AND(Base[[#This Row],[Pathologie]]&lt;&gt;"Dépendance",Base[[#This Row],[Pathologie]]&lt;&gt;"Mort prématurée",Base[[#This Row],[Pathologie]]&lt;&gt;"Migraine"),0.0619,0)</f>
        <v>6.1899999999999997E-2</v>
      </c>
      <c r="BX256" s="4">
        <v>254</v>
      </c>
      <c r="BY256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6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6" s="4">
        <f>Base[[#This Row],[Prévalence_prod]]*Base[[#This Row],[Présentéisme]]*Base[[#This Row],['[Prod']Jours_ouvrés]]</f>
        <v>0.56134000000000006</v>
      </c>
      <c r="CB256" s="4">
        <f>Base[[#This Row],[Prévalence_prod]]*(1-Base[[#This Row],[Risque]])*Base[[#This Row],[Présentéisme]]*Base[[#This Row],['[Prod']Jours_ouvrés]]</f>
        <v>0.47731812417692393</v>
      </c>
      <c r="CC256" s="4">
        <f>Base[[#This Row],['[Prod']'[Présentéisme']Jours_avant]]-Base[[#This Row],['[Prod']'[Présentéisme']Jours_après]]</f>
        <v>8.4021875823076131E-2</v>
      </c>
      <c r="CD256" s="4">
        <f>Base[[#This Row],['[Prod']'[Présentéisme']Jours_gagnés]]/Base[[#This Row],['[Prod']Jours_ouvrés]]</f>
        <v>3.3079478670502413E-4</v>
      </c>
      <c r="CE256">
        <v>7.5880726467531134E-2</v>
      </c>
      <c r="CF256">
        <v>1.989821358241517E-2</v>
      </c>
      <c r="CG256" s="4">
        <v>11</v>
      </c>
      <c r="CH256" s="4">
        <v>0.49446424657188709</v>
      </c>
      <c r="CI256" s="4">
        <v>1.0795805058605798E-2</v>
      </c>
      <c r="CJ256" s="4">
        <f>IF(Base[[#This Row],[Secteur]]&lt;&gt;"Moyenne",Base[[#This Row],['[Prod']'[Turnover']DMC_initiale]]*(1+Base[[#This Row],['[Prod']'[Turnover']Ecart_accidents]]*Base[[#This Row],['[Prod']Impact_motifs_turnover]]),CJ239*CI239+CJ240*CI240+CJ241*CI241+CJ242*CI242+CJ243*CI243+CJ244*CI244+CJ245*CI245+CJ246*CI246+CJ247*CI247+CJ248*CI248+CJ249*CI249+CJ250*CI250+CJ251*CI251+CJ252*CI252+CJ253*CI253+CJ254*CI254+CJ255*CI255)</f>
        <v>11.108228507058708</v>
      </c>
      <c r="CK256" s="4">
        <f>1/Base[[#This Row],['[Prod']'[Turnover']DMC_initiale]]</f>
        <v>9.0909090909090912E-2</v>
      </c>
      <c r="CL256" s="4">
        <f>1/Base[[#This Row],['[Prod']'[Turnover']DMC_finale]]</f>
        <v>9.0023355151953477E-2</v>
      </c>
    </row>
    <row r="257" spans="2:90" x14ac:dyDescent="0.25">
      <c r="B257" s="4" t="s">
        <v>321</v>
      </c>
      <c r="C257">
        <v>15</v>
      </c>
      <c r="D257" t="s">
        <v>83</v>
      </c>
      <c r="E257" t="s">
        <v>3</v>
      </c>
      <c r="F257" s="3">
        <v>0.14968089896154918</v>
      </c>
      <c r="G257" s="3">
        <v>2.5999999999999999E-2</v>
      </c>
      <c r="H257" s="3">
        <v>2.5999999999999999E-2</v>
      </c>
      <c r="I257" s="3">
        <v>8.5000000000000006E-2</v>
      </c>
      <c r="J257" s="3">
        <v>24.289173334126499</v>
      </c>
      <c r="K257" s="3">
        <v>7.0000000000000007E-2</v>
      </c>
      <c r="L257" s="2">
        <f>Base[[#This Row],[Coût]]*Base[[#This Row],[Part_ménages_dépenses_santé]]</f>
        <v>1.7002421333888551</v>
      </c>
      <c r="M257" s="2">
        <v>0.99784170771638514</v>
      </c>
      <c r="N257" s="6">
        <v>27700000</v>
      </c>
      <c r="O257" s="7">
        <f>Base[[#This Row],[Coût_salarié]]*10^9*Base[[#This Row],[Risque]]*Base[[#This Row],[Prévalence]]*Base[[#This Row],[Part_coûts_salarié]]/Base[[#This Row],[Population_emploi]]</f>
        <v>0.23835945757874455</v>
      </c>
      <c r="P257">
        <v>50</v>
      </c>
      <c r="Q257">
        <v>50</v>
      </c>
      <c r="R257" s="2">
        <v>9.9999999999999978E-2</v>
      </c>
      <c r="S257" s="2">
        <v>0.33340000000000003</v>
      </c>
      <c r="T257" s="4">
        <v>2.5999999999999999E-2</v>
      </c>
      <c r="U257" s="4">
        <f>IF(Bases_annexes!$F$5=0,16.6587111018772,0.77*Bases_annexes!$F$5/(IF(OR(ISBLANK('Données_d''entrée'!$E$44),'Données_d''entrée'!$E$44=0),35,'Données_d''entrée'!$E$44)*52))</f>
        <v>16.658711101877199</v>
      </c>
      <c r="V257" s="4">
        <v>22.173118639135399</v>
      </c>
      <c r="W2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7" s="4">
        <v>234.5</v>
      </c>
      <c r="Y257" s="4">
        <f>(Base[[#This Row],['[Maladies']Coûts_évités_par_salarié]]+Base[[#This Row],['[Travail']Coûts_évités_par_salarié]])/Base[[#This Row],[Budget_santé_salarié]]</f>
        <v>1.0532669466316357E-2</v>
      </c>
      <c r="Z257" s="4">
        <v>0.8</v>
      </c>
      <c r="AA257" s="4">
        <f>Base[[#This Row],[Coût]]*Base[[#This Row],[Part_société_dépenses_santé]]</f>
        <v>19.431338667301201</v>
      </c>
      <c r="AB257" s="4">
        <v>67635124</v>
      </c>
      <c r="AC257" s="4">
        <v>82.297079063317852</v>
      </c>
      <c r="AD257" s="4">
        <v>2.5999999999999999E-2</v>
      </c>
      <c r="AE257" s="4">
        <f>Base[[#This Row],['[SC']Prévalence_travail]]*Base[[#This Row],[Population_emploi]]</f>
        <v>720200</v>
      </c>
      <c r="AF257" s="4">
        <f>Base[[#This Row],[Risque]]*Base[[#This Row],['[SC']Patients_en_emploi]]</f>
        <v>107800.18343210772</v>
      </c>
      <c r="AG257" s="4">
        <v>1257615774.8399999</v>
      </c>
      <c r="AH257" s="4">
        <f>IFERROR(Base[[#This Row],['[SC']Prestations]]/Base[[#This Row],['[SC']Patients_en_emploi]],0)</f>
        <v>1746.203519633435</v>
      </c>
      <c r="AI257" s="4">
        <v>51.7</v>
      </c>
      <c r="AJ2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7" s="4">
        <f>Base[[#This Row],['[SC']'[Travail']Coûts_évités]]/Base[[#This Row],[Population_emploi]]</f>
        <v>6.7957061273023971</v>
      </c>
      <c r="AL257" s="4">
        <f>Base[[#This Row],[Coût_société]]*10^9*Base[[#This Row],[Risque]]*Base[[#This Row],[Prévalence]]*Base[[#This Row],[Part_coûts_salarié]]/Base[[#This Row],[Population_emploi]]</f>
        <v>2.7241080866142231</v>
      </c>
      <c r="AM257" s="4">
        <f>IF(Base[[#This Row],[Pathologie]]&lt;&gt;"Dépendance",0,14909.24243952)</f>
        <v>0</v>
      </c>
      <c r="AN257" s="4">
        <f>IF(Base[[#This Row],[Pathologie]]&lt;&gt;"Dépendance",0,1316000)</f>
        <v>0</v>
      </c>
      <c r="AO257" s="4">
        <f>IF(Base[[#This Row],[Pathologie]]&lt;&gt;"Dépendance",0,Base[[#This Row],['[SC']Coût_personne_dépendante]]*Base[[#This Row],['[SC']Nb_personnes_dépendantes]])</f>
        <v>0</v>
      </c>
      <c r="AP257" s="4">
        <f>IF(Base[[#This Row],[Pathologie]]&lt;&gt;"Dépendance",0,Base[[#This Row],['[SC']Coût_total_dépendance]]/Base[[#This Row],[Population_totale]])</f>
        <v>0</v>
      </c>
      <c r="AQ257" s="4">
        <f>IF(Base[[#This Row],[Pathologie]]&lt;&gt;"Dépendance",0,4.5)</f>
        <v>0</v>
      </c>
      <c r="AR257" s="4">
        <v>0.83987615528424797</v>
      </c>
      <c r="AS257" s="4">
        <f>Base[[#This Row],[Espérance_vie]]+Base[[#This Row],['[SC']Hausse_esp_de_vie]]-Base[[#This Row],['[SC']Durée_moyenne_dépendance_avt]]+Base[[#This Row],[Risque]]</f>
        <v>83.286636117563646</v>
      </c>
      <c r="AT2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7" s="4">
        <v>62.9</v>
      </c>
      <c r="AW257" s="4">
        <f t="shared" si="0"/>
        <v>336905600000</v>
      </c>
      <c r="AX257" s="4">
        <v>15049171</v>
      </c>
      <c r="AY257" s="4">
        <f>Base[[#This Row],['[SC']Budget_total_retraites]]/Base[[#This Row],['[SC']Nombre_de_retraités]]</f>
        <v>22386.987296509556</v>
      </c>
      <c r="AZ257" s="4">
        <f>Base[[#This Row],['[SC']Budget_par_retraité]]*Base[[#This Row],['[SC']Nb_personnes_dépendantes]]</f>
        <v>0</v>
      </c>
      <c r="BA257" s="4">
        <f>Base[[#This Row],['[SC']'[Dépendance']Coût_retraite_personnes_dépendantes]]/Base[[#This Row],[Population_totale]]</f>
        <v>0</v>
      </c>
      <c r="BB2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7" s="4">
        <f>Base[[#This Row],['[SC']'[Dépendance']Gains]]-Base[[#This Row],['[SC']'[Dépendance']Coûts]]</f>
        <v>0</v>
      </c>
      <c r="BD257" s="4">
        <f>IF(Base[[#This Row],[Pathologie]]&lt;&gt;"Mort prématurée",0,Base[[#This Row],[Risque]]*Base[[#This Row],[Prévalence]]*Base[[#This Row],[Population_totale]])</f>
        <v>0</v>
      </c>
      <c r="BE257" s="4">
        <v>52.74</v>
      </c>
      <c r="BF257" s="4">
        <f>Base[[#This Row],['[SC']Âge_moyen_retraite]]-Base[[#This Row],['[SC']'[Mort_prématurée']Âge_moyen_mort précoce]]</f>
        <v>10.159999999999997</v>
      </c>
      <c r="BG257" s="4">
        <f>Base[[#This Row],[Espérance_vie]]+Base[[#This Row],['[SC']Hausse_esp_de_vie]]-Base[[#This Row],['[SC']Âge_moyen_retraite]]</f>
        <v>20.236955218602098</v>
      </c>
      <c r="BH257" s="4">
        <v>106583.42676924677</v>
      </c>
      <c r="BI257" s="4">
        <v>97601.789429271477</v>
      </c>
      <c r="BJ257" s="4">
        <v>302038.31496633729</v>
      </c>
      <c r="BK257" s="4">
        <v>117293.58934859755</v>
      </c>
      <c r="BL257" s="4">
        <v>1523999.9999999995</v>
      </c>
      <c r="BM2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7" s="4">
        <v>294804.96027377353</v>
      </c>
      <c r="BO2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7" s="4">
        <f>(Base[[#This Row],['[SC']'[Mort_prématurée']Gains]]-Base[[#This Row],['[SC']'[Mort_prématurée']Coûts]])/Base[[#This Row],[Population_totale]]</f>
        <v>0</v>
      </c>
      <c r="BQ257" s="4">
        <f>IF(Base[[#This Row],[Pathologie]]&lt;&gt;"Mort prématurée",0,Base[[#This Row],[Risque]])</f>
        <v>0</v>
      </c>
      <c r="BR257" s="4">
        <v>2680</v>
      </c>
      <c r="BS2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7" s="4">
        <f>Base[[#This Row],[Prévalence_prod]]*(1-Base[[#This Row],[Risque]])*Base[[#This Row],[Durée_arrêt]]*Base[[#This Row],[Population_emploi]]</f>
        <v>13578813.787344631</v>
      </c>
      <c r="BV257" s="4">
        <f>Base[[#This Row],['[Prod']'[Absentéisme']Total_jours_absence_avant]]-Base[[#This Row],['[Prod']'[Absentéisme']Total_jours_absence_après]]</f>
        <v>2390266.2565606833</v>
      </c>
      <c r="BW257" s="4">
        <f>IF(AND(Base[[#This Row],[Pathologie]]&lt;&gt;"Dépendance",Base[[#This Row],[Pathologie]]&lt;&gt;"Mort prématurée",Base[[#This Row],[Pathologie]]&lt;&gt;"Migraine"),0.0619,0)</f>
        <v>6.1899999999999997E-2</v>
      </c>
      <c r="BX257" s="4">
        <v>254</v>
      </c>
      <c r="BY25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7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7" s="4">
        <f>Base[[#This Row],[Prévalence_prod]]*Base[[#This Row],[Présentéisme]]*Base[[#This Row],['[Prod']Jours_ouvrés]]</f>
        <v>0.56134000000000006</v>
      </c>
      <c r="CB257" s="4">
        <f>Base[[#This Row],[Prévalence_prod]]*(1-Base[[#This Row],[Risque]])*Base[[#This Row],[Présentéisme]]*Base[[#This Row],['[Prod']Jours_ouvrés]]</f>
        <v>0.47731812417692393</v>
      </c>
      <c r="CC257" s="4">
        <f>Base[[#This Row],['[Prod']'[Présentéisme']Jours_avant]]-Base[[#This Row],['[Prod']'[Présentéisme']Jours_après]]</f>
        <v>8.4021875823076131E-2</v>
      </c>
      <c r="CD257" s="4">
        <f>Base[[#This Row],['[Prod']'[Présentéisme']Jours_gagnés]]/Base[[#This Row],['[Prod']Jours_ouvrés]]</f>
        <v>3.3079478670502413E-4</v>
      </c>
      <c r="CE257">
        <v>7.5880726467531134E-2</v>
      </c>
      <c r="CF257">
        <v>1.989821358241517E-2</v>
      </c>
      <c r="CG257" s="4">
        <v>11</v>
      </c>
      <c r="CH257" s="4">
        <v>0.85274500894619554</v>
      </c>
      <c r="CI257" s="4">
        <v>4.2903496994109176E-2</v>
      </c>
      <c r="CJ257" s="4">
        <f>IF(Base[[#This Row],[Secteur]]&lt;&gt;"Moyenne",Base[[#This Row],['[Prod']'[Turnover']DMC_initiale]]*(1+Base[[#This Row],['[Prod']'[Turnover']Ecart_accidents]]*Base[[#This Row],['[Prod']Impact_motifs_turnover]]),CJ240*CI240+CJ241*CI241+CJ242*CI242+CJ243*CI243+CJ244*CI244+CJ245*CI245+CJ246*CI246+CJ247*CI247+CJ248*CI248+CJ249*CI249+CJ250*CI250+CJ251*CI251+CJ252*CI252+CJ253*CI253+CJ254*CI254+CJ255*CI255+CJ256*CI256)</f>
        <v>11.186649125512849</v>
      </c>
      <c r="CK257" s="4">
        <f>1/Base[[#This Row],['[Prod']'[Turnover']DMC_initiale]]</f>
        <v>9.0909090909090912E-2</v>
      </c>
      <c r="CL257" s="4">
        <f>1/Base[[#This Row],['[Prod']'[Turnover']DMC_finale]]</f>
        <v>8.9392273663017496E-2</v>
      </c>
    </row>
    <row r="258" spans="2:90" x14ac:dyDescent="0.25">
      <c r="B258" s="4" t="s">
        <v>322</v>
      </c>
      <c r="C258">
        <v>15</v>
      </c>
      <c r="D258" t="s">
        <v>83</v>
      </c>
      <c r="E258" t="s">
        <v>3</v>
      </c>
      <c r="F258" s="3">
        <v>0.14968089896154918</v>
      </c>
      <c r="G258" s="3">
        <v>2.5999999999999999E-2</v>
      </c>
      <c r="H258" s="3">
        <v>2.5999999999999999E-2</v>
      </c>
      <c r="I258" s="3">
        <v>8.5000000000000006E-2</v>
      </c>
      <c r="J258" s="3">
        <v>24.289173334126499</v>
      </c>
      <c r="K258" s="3">
        <v>7.0000000000000007E-2</v>
      </c>
      <c r="L258" s="2">
        <f>Base[[#This Row],[Coût]]*Base[[#This Row],[Part_ménages_dépenses_santé]]</f>
        <v>1.7002421333888551</v>
      </c>
      <c r="M258" s="2">
        <v>0.99784170771638514</v>
      </c>
      <c r="N258" s="6">
        <v>27700000</v>
      </c>
      <c r="O258" s="7">
        <f>Base[[#This Row],[Coût_salarié]]*10^9*Base[[#This Row],[Risque]]*Base[[#This Row],[Prévalence]]*Base[[#This Row],[Part_coûts_salarié]]/Base[[#This Row],[Population_emploi]]</f>
        <v>0.23835945757874455</v>
      </c>
      <c r="P258">
        <v>50</v>
      </c>
      <c r="Q258">
        <v>50</v>
      </c>
      <c r="R258" s="2">
        <v>9.9999999999999978E-2</v>
      </c>
      <c r="S258" s="2">
        <v>0.33340000000000003</v>
      </c>
      <c r="T258" s="4">
        <v>2.5999999999999999E-2</v>
      </c>
      <c r="U258" s="4">
        <f>IF(Bases_annexes!$F$5=0,16.6587111018772,0.77*Bases_annexes!$F$5/(IF(OR(ISBLANK('Données_d''entrée'!$E$44),'Données_d''entrée'!$E$44=0),35,'Données_d''entrée'!$E$44)*52))</f>
        <v>16.658711101877199</v>
      </c>
      <c r="V258" s="4">
        <v>22.173118639135399</v>
      </c>
      <c r="W2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8" s="4">
        <v>234.5</v>
      </c>
      <c r="Y258" s="4">
        <f>(Base[[#This Row],['[Maladies']Coûts_évités_par_salarié]]+Base[[#This Row],['[Travail']Coûts_évités_par_salarié]])/Base[[#This Row],[Budget_santé_salarié]]</f>
        <v>1.0532669466316357E-2</v>
      </c>
      <c r="Z258" s="4">
        <v>0.8</v>
      </c>
      <c r="AA258" s="4">
        <f>Base[[#This Row],[Coût]]*Base[[#This Row],[Part_société_dépenses_santé]]</f>
        <v>19.431338667301201</v>
      </c>
      <c r="AB258" s="4">
        <v>67635124</v>
      </c>
      <c r="AC258" s="4">
        <v>82.297079063317852</v>
      </c>
      <c r="AD258" s="4">
        <v>2.5999999999999999E-2</v>
      </c>
      <c r="AE258" s="4">
        <f>Base[[#This Row],['[SC']Prévalence_travail]]*Base[[#This Row],[Population_emploi]]</f>
        <v>720200</v>
      </c>
      <c r="AF258" s="4">
        <f>Base[[#This Row],[Risque]]*Base[[#This Row],['[SC']Patients_en_emploi]]</f>
        <v>107800.18343210772</v>
      </c>
      <c r="AG258" s="4">
        <v>1257615774.8399999</v>
      </c>
      <c r="AH258" s="4">
        <f>IFERROR(Base[[#This Row],['[SC']Prestations]]/Base[[#This Row],['[SC']Patients_en_emploi]],0)</f>
        <v>1746.203519633435</v>
      </c>
      <c r="AI258" s="4">
        <v>51.7</v>
      </c>
      <c r="AJ2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8" s="4">
        <f>Base[[#This Row],['[SC']'[Travail']Coûts_évités]]/Base[[#This Row],[Population_emploi]]</f>
        <v>6.7957061273023971</v>
      </c>
      <c r="AL258" s="4">
        <f>Base[[#This Row],[Coût_société]]*10^9*Base[[#This Row],[Risque]]*Base[[#This Row],[Prévalence]]*Base[[#This Row],[Part_coûts_salarié]]/Base[[#This Row],[Population_emploi]]</f>
        <v>2.7241080866142231</v>
      </c>
      <c r="AM258" s="4">
        <f>IF(Base[[#This Row],[Pathologie]]&lt;&gt;"Dépendance",0,14909.24243952)</f>
        <v>0</v>
      </c>
      <c r="AN258" s="4">
        <f>IF(Base[[#This Row],[Pathologie]]&lt;&gt;"Dépendance",0,1316000)</f>
        <v>0</v>
      </c>
      <c r="AO258" s="4">
        <f>IF(Base[[#This Row],[Pathologie]]&lt;&gt;"Dépendance",0,Base[[#This Row],['[SC']Coût_personne_dépendante]]*Base[[#This Row],['[SC']Nb_personnes_dépendantes]])</f>
        <v>0</v>
      </c>
      <c r="AP258" s="4">
        <f>IF(Base[[#This Row],[Pathologie]]&lt;&gt;"Dépendance",0,Base[[#This Row],['[SC']Coût_total_dépendance]]/Base[[#This Row],[Population_totale]])</f>
        <v>0</v>
      </c>
      <c r="AQ258" s="4">
        <f>IF(Base[[#This Row],[Pathologie]]&lt;&gt;"Dépendance",0,4.5)</f>
        <v>0</v>
      </c>
      <c r="AR258" s="4">
        <v>0.83987615528424797</v>
      </c>
      <c r="AS258" s="4">
        <f>Base[[#This Row],[Espérance_vie]]+Base[[#This Row],['[SC']Hausse_esp_de_vie]]-Base[[#This Row],['[SC']Durée_moyenne_dépendance_avt]]+Base[[#This Row],[Risque]]</f>
        <v>83.286636117563646</v>
      </c>
      <c r="AT2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8" s="4">
        <v>62.9</v>
      </c>
      <c r="AW258" s="4">
        <f t="shared" si="0"/>
        <v>336905600000</v>
      </c>
      <c r="AX258" s="4">
        <v>15049171</v>
      </c>
      <c r="AY258" s="4">
        <f>Base[[#This Row],['[SC']Budget_total_retraites]]/Base[[#This Row],['[SC']Nombre_de_retraités]]</f>
        <v>22386.987296509556</v>
      </c>
      <c r="AZ258" s="4">
        <f>Base[[#This Row],['[SC']Budget_par_retraité]]*Base[[#This Row],['[SC']Nb_personnes_dépendantes]]</f>
        <v>0</v>
      </c>
      <c r="BA258" s="4">
        <f>Base[[#This Row],['[SC']'[Dépendance']Coût_retraite_personnes_dépendantes]]/Base[[#This Row],[Population_totale]]</f>
        <v>0</v>
      </c>
      <c r="BB2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8" s="4">
        <f>Base[[#This Row],['[SC']'[Dépendance']Gains]]-Base[[#This Row],['[SC']'[Dépendance']Coûts]]</f>
        <v>0</v>
      </c>
      <c r="BD258" s="4">
        <f>IF(Base[[#This Row],[Pathologie]]&lt;&gt;"Mort prématurée",0,Base[[#This Row],[Risque]]*Base[[#This Row],[Prévalence]]*Base[[#This Row],[Population_totale]])</f>
        <v>0</v>
      </c>
      <c r="BE258" s="4">
        <v>52.74</v>
      </c>
      <c r="BF258" s="4">
        <f>Base[[#This Row],['[SC']Âge_moyen_retraite]]-Base[[#This Row],['[SC']'[Mort_prématurée']Âge_moyen_mort précoce]]</f>
        <v>10.159999999999997</v>
      </c>
      <c r="BG258" s="4">
        <f>Base[[#This Row],[Espérance_vie]]+Base[[#This Row],['[SC']Hausse_esp_de_vie]]-Base[[#This Row],['[SC']Âge_moyen_retraite]]</f>
        <v>20.236955218602098</v>
      </c>
      <c r="BH258" s="4">
        <v>106583.42676924677</v>
      </c>
      <c r="BI258" s="4">
        <v>97601.789429271477</v>
      </c>
      <c r="BJ258" s="4">
        <v>302038.31496633729</v>
      </c>
      <c r="BK258" s="4">
        <v>117293.58934859755</v>
      </c>
      <c r="BL258" s="4">
        <v>1523999.9999999995</v>
      </c>
      <c r="BM2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8" s="4">
        <v>294804.96027377353</v>
      </c>
      <c r="BO2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8" s="4">
        <f>(Base[[#This Row],['[SC']'[Mort_prématurée']Gains]]-Base[[#This Row],['[SC']'[Mort_prématurée']Coûts]])/Base[[#This Row],[Population_totale]]</f>
        <v>0</v>
      </c>
      <c r="BQ258" s="4">
        <f>IF(Base[[#This Row],[Pathologie]]&lt;&gt;"Mort prématurée",0,Base[[#This Row],[Risque]])</f>
        <v>0</v>
      </c>
      <c r="BR258" s="4">
        <v>2680</v>
      </c>
      <c r="BS2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8" s="4">
        <f>Base[[#This Row],[Prévalence_prod]]*(1-Base[[#This Row],[Risque]])*Base[[#This Row],[Durée_arrêt]]*Base[[#This Row],[Population_emploi]]</f>
        <v>13578813.787344631</v>
      </c>
      <c r="BV258" s="4">
        <f>Base[[#This Row],['[Prod']'[Absentéisme']Total_jours_absence_avant]]-Base[[#This Row],['[Prod']'[Absentéisme']Total_jours_absence_après]]</f>
        <v>2390266.2565606833</v>
      </c>
      <c r="BW258" s="4">
        <f>IF(AND(Base[[#This Row],[Pathologie]]&lt;&gt;"Dépendance",Base[[#This Row],[Pathologie]]&lt;&gt;"Mort prématurée",Base[[#This Row],[Pathologie]]&lt;&gt;"Migraine"),0.0619,0)</f>
        <v>6.1899999999999997E-2</v>
      </c>
      <c r="BX258" s="4">
        <v>254</v>
      </c>
      <c r="BY25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8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8" s="4">
        <f>Base[[#This Row],[Prévalence_prod]]*Base[[#This Row],[Présentéisme]]*Base[[#This Row],['[Prod']Jours_ouvrés]]</f>
        <v>0.56134000000000006</v>
      </c>
      <c r="CB258" s="4">
        <f>Base[[#This Row],[Prévalence_prod]]*(1-Base[[#This Row],[Risque]])*Base[[#This Row],[Présentéisme]]*Base[[#This Row],['[Prod']Jours_ouvrés]]</f>
        <v>0.47731812417692393</v>
      </c>
      <c r="CC258" s="4">
        <f>Base[[#This Row],['[Prod']'[Présentéisme']Jours_avant]]-Base[[#This Row],['[Prod']'[Présentéisme']Jours_après]]</f>
        <v>8.4021875823076131E-2</v>
      </c>
      <c r="CD258" s="4">
        <f>Base[[#This Row],['[Prod']'[Présentéisme']Jours_gagnés]]/Base[[#This Row],['[Prod']Jours_ouvrés]]</f>
        <v>3.3079478670502413E-4</v>
      </c>
      <c r="CE258">
        <v>7.5880726467531134E-2</v>
      </c>
      <c r="CF258">
        <v>1.989821358241517E-2</v>
      </c>
      <c r="CG258" s="4">
        <v>11</v>
      </c>
      <c r="CH258" s="4">
        <v>1.6219398392978641</v>
      </c>
      <c r="CI258" s="4">
        <v>9.628527536862988E-2</v>
      </c>
      <c r="CJ258" s="4">
        <f>IF(Base[[#This Row],[Secteur]]&lt;&gt;"Moyenne",Base[[#This Row],['[Prod']'[Turnover']DMC_initiale]]*(1+Base[[#This Row],['[Prod']'[Turnover']Ecart_accidents]]*Base[[#This Row],['[Prod']Impact_motifs_turnover]]),CJ241*CI241+CJ242*CI242+CJ243*CI243+CJ244*CI244+CJ245*CI245+CJ246*CI246+CJ247*CI247+CJ248*CI248+CJ249*CI249+CJ250*CI250+CJ251*CI251+CJ252*CI252+CJ253*CI253+CJ254*CI254+CJ255*CI255+CJ256*CI256+CJ257*CI257)</f>
        <v>11.355010758741946</v>
      </c>
      <c r="CK258" s="4">
        <f>1/Base[[#This Row],['[Prod']'[Turnover']DMC_initiale]]</f>
        <v>9.0909090909090912E-2</v>
      </c>
      <c r="CL258" s="4">
        <f>1/Base[[#This Row],['[Prod']'[Turnover']DMC_finale]]</f>
        <v>8.8066847425056327E-2</v>
      </c>
    </row>
    <row r="259" spans="2:90" x14ac:dyDescent="0.25">
      <c r="B259" s="4" t="s">
        <v>323</v>
      </c>
      <c r="C259">
        <v>15</v>
      </c>
      <c r="D259" t="s">
        <v>83</v>
      </c>
      <c r="E259" t="s">
        <v>3</v>
      </c>
      <c r="F259" s="3">
        <v>0.14968089896154918</v>
      </c>
      <c r="G259" s="3">
        <v>2.5999999999999999E-2</v>
      </c>
      <c r="H259" s="3">
        <v>2.5999999999999999E-2</v>
      </c>
      <c r="I259" s="3">
        <v>8.5000000000000006E-2</v>
      </c>
      <c r="J259" s="3">
        <v>24.289173334126499</v>
      </c>
      <c r="K259" s="3">
        <v>7.0000000000000007E-2</v>
      </c>
      <c r="L259" s="2">
        <f>Base[[#This Row],[Coût]]*Base[[#This Row],[Part_ménages_dépenses_santé]]</f>
        <v>1.7002421333888551</v>
      </c>
      <c r="M259" s="2">
        <v>0.99784170771638514</v>
      </c>
      <c r="N259" s="6">
        <v>27700000</v>
      </c>
      <c r="O259" s="7">
        <f>Base[[#This Row],[Coût_salarié]]*10^9*Base[[#This Row],[Risque]]*Base[[#This Row],[Prévalence]]*Base[[#This Row],[Part_coûts_salarié]]/Base[[#This Row],[Population_emploi]]</f>
        <v>0.23835945757874455</v>
      </c>
      <c r="P259">
        <v>50</v>
      </c>
      <c r="Q259">
        <v>50</v>
      </c>
      <c r="R259" s="2">
        <v>9.9999999999999978E-2</v>
      </c>
      <c r="S259" s="2">
        <v>0.33340000000000003</v>
      </c>
      <c r="T259" s="4">
        <v>2.5999999999999999E-2</v>
      </c>
      <c r="U259" s="4">
        <f>IF(Bases_annexes!$F$5=0,16.6587111018772,0.77*Bases_annexes!$F$5/(IF(OR(ISBLANK('Données_d''entrée'!$E$44),'Données_d''entrée'!$E$44=0),35,'Données_d''entrée'!$E$44)*52))</f>
        <v>16.658711101877199</v>
      </c>
      <c r="V259" s="4">
        <v>22.173118639135399</v>
      </c>
      <c r="W2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59" s="4">
        <v>234.5</v>
      </c>
      <c r="Y259" s="4">
        <f>(Base[[#This Row],['[Maladies']Coûts_évités_par_salarié]]+Base[[#This Row],['[Travail']Coûts_évités_par_salarié]])/Base[[#This Row],[Budget_santé_salarié]]</f>
        <v>1.0532669466316357E-2</v>
      </c>
      <c r="Z259" s="4">
        <v>0.8</v>
      </c>
      <c r="AA259" s="4">
        <f>Base[[#This Row],[Coût]]*Base[[#This Row],[Part_société_dépenses_santé]]</f>
        <v>19.431338667301201</v>
      </c>
      <c r="AB259" s="4">
        <v>67635124</v>
      </c>
      <c r="AC259" s="4">
        <v>82.297079063317852</v>
      </c>
      <c r="AD259" s="4">
        <v>2.5999999999999999E-2</v>
      </c>
      <c r="AE259" s="4">
        <f>Base[[#This Row],['[SC']Prévalence_travail]]*Base[[#This Row],[Population_emploi]]</f>
        <v>720200</v>
      </c>
      <c r="AF259" s="4">
        <f>Base[[#This Row],[Risque]]*Base[[#This Row],['[SC']Patients_en_emploi]]</f>
        <v>107800.18343210772</v>
      </c>
      <c r="AG259" s="4">
        <v>1257615774.8399999</v>
      </c>
      <c r="AH259" s="4">
        <f>IFERROR(Base[[#This Row],['[SC']Prestations]]/Base[[#This Row],['[SC']Patients_en_emploi]],0)</f>
        <v>1746.203519633435</v>
      </c>
      <c r="AI259" s="4">
        <v>51.7</v>
      </c>
      <c r="AJ2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59" s="4">
        <f>Base[[#This Row],['[SC']'[Travail']Coûts_évités]]/Base[[#This Row],[Population_emploi]]</f>
        <v>6.7957061273023971</v>
      </c>
      <c r="AL259" s="4">
        <f>Base[[#This Row],[Coût_société]]*10^9*Base[[#This Row],[Risque]]*Base[[#This Row],[Prévalence]]*Base[[#This Row],[Part_coûts_salarié]]/Base[[#This Row],[Population_emploi]]</f>
        <v>2.7241080866142231</v>
      </c>
      <c r="AM259" s="4">
        <f>IF(Base[[#This Row],[Pathologie]]&lt;&gt;"Dépendance",0,14909.24243952)</f>
        <v>0</v>
      </c>
      <c r="AN259" s="4">
        <f>IF(Base[[#This Row],[Pathologie]]&lt;&gt;"Dépendance",0,1316000)</f>
        <v>0</v>
      </c>
      <c r="AO259" s="4">
        <f>IF(Base[[#This Row],[Pathologie]]&lt;&gt;"Dépendance",0,Base[[#This Row],['[SC']Coût_personne_dépendante]]*Base[[#This Row],['[SC']Nb_personnes_dépendantes]])</f>
        <v>0</v>
      </c>
      <c r="AP259" s="4">
        <f>IF(Base[[#This Row],[Pathologie]]&lt;&gt;"Dépendance",0,Base[[#This Row],['[SC']Coût_total_dépendance]]/Base[[#This Row],[Population_totale]])</f>
        <v>0</v>
      </c>
      <c r="AQ259" s="4">
        <f>IF(Base[[#This Row],[Pathologie]]&lt;&gt;"Dépendance",0,4.5)</f>
        <v>0</v>
      </c>
      <c r="AR259" s="4">
        <v>0.83987615528424797</v>
      </c>
      <c r="AS259" s="4">
        <f>Base[[#This Row],[Espérance_vie]]+Base[[#This Row],['[SC']Hausse_esp_de_vie]]-Base[[#This Row],['[SC']Durée_moyenne_dépendance_avt]]+Base[[#This Row],[Risque]]</f>
        <v>83.286636117563646</v>
      </c>
      <c r="AT2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59" s="4">
        <v>62.9</v>
      </c>
      <c r="AW259" s="4">
        <f t="shared" si="0"/>
        <v>336905600000</v>
      </c>
      <c r="AX259" s="4">
        <v>15049171</v>
      </c>
      <c r="AY259" s="4">
        <f>Base[[#This Row],['[SC']Budget_total_retraites]]/Base[[#This Row],['[SC']Nombre_de_retraités]]</f>
        <v>22386.987296509556</v>
      </c>
      <c r="AZ259" s="4">
        <f>Base[[#This Row],['[SC']Budget_par_retraité]]*Base[[#This Row],['[SC']Nb_personnes_dépendantes]]</f>
        <v>0</v>
      </c>
      <c r="BA259" s="4">
        <f>Base[[#This Row],['[SC']'[Dépendance']Coût_retraite_personnes_dépendantes]]/Base[[#This Row],[Population_totale]]</f>
        <v>0</v>
      </c>
      <c r="BB2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59" s="4">
        <f>Base[[#This Row],['[SC']'[Dépendance']Gains]]-Base[[#This Row],['[SC']'[Dépendance']Coûts]]</f>
        <v>0</v>
      </c>
      <c r="BD259" s="4">
        <f>IF(Base[[#This Row],[Pathologie]]&lt;&gt;"Mort prématurée",0,Base[[#This Row],[Risque]]*Base[[#This Row],[Prévalence]]*Base[[#This Row],[Population_totale]])</f>
        <v>0</v>
      </c>
      <c r="BE259" s="4">
        <v>52.74</v>
      </c>
      <c r="BF259" s="4">
        <f>Base[[#This Row],['[SC']Âge_moyen_retraite]]-Base[[#This Row],['[SC']'[Mort_prématurée']Âge_moyen_mort précoce]]</f>
        <v>10.159999999999997</v>
      </c>
      <c r="BG259" s="4">
        <f>Base[[#This Row],[Espérance_vie]]+Base[[#This Row],['[SC']Hausse_esp_de_vie]]-Base[[#This Row],['[SC']Âge_moyen_retraite]]</f>
        <v>20.236955218602098</v>
      </c>
      <c r="BH259" s="4">
        <v>106583.42676924677</v>
      </c>
      <c r="BI259" s="4">
        <v>97601.789429271477</v>
      </c>
      <c r="BJ259" s="4">
        <v>302038.31496633729</v>
      </c>
      <c r="BK259" s="4">
        <v>117293.58934859755</v>
      </c>
      <c r="BL259" s="4">
        <v>1523999.9999999995</v>
      </c>
      <c r="BM2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59" s="4">
        <v>294804.96027377353</v>
      </c>
      <c r="BO2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59" s="4">
        <f>(Base[[#This Row],['[SC']'[Mort_prématurée']Gains]]-Base[[#This Row],['[SC']'[Mort_prématurée']Coûts]])/Base[[#This Row],[Population_totale]]</f>
        <v>0</v>
      </c>
      <c r="BQ259" s="4">
        <f>IF(Base[[#This Row],[Pathologie]]&lt;&gt;"Mort prématurée",0,Base[[#This Row],[Risque]])</f>
        <v>0</v>
      </c>
      <c r="BR259" s="4">
        <v>2680</v>
      </c>
      <c r="BS2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59" s="4">
        <f>Base[[#This Row],[Prévalence_prod]]*(1-Base[[#This Row],[Risque]])*Base[[#This Row],[Durée_arrêt]]*Base[[#This Row],[Population_emploi]]</f>
        <v>13578813.787344631</v>
      </c>
      <c r="BV259" s="4">
        <f>Base[[#This Row],['[Prod']'[Absentéisme']Total_jours_absence_avant]]-Base[[#This Row],['[Prod']'[Absentéisme']Total_jours_absence_après]]</f>
        <v>2390266.2565606833</v>
      </c>
      <c r="BW259" s="4">
        <f>IF(AND(Base[[#This Row],[Pathologie]]&lt;&gt;"Dépendance",Base[[#This Row],[Pathologie]]&lt;&gt;"Mort prématurée",Base[[#This Row],[Pathologie]]&lt;&gt;"Migraine"),0.0619,0)</f>
        <v>6.1899999999999997E-2</v>
      </c>
      <c r="BX259" s="4">
        <v>254</v>
      </c>
      <c r="BY259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59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59" s="4">
        <f>Base[[#This Row],[Prévalence_prod]]*Base[[#This Row],[Présentéisme]]*Base[[#This Row],['[Prod']Jours_ouvrés]]</f>
        <v>0.56134000000000006</v>
      </c>
      <c r="CB259" s="4">
        <f>Base[[#This Row],[Prévalence_prod]]*(1-Base[[#This Row],[Risque]])*Base[[#This Row],[Présentéisme]]*Base[[#This Row],['[Prod']Jours_ouvrés]]</f>
        <v>0.47731812417692393</v>
      </c>
      <c r="CC259" s="4">
        <f>Base[[#This Row],['[Prod']'[Présentéisme']Jours_avant]]-Base[[#This Row],['[Prod']'[Présentéisme']Jours_après]]</f>
        <v>8.4021875823076131E-2</v>
      </c>
      <c r="CD259" s="4">
        <f>Base[[#This Row],['[Prod']'[Présentéisme']Jours_gagnés]]/Base[[#This Row],['[Prod']Jours_ouvrés]]</f>
        <v>3.3079478670502413E-4</v>
      </c>
      <c r="CE259">
        <v>7.5880726467531134E-2</v>
      </c>
      <c r="CF259">
        <v>1.989821358241517E-2</v>
      </c>
      <c r="CG259" s="4">
        <v>11</v>
      </c>
      <c r="CH259" s="4">
        <v>0.96913802401210614</v>
      </c>
      <c r="CI259" s="4">
        <v>0.10293966445307301</v>
      </c>
      <c r="CJ259" s="4">
        <f>IF(Base[[#This Row],[Secteur]]&lt;&gt;"Moyenne",Base[[#This Row],['[Prod']'[Turnover']DMC_initiale]]*(1+Base[[#This Row],['[Prod']'[Turnover']Ecart_accidents]]*Base[[#This Row],['[Prod']Impact_motifs_turnover]]),CJ242*CI242+CJ243*CI243+CJ244*CI244+CJ245*CI245+CJ246*CI246+CJ247*CI247+CJ248*CI248+CJ249*CI249+CJ250*CI250+CJ251*CI251+CJ252*CI252+CJ253*CI253+CJ254*CI254+CJ255*CI255+CJ256*CI256+CJ257*CI257+CJ258*CI258)</f>
        <v>11.212125269318959</v>
      </c>
      <c r="CK259" s="4">
        <f>1/Base[[#This Row],['[Prod']'[Turnover']DMC_initiale]]</f>
        <v>9.0909090909090912E-2</v>
      </c>
      <c r="CL259" s="4">
        <f>1/Base[[#This Row],['[Prod']'[Turnover']DMC_finale]]</f>
        <v>8.9189156915363429E-2</v>
      </c>
    </row>
    <row r="260" spans="2:90" x14ac:dyDescent="0.25">
      <c r="B260" s="4" t="s">
        <v>324</v>
      </c>
      <c r="C260">
        <v>15</v>
      </c>
      <c r="D260" t="s">
        <v>83</v>
      </c>
      <c r="E260" t="s">
        <v>3</v>
      </c>
      <c r="F260" s="3">
        <v>0.14968089896154918</v>
      </c>
      <c r="G260" s="3">
        <v>2.5999999999999999E-2</v>
      </c>
      <c r="H260" s="3">
        <v>2.5999999999999999E-2</v>
      </c>
      <c r="I260" s="3">
        <v>8.5000000000000006E-2</v>
      </c>
      <c r="J260" s="3">
        <v>24.289173334126499</v>
      </c>
      <c r="K260" s="3">
        <v>7.0000000000000007E-2</v>
      </c>
      <c r="L260" s="2">
        <f>Base[[#This Row],[Coût]]*Base[[#This Row],[Part_ménages_dépenses_santé]]</f>
        <v>1.7002421333888551</v>
      </c>
      <c r="M260" s="2">
        <v>0.99784170771638514</v>
      </c>
      <c r="N260" s="6">
        <v>27700000</v>
      </c>
      <c r="O260" s="7">
        <f>Base[[#This Row],[Coût_salarié]]*10^9*Base[[#This Row],[Risque]]*Base[[#This Row],[Prévalence]]*Base[[#This Row],[Part_coûts_salarié]]/Base[[#This Row],[Population_emploi]]</f>
        <v>0.23835945757874455</v>
      </c>
      <c r="P260">
        <v>50</v>
      </c>
      <c r="Q260">
        <v>50</v>
      </c>
      <c r="R260" s="2">
        <v>9.9999999999999978E-2</v>
      </c>
      <c r="S260" s="2">
        <v>0.33340000000000003</v>
      </c>
      <c r="T260" s="4">
        <v>2.5999999999999999E-2</v>
      </c>
      <c r="U260" s="4">
        <f>IF(Bases_annexes!$F$5=0,16.6587111018772,0.77*Bases_annexes!$F$5/(IF(OR(ISBLANK('Données_d''entrée'!$E$44),'Données_d''entrée'!$E$44=0),35,'Données_d''entrée'!$E$44)*52))</f>
        <v>16.658711101877199</v>
      </c>
      <c r="V260" s="4">
        <v>22.173118639135399</v>
      </c>
      <c r="W2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0" s="4">
        <v>234.5</v>
      </c>
      <c r="Y260" s="4">
        <f>(Base[[#This Row],['[Maladies']Coûts_évités_par_salarié]]+Base[[#This Row],['[Travail']Coûts_évités_par_salarié]])/Base[[#This Row],[Budget_santé_salarié]]</f>
        <v>1.0532669466316357E-2</v>
      </c>
      <c r="Z260" s="4">
        <v>0.8</v>
      </c>
      <c r="AA260" s="4">
        <f>Base[[#This Row],[Coût]]*Base[[#This Row],[Part_société_dépenses_santé]]</f>
        <v>19.431338667301201</v>
      </c>
      <c r="AB260" s="4">
        <v>67635124</v>
      </c>
      <c r="AC260" s="4">
        <v>82.297079063317852</v>
      </c>
      <c r="AD260" s="4">
        <v>2.5999999999999999E-2</v>
      </c>
      <c r="AE260" s="4">
        <f>Base[[#This Row],['[SC']Prévalence_travail]]*Base[[#This Row],[Population_emploi]]</f>
        <v>720200</v>
      </c>
      <c r="AF260" s="4">
        <f>Base[[#This Row],[Risque]]*Base[[#This Row],['[SC']Patients_en_emploi]]</f>
        <v>107800.18343210772</v>
      </c>
      <c r="AG260" s="4">
        <v>1257615774.8399999</v>
      </c>
      <c r="AH260" s="4">
        <f>IFERROR(Base[[#This Row],['[SC']Prestations]]/Base[[#This Row],['[SC']Patients_en_emploi]],0)</f>
        <v>1746.203519633435</v>
      </c>
      <c r="AI260" s="4">
        <v>51.7</v>
      </c>
      <c r="AJ2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0" s="4">
        <f>Base[[#This Row],['[SC']'[Travail']Coûts_évités]]/Base[[#This Row],[Population_emploi]]</f>
        <v>6.7957061273023971</v>
      </c>
      <c r="AL260" s="4">
        <f>Base[[#This Row],[Coût_société]]*10^9*Base[[#This Row],[Risque]]*Base[[#This Row],[Prévalence]]*Base[[#This Row],[Part_coûts_salarié]]/Base[[#This Row],[Population_emploi]]</f>
        <v>2.7241080866142231</v>
      </c>
      <c r="AM260" s="4">
        <f>IF(Base[[#This Row],[Pathologie]]&lt;&gt;"Dépendance",0,14909.24243952)</f>
        <v>0</v>
      </c>
      <c r="AN260" s="4">
        <f>IF(Base[[#This Row],[Pathologie]]&lt;&gt;"Dépendance",0,1316000)</f>
        <v>0</v>
      </c>
      <c r="AO260" s="4">
        <f>IF(Base[[#This Row],[Pathologie]]&lt;&gt;"Dépendance",0,Base[[#This Row],['[SC']Coût_personne_dépendante]]*Base[[#This Row],['[SC']Nb_personnes_dépendantes]])</f>
        <v>0</v>
      </c>
      <c r="AP260" s="4">
        <f>IF(Base[[#This Row],[Pathologie]]&lt;&gt;"Dépendance",0,Base[[#This Row],['[SC']Coût_total_dépendance]]/Base[[#This Row],[Population_totale]])</f>
        <v>0</v>
      </c>
      <c r="AQ260" s="4">
        <f>IF(Base[[#This Row],[Pathologie]]&lt;&gt;"Dépendance",0,4.5)</f>
        <v>0</v>
      </c>
      <c r="AR260" s="4">
        <v>0.83987615528424797</v>
      </c>
      <c r="AS260" s="4">
        <f>Base[[#This Row],[Espérance_vie]]+Base[[#This Row],['[SC']Hausse_esp_de_vie]]-Base[[#This Row],['[SC']Durée_moyenne_dépendance_avt]]+Base[[#This Row],[Risque]]</f>
        <v>83.286636117563646</v>
      </c>
      <c r="AT2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0" s="4">
        <v>62.9</v>
      </c>
      <c r="AW260" s="4">
        <f t="shared" si="0"/>
        <v>336905600000</v>
      </c>
      <c r="AX260" s="4">
        <v>15049171</v>
      </c>
      <c r="AY260" s="4">
        <f>Base[[#This Row],['[SC']Budget_total_retraites]]/Base[[#This Row],['[SC']Nombre_de_retraités]]</f>
        <v>22386.987296509556</v>
      </c>
      <c r="AZ260" s="4">
        <f>Base[[#This Row],['[SC']Budget_par_retraité]]*Base[[#This Row],['[SC']Nb_personnes_dépendantes]]</f>
        <v>0</v>
      </c>
      <c r="BA260" s="4">
        <f>Base[[#This Row],['[SC']'[Dépendance']Coût_retraite_personnes_dépendantes]]/Base[[#This Row],[Population_totale]]</f>
        <v>0</v>
      </c>
      <c r="BB2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0" s="4">
        <f>Base[[#This Row],['[SC']'[Dépendance']Gains]]-Base[[#This Row],['[SC']'[Dépendance']Coûts]]</f>
        <v>0</v>
      </c>
      <c r="BD260" s="4">
        <f>IF(Base[[#This Row],[Pathologie]]&lt;&gt;"Mort prématurée",0,Base[[#This Row],[Risque]]*Base[[#This Row],[Prévalence]]*Base[[#This Row],[Population_totale]])</f>
        <v>0</v>
      </c>
      <c r="BE260" s="4">
        <v>52.74</v>
      </c>
      <c r="BF260" s="4">
        <f>Base[[#This Row],['[SC']Âge_moyen_retraite]]-Base[[#This Row],['[SC']'[Mort_prématurée']Âge_moyen_mort précoce]]</f>
        <v>10.159999999999997</v>
      </c>
      <c r="BG260" s="4">
        <f>Base[[#This Row],[Espérance_vie]]+Base[[#This Row],['[SC']Hausse_esp_de_vie]]-Base[[#This Row],['[SC']Âge_moyen_retraite]]</f>
        <v>20.236955218602098</v>
      </c>
      <c r="BH260" s="4">
        <v>106583.42676924677</v>
      </c>
      <c r="BI260" s="4">
        <v>97601.789429271477</v>
      </c>
      <c r="BJ260" s="4">
        <v>302038.31496633729</v>
      </c>
      <c r="BK260" s="4">
        <v>117293.58934859755</v>
      </c>
      <c r="BL260" s="4">
        <v>1523999.9999999995</v>
      </c>
      <c r="BM2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0" s="4">
        <v>294804.96027377353</v>
      </c>
      <c r="BO2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0" s="4">
        <f>(Base[[#This Row],['[SC']'[Mort_prématurée']Gains]]-Base[[#This Row],['[SC']'[Mort_prématurée']Coûts]])/Base[[#This Row],[Population_totale]]</f>
        <v>0</v>
      </c>
      <c r="BQ260" s="4">
        <f>IF(Base[[#This Row],[Pathologie]]&lt;&gt;"Mort prématurée",0,Base[[#This Row],[Risque]])</f>
        <v>0</v>
      </c>
      <c r="BR260" s="4">
        <v>2680</v>
      </c>
      <c r="BS2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0" s="4">
        <f>Base[[#This Row],[Prévalence_prod]]*(1-Base[[#This Row],[Risque]])*Base[[#This Row],[Durée_arrêt]]*Base[[#This Row],[Population_emploi]]</f>
        <v>13578813.787344631</v>
      </c>
      <c r="BV260" s="4">
        <f>Base[[#This Row],['[Prod']'[Absentéisme']Total_jours_absence_avant]]-Base[[#This Row],['[Prod']'[Absentéisme']Total_jours_absence_après]]</f>
        <v>2390266.2565606833</v>
      </c>
      <c r="BW260" s="4">
        <f>IF(AND(Base[[#This Row],[Pathologie]]&lt;&gt;"Dépendance",Base[[#This Row],[Pathologie]]&lt;&gt;"Mort prématurée",Base[[#This Row],[Pathologie]]&lt;&gt;"Migraine"),0.0619,0)</f>
        <v>6.1899999999999997E-2</v>
      </c>
      <c r="BX260" s="4">
        <v>254</v>
      </c>
      <c r="BY260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0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0" s="4">
        <f>Base[[#This Row],[Prévalence_prod]]*Base[[#This Row],[Présentéisme]]*Base[[#This Row],['[Prod']Jours_ouvrés]]</f>
        <v>0.56134000000000006</v>
      </c>
      <c r="CB260" s="4">
        <f>Base[[#This Row],[Prévalence_prod]]*(1-Base[[#This Row],[Risque]])*Base[[#This Row],[Présentéisme]]*Base[[#This Row],['[Prod']Jours_ouvrés]]</f>
        <v>0.47731812417692393</v>
      </c>
      <c r="CC260" s="4">
        <f>Base[[#This Row],['[Prod']'[Présentéisme']Jours_avant]]-Base[[#This Row],['[Prod']'[Présentéisme']Jours_après]]</f>
        <v>8.4021875823076131E-2</v>
      </c>
      <c r="CD260" s="4">
        <f>Base[[#This Row],['[Prod']'[Présentéisme']Jours_gagnés]]/Base[[#This Row],['[Prod']Jours_ouvrés]]</f>
        <v>3.3079478670502413E-4</v>
      </c>
      <c r="CE260">
        <v>7.5880726467531134E-2</v>
      </c>
      <c r="CF260">
        <v>1.989821358241517E-2</v>
      </c>
      <c r="CG260" s="4">
        <v>11</v>
      </c>
      <c r="CH260" s="4">
        <v>1.3987208237662601</v>
      </c>
      <c r="CI260" s="4">
        <v>2.1768516166491274E-2</v>
      </c>
      <c r="CJ260" s="4">
        <f>IF(Base[[#This Row],[Secteur]]&lt;&gt;"Moyenne",Base[[#This Row],['[Prod']'[Turnover']DMC_initiale]]*(1+Base[[#This Row],['[Prod']'[Turnover']Ecart_accidents]]*Base[[#This Row],['[Prod']Impact_motifs_turnover]]),CJ243*CI243+CJ244*CI244+CJ245*CI245+CJ246*CI246+CJ247*CI247+CJ248*CI248+CJ249*CI249+CJ250*CI250+CJ251*CI251+CJ252*CI252+CJ253*CI253+CJ254*CI254+CJ255*CI255+CJ256*CI256+CJ257*CI257+CJ258*CI258+CJ259*CI259)</f>
        <v>11.306152502628199</v>
      </c>
      <c r="CK260" s="4">
        <f>1/Base[[#This Row],['[Prod']'[Turnover']DMC_initiale]]</f>
        <v>9.0909090909090912E-2</v>
      </c>
      <c r="CL260" s="4">
        <f>1/Base[[#This Row],['[Prod']'[Turnover']DMC_finale]]</f>
        <v>8.8447418320913546E-2</v>
      </c>
    </row>
    <row r="261" spans="2:90" x14ac:dyDescent="0.25">
      <c r="B261" s="4" t="s">
        <v>325</v>
      </c>
      <c r="C261">
        <v>15</v>
      </c>
      <c r="D261" t="s">
        <v>83</v>
      </c>
      <c r="E261" t="s">
        <v>3</v>
      </c>
      <c r="F261" s="3">
        <v>0.14968089896154918</v>
      </c>
      <c r="G261" s="3">
        <v>2.5999999999999999E-2</v>
      </c>
      <c r="H261" s="3">
        <v>2.5999999999999999E-2</v>
      </c>
      <c r="I261" s="3">
        <v>8.5000000000000006E-2</v>
      </c>
      <c r="J261" s="3">
        <v>24.289173334126499</v>
      </c>
      <c r="K261" s="3">
        <v>7.0000000000000007E-2</v>
      </c>
      <c r="L261" s="2">
        <f>Base[[#This Row],[Coût]]*Base[[#This Row],[Part_ménages_dépenses_santé]]</f>
        <v>1.7002421333888551</v>
      </c>
      <c r="M261" s="2">
        <v>0.99784170771638514</v>
      </c>
      <c r="N261" s="6">
        <v>27700000</v>
      </c>
      <c r="O261" s="7">
        <f>Base[[#This Row],[Coût_salarié]]*10^9*Base[[#This Row],[Risque]]*Base[[#This Row],[Prévalence]]*Base[[#This Row],[Part_coûts_salarié]]/Base[[#This Row],[Population_emploi]]</f>
        <v>0.23835945757874455</v>
      </c>
      <c r="P261">
        <v>50</v>
      </c>
      <c r="Q261">
        <v>50</v>
      </c>
      <c r="R261" s="2">
        <v>9.9999999999999978E-2</v>
      </c>
      <c r="S261" s="2">
        <v>0.33340000000000003</v>
      </c>
      <c r="T261" s="4">
        <v>2.5999999999999999E-2</v>
      </c>
      <c r="U261" s="4">
        <f>IF(Bases_annexes!$F$5=0,16.6587111018772,0.77*Bases_annexes!$F$5/(IF(OR(ISBLANK('Données_d''entrée'!$E$44),'Données_d''entrée'!$E$44=0),35,'Données_d''entrée'!$E$44)*52))</f>
        <v>16.658711101877199</v>
      </c>
      <c r="V261" s="4">
        <v>22.173118639135399</v>
      </c>
      <c r="W2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1" s="4">
        <v>234.5</v>
      </c>
      <c r="Y261" s="4">
        <f>(Base[[#This Row],['[Maladies']Coûts_évités_par_salarié]]+Base[[#This Row],['[Travail']Coûts_évités_par_salarié]])/Base[[#This Row],[Budget_santé_salarié]]</f>
        <v>1.0532669466316357E-2</v>
      </c>
      <c r="Z261" s="4">
        <v>0.8</v>
      </c>
      <c r="AA261" s="4">
        <f>Base[[#This Row],[Coût]]*Base[[#This Row],[Part_société_dépenses_santé]]</f>
        <v>19.431338667301201</v>
      </c>
      <c r="AB261" s="4">
        <v>67635124</v>
      </c>
      <c r="AC261" s="4">
        <v>82.297079063317852</v>
      </c>
      <c r="AD261" s="4">
        <v>2.5999999999999999E-2</v>
      </c>
      <c r="AE261" s="4">
        <f>Base[[#This Row],['[SC']Prévalence_travail]]*Base[[#This Row],[Population_emploi]]</f>
        <v>720200</v>
      </c>
      <c r="AF261" s="4">
        <f>Base[[#This Row],[Risque]]*Base[[#This Row],['[SC']Patients_en_emploi]]</f>
        <v>107800.18343210772</v>
      </c>
      <c r="AG261" s="4">
        <v>1257615774.8399999</v>
      </c>
      <c r="AH261" s="4">
        <f>IFERROR(Base[[#This Row],['[SC']Prestations]]/Base[[#This Row],['[SC']Patients_en_emploi]],0)</f>
        <v>1746.203519633435</v>
      </c>
      <c r="AI261" s="4">
        <v>51.7</v>
      </c>
      <c r="AJ2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1" s="4">
        <f>Base[[#This Row],['[SC']'[Travail']Coûts_évités]]/Base[[#This Row],[Population_emploi]]</f>
        <v>6.7957061273023971</v>
      </c>
      <c r="AL261" s="4">
        <f>Base[[#This Row],[Coût_société]]*10^9*Base[[#This Row],[Risque]]*Base[[#This Row],[Prévalence]]*Base[[#This Row],[Part_coûts_salarié]]/Base[[#This Row],[Population_emploi]]</f>
        <v>2.7241080866142231</v>
      </c>
      <c r="AM261" s="4">
        <f>IF(Base[[#This Row],[Pathologie]]&lt;&gt;"Dépendance",0,14909.24243952)</f>
        <v>0</v>
      </c>
      <c r="AN261" s="4">
        <f>IF(Base[[#This Row],[Pathologie]]&lt;&gt;"Dépendance",0,1316000)</f>
        <v>0</v>
      </c>
      <c r="AO261" s="4">
        <f>IF(Base[[#This Row],[Pathologie]]&lt;&gt;"Dépendance",0,Base[[#This Row],['[SC']Coût_personne_dépendante]]*Base[[#This Row],['[SC']Nb_personnes_dépendantes]])</f>
        <v>0</v>
      </c>
      <c r="AP261" s="4">
        <f>IF(Base[[#This Row],[Pathologie]]&lt;&gt;"Dépendance",0,Base[[#This Row],['[SC']Coût_total_dépendance]]/Base[[#This Row],[Population_totale]])</f>
        <v>0</v>
      </c>
      <c r="AQ261" s="4">
        <f>IF(Base[[#This Row],[Pathologie]]&lt;&gt;"Dépendance",0,4.5)</f>
        <v>0</v>
      </c>
      <c r="AR261" s="4">
        <v>0.83987615528424797</v>
      </c>
      <c r="AS261" s="4">
        <f>Base[[#This Row],[Espérance_vie]]+Base[[#This Row],['[SC']Hausse_esp_de_vie]]-Base[[#This Row],['[SC']Durée_moyenne_dépendance_avt]]+Base[[#This Row],[Risque]]</f>
        <v>83.286636117563646</v>
      </c>
      <c r="AT2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1" s="4">
        <v>62.9</v>
      </c>
      <c r="AW261" s="4">
        <f t="shared" si="0"/>
        <v>336905600000</v>
      </c>
      <c r="AX261" s="4">
        <v>15049171</v>
      </c>
      <c r="AY261" s="4">
        <f>Base[[#This Row],['[SC']Budget_total_retraites]]/Base[[#This Row],['[SC']Nombre_de_retraités]]</f>
        <v>22386.987296509556</v>
      </c>
      <c r="AZ261" s="4">
        <f>Base[[#This Row],['[SC']Budget_par_retraité]]*Base[[#This Row],['[SC']Nb_personnes_dépendantes]]</f>
        <v>0</v>
      </c>
      <c r="BA261" s="4">
        <f>Base[[#This Row],['[SC']'[Dépendance']Coût_retraite_personnes_dépendantes]]/Base[[#This Row],[Population_totale]]</f>
        <v>0</v>
      </c>
      <c r="BB2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1" s="4">
        <f>Base[[#This Row],['[SC']'[Dépendance']Gains]]-Base[[#This Row],['[SC']'[Dépendance']Coûts]]</f>
        <v>0</v>
      </c>
      <c r="BD261" s="4">
        <f>IF(Base[[#This Row],[Pathologie]]&lt;&gt;"Mort prématurée",0,Base[[#This Row],[Risque]]*Base[[#This Row],[Prévalence]]*Base[[#This Row],[Population_totale]])</f>
        <v>0</v>
      </c>
      <c r="BE261" s="4">
        <v>52.74</v>
      </c>
      <c r="BF261" s="4">
        <f>Base[[#This Row],['[SC']Âge_moyen_retraite]]-Base[[#This Row],['[SC']'[Mort_prématurée']Âge_moyen_mort précoce]]</f>
        <v>10.159999999999997</v>
      </c>
      <c r="BG261" s="4">
        <f>Base[[#This Row],[Espérance_vie]]+Base[[#This Row],['[SC']Hausse_esp_de_vie]]-Base[[#This Row],['[SC']Âge_moyen_retraite]]</f>
        <v>20.236955218602098</v>
      </c>
      <c r="BH261" s="4">
        <v>106583.42676924677</v>
      </c>
      <c r="BI261" s="4">
        <v>97601.789429271477</v>
      </c>
      <c r="BJ261" s="4">
        <v>302038.31496633729</v>
      </c>
      <c r="BK261" s="4">
        <v>117293.58934859755</v>
      </c>
      <c r="BL261" s="4">
        <v>1523999.9999999995</v>
      </c>
      <c r="BM2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1" s="4">
        <v>294804.96027377353</v>
      </c>
      <c r="BO2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1" s="4">
        <f>(Base[[#This Row],['[SC']'[Mort_prématurée']Gains]]-Base[[#This Row],['[SC']'[Mort_prématurée']Coûts]])/Base[[#This Row],[Population_totale]]</f>
        <v>0</v>
      </c>
      <c r="BQ261" s="4">
        <f>IF(Base[[#This Row],[Pathologie]]&lt;&gt;"Mort prématurée",0,Base[[#This Row],[Risque]])</f>
        <v>0</v>
      </c>
      <c r="BR261" s="4">
        <v>2680</v>
      </c>
      <c r="BS2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1" s="4">
        <f>Base[[#This Row],[Prévalence_prod]]*(1-Base[[#This Row],[Risque]])*Base[[#This Row],[Durée_arrêt]]*Base[[#This Row],[Population_emploi]]</f>
        <v>13578813.787344631</v>
      </c>
      <c r="BV261" s="4">
        <f>Base[[#This Row],['[Prod']'[Absentéisme']Total_jours_absence_avant]]-Base[[#This Row],['[Prod']'[Absentéisme']Total_jours_absence_après]]</f>
        <v>2390266.2565606833</v>
      </c>
      <c r="BW261" s="4">
        <f>IF(AND(Base[[#This Row],[Pathologie]]&lt;&gt;"Dépendance",Base[[#This Row],[Pathologie]]&lt;&gt;"Mort prématurée",Base[[#This Row],[Pathologie]]&lt;&gt;"Migraine"),0.0619,0)</f>
        <v>6.1899999999999997E-2</v>
      </c>
      <c r="BX261" s="4">
        <v>254</v>
      </c>
      <c r="BY26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1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1" s="4">
        <f>Base[[#This Row],[Prévalence_prod]]*Base[[#This Row],[Présentéisme]]*Base[[#This Row],['[Prod']Jours_ouvrés]]</f>
        <v>0.56134000000000006</v>
      </c>
      <c r="CB261" s="4">
        <f>Base[[#This Row],[Prévalence_prod]]*(1-Base[[#This Row],[Risque]])*Base[[#This Row],[Présentéisme]]*Base[[#This Row],['[Prod']Jours_ouvrés]]</f>
        <v>0.47731812417692393</v>
      </c>
      <c r="CC261" s="4">
        <f>Base[[#This Row],['[Prod']'[Présentéisme']Jours_avant]]-Base[[#This Row],['[Prod']'[Présentéisme']Jours_après]]</f>
        <v>8.4021875823076131E-2</v>
      </c>
      <c r="CD261" s="4">
        <f>Base[[#This Row],['[Prod']'[Présentéisme']Jours_gagnés]]/Base[[#This Row],['[Prod']Jours_ouvrés]]</f>
        <v>3.3079478670502413E-4</v>
      </c>
      <c r="CE261">
        <v>7.5880726467531134E-2</v>
      </c>
      <c r="CF261">
        <v>1.989821358241517E-2</v>
      </c>
      <c r="CG261" s="4">
        <v>11</v>
      </c>
      <c r="CH261" s="4">
        <v>1.1624525375985588</v>
      </c>
      <c r="CI261" s="4">
        <v>3.7953151649308701E-2</v>
      </c>
      <c r="CJ261" s="4">
        <f>IF(Base[[#This Row],[Secteur]]&lt;&gt;"Moyenne",Base[[#This Row],['[Prod']'[Turnover']DMC_initiale]]*(1+Base[[#This Row],['[Prod']'[Turnover']Ecart_accidents]]*Base[[#This Row],['[Prod']Impact_motifs_turnover]]),CJ244*CI244+CJ245*CI245+CJ246*CI246+CJ247*CI247+CJ248*CI248+CJ249*CI249+CJ250*CI250+CJ251*CI251+CJ252*CI252+CJ253*CI253+CJ254*CI254+CJ255*CI255+CJ256*CI256+CJ257*CI257+CJ258*CI258+CJ259*CI259+CJ260*CI260)</f>
        <v>11.254438017598122</v>
      </c>
      <c r="CK261" s="4">
        <f>1/Base[[#This Row],['[Prod']'[Turnover']DMC_initiale]]</f>
        <v>9.0909090909090912E-2</v>
      </c>
      <c r="CL261" s="4">
        <f>1/Base[[#This Row],['[Prod']'[Turnover']DMC_finale]]</f>
        <v>8.885383689850522E-2</v>
      </c>
    </row>
    <row r="262" spans="2:90" x14ac:dyDescent="0.25">
      <c r="B262" s="4" t="s">
        <v>326</v>
      </c>
      <c r="C262">
        <v>15</v>
      </c>
      <c r="D262" t="s">
        <v>83</v>
      </c>
      <c r="E262" t="s">
        <v>3</v>
      </c>
      <c r="F262" s="3">
        <v>0.14968089896154918</v>
      </c>
      <c r="G262" s="3">
        <v>2.5999999999999999E-2</v>
      </c>
      <c r="H262" s="3">
        <v>2.5999999999999999E-2</v>
      </c>
      <c r="I262" s="3">
        <v>8.5000000000000006E-2</v>
      </c>
      <c r="J262" s="3">
        <v>24.289173334126499</v>
      </c>
      <c r="K262" s="3">
        <v>7.0000000000000007E-2</v>
      </c>
      <c r="L262" s="2">
        <f>Base[[#This Row],[Coût]]*Base[[#This Row],[Part_ménages_dépenses_santé]]</f>
        <v>1.7002421333888551</v>
      </c>
      <c r="M262" s="2">
        <v>0.99784170771638514</v>
      </c>
      <c r="N262" s="6">
        <v>27700000</v>
      </c>
      <c r="O262" s="7">
        <f>Base[[#This Row],[Coût_salarié]]*10^9*Base[[#This Row],[Risque]]*Base[[#This Row],[Prévalence]]*Base[[#This Row],[Part_coûts_salarié]]/Base[[#This Row],[Population_emploi]]</f>
        <v>0.23835945757874455</v>
      </c>
      <c r="P262">
        <v>50</v>
      </c>
      <c r="Q262">
        <v>50</v>
      </c>
      <c r="R262" s="2">
        <v>9.9999999999999978E-2</v>
      </c>
      <c r="S262" s="2">
        <v>0.33340000000000003</v>
      </c>
      <c r="T262" s="4">
        <v>2.5999999999999999E-2</v>
      </c>
      <c r="U262" s="4">
        <f>IF(Bases_annexes!$F$5=0,16.6587111018772,0.77*Bases_annexes!$F$5/(IF(OR(ISBLANK('Données_d''entrée'!$E$44),'Données_d''entrée'!$E$44=0),35,'Données_d''entrée'!$E$44)*52))</f>
        <v>16.658711101877199</v>
      </c>
      <c r="V262" s="4">
        <v>22.173118639135399</v>
      </c>
      <c r="W2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2" s="4">
        <v>234.5</v>
      </c>
      <c r="Y262" s="4">
        <f>(Base[[#This Row],['[Maladies']Coûts_évités_par_salarié]]+Base[[#This Row],['[Travail']Coûts_évités_par_salarié]])/Base[[#This Row],[Budget_santé_salarié]]</f>
        <v>1.0532669466316357E-2</v>
      </c>
      <c r="Z262" s="4">
        <v>0.8</v>
      </c>
      <c r="AA262" s="4">
        <f>Base[[#This Row],[Coût]]*Base[[#This Row],[Part_société_dépenses_santé]]</f>
        <v>19.431338667301201</v>
      </c>
      <c r="AB262" s="4">
        <v>67635124</v>
      </c>
      <c r="AC262" s="4">
        <v>82.297079063317852</v>
      </c>
      <c r="AD262" s="4">
        <v>2.5999999999999999E-2</v>
      </c>
      <c r="AE262" s="4">
        <f>Base[[#This Row],['[SC']Prévalence_travail]]*Base[[#This Row],[Population_emploi]]</f>
        <v>720200</v>
      </c>
      <c r="AF262" s="4">
        <f>Base[[#This Row],[Risque]]*Base[[#This Row],['[SC']Patients_en_emploi]]</f>
        <v>107800.18343210772</v>
      </c>
      <c r="AG262" s="4">
        <v>1257615774.8399999</v>
      </c>
      <c r="AH262" s="4">
        <f>IFERROR(Base[[#This Row],['[SC']Prestations]]/Base[[#This Row],['[SC']Patients_en_emploi]],0)</f>
        <v>1746.203519633435</v>
      </c>
      <c r="AI262" s="4">
        <v>51.7</v>
      </c>
      <c r="AJ2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2" s="4">
        <f>Base[[#This Row],['[SC']'[Travail']Coûts_évités]]/Base[[#This Row],[Population_emploi]]</f>
        <v>6.7957061273023971</v>
      </c>
      <c r="AL262" s="4">
        <f>Base[[#This Row],[Coût_société]]*10^9*Base[[#This Row],[Risque]]*Base[[#This Row],[Prévalence]]*Base[[#This Row],[Part_coûts_salarié]]/Base[[#This Row],[Population_emploi]]</f>
        <v>2.7241080866142231</v>
      </c>
      <c r="AM262" s="4">
        <f>IF(Base[[#This Row],[Pathologie]]&lt;&gt;"Dépendance",0,14909.24243952)</f>
        <v>0</v>
      </c>
      <c r="AN262" s="4">
        <f>IF(Base[[#This Row],[Pathologie]]&lt;&gt;"Dépendance",0,1316000)</f>
        <v>0</v>
      </c>
      <c r="AO262" s="4">
        <f>IF(Base[[#This Row],[Pathologie]]&lt;&gt;"Dépendance",0,Base[[#This Row],['[SC']Coût_personne_dépendante]]*Base[[#This Row],['[SC']Nb_personnes_dépendantes]])</f>
        <v>0</v>
      </c>
      <c r="AP262" s="4">
        <f>IF(Base[[#This Row],[Pathologie]]&lt;&gt;"Dépendance",0,Base[[#This Row],['[SC']Coût_total_dépendance]]/Base[[#This Row],[Population_totale]])</f>
        <v>0</v>
      </c>
      <c r="AQ262" s="4">
        <f>IF(Base[[#This Row],[Pathologie]]&lt;&gt;"Dépendance",0,4.5)</f>
        <v>0</v>
      </c>
      <c r="AR262" s="4">
        <v>0.83987615528424797</v>
      </c>
      <c r="AS262" s="4">
        <f>Base[[#This Row],[Espérance_vie]]+Base[[#This Row],['[SC']Hausse_esp_de_vie]]-Base[[#This Row],['[SC']Durée_moyenne_dépendance_avt]]+Base[[#This Row],[Risque]]</f>
        <v>83.286636117563646</v>
      </c>
      <c r="AT2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2" s="4">
        <v>62.9</v>
      </c>
      <c r="AW262" s="4">
        <f t="shared" si="0"/>
        <v>336905600000</v>
      </c>
      <c r="AX262" s="4">
        <v>15049171</v>
      </c>
      <c r="AY262" s="4">
        <f>Base[[#This Row],['[SC']Budget_total_retraites]]/Base[[#This Row],['[SC']Nombre_de_retraités]]</f>
        <v>22386.987296509556</v>
      </c>
      <c r="AZ262" s="4">
        <f>Base[[#This Row],['[SC']Budget_par_retraité]]*Base[[#This Row],['[SC']Nb_personnes_dépendantes]]</f>
        <v>0</v>
      </c>
      <c r="BA262" s="4">
        <f>Base[[#This Row],['[SC']'[Dépendance']Coût_retraite_personnes_dépendantes]]/Base[[#This Row],[Population_totale]]</f>
        <v>0</v>
      </c>
      <c r="BB2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2" s="4">
        <f>Base[[#This Row],['[SC']'[Dépendance']Gains]]-Base[[#This Row],['[SC']'[Dépendance']Coûts]]</f>
        <v>0</v>
      </c>
      <c r="BD262" s="4">
        <f>IF(Base[[#This Row],[Pathologie]]&lt;&gt;"Mort prématurée",0,Base[[#This Row],[Risque]]*Base[[#This Row],[Prévalence]]*Base[[#This Row],[Population_totale]])</f>
        <v>0</v>
      </c>
      <c r="BE262" s="4">
        <v>52.74</v>
      </c>
      <c r="BF262" s="4">
        <f>Base[[#This Row],['[SC']Âge_moyen_retraite]]-Base[[#This Row],['[SC']'[Mort_prématurée']Âge_moyen_mort précoce]]</f>
        <v>10.159999999999997</v>
      </c>
      <c r="BG262" s="4">
        <f>Base[[#This Row],[Espérance_vie]]+Base[[#This Row],['[SC']Hausse_esp_de_vie]]-Base[[#This Row],['[SC']Âge_moyen_retraite]]</f>
        <v>20.236955218602098</v>
      </c>
      <c r="BH262" s="4">
        <v>106583.42676924677</v>
      </c>
      <c r="BI262" s="4">
        <v>97601.789429271477</v>
      </c>
      <c r="BJ262" s="4">
        <v>302038.31496633729</v>
      </c>
      <c r="BK262" s="4">
        <v>117293.58934859755</v>
      </c>
      <c r="BL262" s="4">
        <v>1523999.9999999995</v>
      </c>
      <c r="BM2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2" s="4">
        <v>294804.96027377353</v>
      </c>
      <c r="BO2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2" s="4">
        <f>(Base[[#This Row],['[SC']'[Mort_prématurée']Gains]]-Base[[#This Row],['[SC']'[Mort_prématurée']Coûts]])/Base[[#This Row],[Population_totale]]</f>
        <v>0</v>
      </c>
      <c r="BQ262" s="4">
        <f>IF(Base[[#This Row],[Pathologie]]&lt;&gt;"Mort prématurée",0,Base[[#This Row],[Risque]])</f>
        <v>0</v>
      </c>
      <c r="BR262" s="4">
        <v>2680</v>
      </c>
      <c r="BS2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2" s="4">
        <f>Base[[#This Row],[Prévalence_prod]]*(1-Base[[#This Row],[Risque]])*Base[[#This Row],[Durée_arrêt]]*Base[[#This Row],[Population_emploi]]</f>
        <v>13578813.787344631</v>
      </c>
      <c r="BV262" s="4">
        <f>Base[[#This Row],['[Prod']'[Absentéisme']Total_jours_absence_avant]]-Base[[#This Row],['[Prod']'[Absentéisme']Total_jours_absence_après]]</f>
        <v>2390266.2565606833</v>
      </c>
      <c r="BW262" s="4">
        <f>IF(AND(Base[[#This Row],[Pathologie]]&lt;&gt;"Dépendance",Base[[#This Row],[Pathologie]]&lt;&gt;"Mort prématurée",Base[[#This Row],[Pathologie]]&lt;&gt;"Migraine"),0.0619,0)</f>
        <v>6.1899999999999997E-2</v>
      </c>
      <c r="BX262" s="4">
        <v>254</v>
      </c>
      <c r="BY26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2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2" s="4">
        <f>Base[[#This Row],[Prévalence_prod]]*Base[[#This Row],[Présentéisme]]*Base[[#This Row],['[Prod']Jours_ouvrés]]</f>
        <v>0.56134000000000006</v>
      </c>
      <c r="CB262" s="4">
        <f>Base[[#This Row],[Prévalence_prod]]*(1-Base[[#This Row],[Risque]])*Base[[#This Row],[Présentéisme]]*Base[[#This Row],['[Prod']Jours_ouvrés]]</f>
        <v>0.47731812417692393</v>
      </c>
      <c r="CC262" s="4">
        <f>Base[[#This Row],['[Prod']'[Présentéisme']Jours_avant]]-Base[[#This Row],['[Prod']'[Présentéisme']Jours_après]]</f>
        <v>8.4021875823076131E-2</v>
      </c>
      <c r="CD262" s="4">
        <f>Base[[#This Row],['[Prod']'[Présentéisme']Jours_gagnés]]/Base[[#This Row],['[Prod']Jours_ouvrés]]</f>
        <v>3.3079478670502413E-4</v>
      </c>
      <c r="CE262">
        <v>7.5880726467531134E-2</v>
      </c>
      <c r="CF262">
        <v>1.989821358241517E-2</v>
      </c>
      <c r="CG262" s="4">
        <v>11</v>
      </c>
      <c r="CH262" s="4">
        <v>0.19346787829229528</v>
      </c>
      <c r="CI262" s="4">
        <v>2.8126549817953091E-2</v>
      </c>
      <c r="CJ262" s="4">
        <f>IF(Base[[#This Row],[Secteur]]&lt;&gt;"Moyenne",Base[[#This Row],['[Prod']'[Turnover']DMC_initiale]]*(1+Base[[#This Row],['[Prod']'[Turnover']Ecart_accidents]]*Base[[#This Row],['[Prod']Impact_motifs_turnover]]),CJ245*CI245+CJ246*CI246+CJ247*CI247+CJ248*CI248+CJ249*CI249+CJ250*CI250+CJ251*CI251+CJ252*CI252+CJ253*CI253+CJ254*CI254+CJ255*CI255+CJ256*CI256+CJ257*CI257+CJ258*CI258+CJ259*CI259+CJ260*CI260+CJ261*CI261)</f>
        <v>11.042346316799566</v>
      </c>
      <c r="CK262" s="4">
        <f>1/Base[[#This Row],['[Prod']'[Turnover']DMC_initiale]]</f>
        <v>9.0909090909090912E-2</v>
      </c>
      <c r="CL262" s="4">
        <f>1/Base[[#This Row],['[Prod']'[Turnover']DMC_finale]]</f>
        <v>9.0560463447756881E-2</v>
      </c>
    </row>
    <row r="263" spans="2:90" x14ac:dyDescent="0.25">
      <c r="B263" s="4" t="s">
        <v>327</v>
      </c>
      <c r="C263">
        <v>15</v>
      </c>
      <c r="D263" t="s">
        <v>83</v>
      </c>
      <c r="E263" t="s">
        <v>3</v>
      </c>
      <c r="F263" s="3">
        <v>0.14968089896154918</v>
      </c>
      <c r="G263" s="3">
        <v>2.5999999999999999E-2</v>
      </c>
      <c r="H263" s="3">
        <v>2.5999999999999999E-2</v>
      </c>
      <c r="I263" s="3">
        <v>8.5000000000000006E-2</v>
      </c>
      <c r="J263" s="3">
        <v>24.289173334126499</v>
      </c>
      <c r="K263" s="3">
        <v>7.0000000000000007E-2</v>
      </c>
      <c r="L263" s="2">
        <f>Base[[#This Row],[Coût]]*Base[[#This Row],[Part_ménages_dépenses_santé]]</f>
        <v>1.7002421333888551</v>
      </c>
      <c r="M263" s="2">
        <v>0.99784170771638514</v>
      </c>
      <c r="N263" s="6">
        <v>27700000</v>
      </c>
      <c r="O263" s="7">
        <f>Base[[#This Row],[Coût_salarié]]*10^9*Base[[#This Row],[Risque]]*Base[[#This Row],[Prévalence]]*Base[[#This Row],[Part_coûts_salarié]]/Base[[#This Row],[Population_emploi]]</f>
        <v>0.23835945757874455</v>
      </c>
      <c r="P263">
        <v>50</v>
      </c>
      <c r="Q263">
        <v>50</v>
      </c>
      <c r="R263" s="2">
        <v>9.9999999999999978E-2</v>
      </c>
      <c r="S263" s="2">
        <v>0.33340000000000003</v>
      </c>
      <c r="T263" s="4">
        <v>2.5999999999999999E-2</v>
      </c>
      <c r="U263" s="4">
        <f>IF(Bases_annexes!$F$5=0,16.6587111018772,0.77*Bases_annexes!$F$5/(IF(OR(ISBLANK('Données_d''entrée'!$E$44),'Données_d''entrée'!$E$44=0),35,'Données_d''entrée'!$E$44)*52))</f>
        <v>16.658711101877199</v>
      </c>
      <c r="V263" s="4">
        <v>22.173118639135399</v>
      </c>
      <c r="W2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3" s="4">
        <v>234.5</v>
      </c>
      <c r="Y263" s="4">
        <f>(Base[[#This Row],['[Maladies']Coûts_évités_par_salarié]]+Base[[#This Row],['[Travail']Coûts_évités_par_salarié]])/Base[[#This Row],[Budget_santé_salarié]]</f>
        <v>1.0532669466316357E-2</v>
      </c>
      <c r="Z263" s="4">
        <v>0.8</v>
      </c>
      <c r="AA263" s="4">
        <f>Base[[#This Row],[Coût]]*Base[[#This Row],[Part_société_dépenses_santé]]</f>
        <v>19.431338667301201</v>
      </c>
      <c r="AB263" s="4">
        <v>67635124</v>
      </c>
      <c r="AC263" s="4">
        <v>82.297079063317852</v>
      </c>
      <c r="AD263" s="4">
        <v>2.5999999999999999E-2</v>
      </c>
      <c r="AE263" s="4">
        <f>Base[[#This Row],['[SC']Prévalence_travail]]*Base[[#This Row],[Population_emploi]]</f>
        <v>720200</v>
      </c>
      <c r="AF263" s="4">
        <f>Base[[#This Row],[Risque]]*Base[[#This Row],['[SC']Patients_en_emploi]]</f>
        <v>107800.18343210772</v>
      </c>
      <c r="AG263" s="4">
        <v>1257615774.8399999</v>
      </c>
      <c r="AH263" s="4">
        <f>IFERROR(Base[[#This Row],['[SC']Prestations]]/Base[[#This Row],['[SC']Patients_en_emploi]],0)</f>
        <v>1746.203519633435</v>
      </c>
      <c r="AI263" s="4">
        <v>51.7</v>
      </c>
      <c r="AJ2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3" s="4">
        <f>Base[[#This Row],['[SC']'[Travail']Coûts_évités]]/Base[[#This Row],[Population_emploi]]</f>
        <v>6.7957061273023971</v>
      </c>
      <c r="AL263" s="4">
        <f>Base[[#This Row],[Coût_société]]*10^9*Base[[#This Row],[Risque]]*Base[[#This Row],[Prévalence]]*Base[[#This Row],[Part_coûts_salarié]]/Base[[#This Row],[Population_emploi]]</f>
        <v>2.7241080866142231</v>
      </c>
      <c r="AM263" s="4">
        <f>IF(Base[[#This Row],[Pathologie]]&lt;&gt;"Dépendance",0,14909.24243952)</f>
        <v>0</v>
      </c>
      <c r="AN263" s="4">
        <f>IF(Base[[#This Row],[Pathologie]]&lt;&gt;"Dépendance",0,1316000)</f>
        <v>0</v>
      </c>
      <c r="AO263" s="4">
        <f>IF(Base[[#This Row],[Pathologie]]&lt;&gt;"Dépendance",0,Base[[#This Row],['[SC']Coût_personne_dépendante]]*Base[[#This Row],['[SC']Nb_personnes_dépendantes]])</f>
        <v>0</v>
      </c>
      <c r="AP263" s="4">
        <f>IF(Base[[#This Row],[Pathologie]]&lt;&gt;"Dépendance",0,Base[[#This Row],['[SC']Coût_total_dépendance]]/Base[[#This Row],[Population_totale]])</f>
        <v>0</v>
      </c>
      <c r="AQ263" s="4">
        <f>IF(Base[[#This Row],[Pathologie]]&lt;&gt;"Dépendance",0,4.5)</f>
        <v>0</v>
      </c>
      <c r="AR263" s="4">
        <v>0.83987615528424797</v>
      </c>
      <c r="AS263" s="4">
        <f>Base[[#This Row],[Espérance_vie]]+Base[[#This Row],['[SC']Hausse_esp_de_vie]]-Base[[#This Row],['[SC']Durée_moyenne_dépendance_avt]]+Base[[#This Row],[Risque]]</f>
        <v>83.286636117563646</v>
      </c>
      <c r="AT2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3" s="4">
        <v>62.9</v>
      </c>
      <c r="AW263" s="4">
        <f t="shared" si="0"/>
        <v>336905600000</v>
      </c>
      <c r="AX263" s="4">
        <v>15049171</v>
      </c>
      <c r="AY263" s="4">
        <f>Base[[#This Row],['[SC']Budget_total_retraites]]/Base[[#This Row],['[SC']Nombre_de_retraités]]</f>
        <v>22386.987296509556</v>
      </c>
      <c r="AZ263" s="4">
        <f>Base[[#This Row],['[SC']Budget_par_retraité]]*Base[[#This Row],['[SC']Nb_personnes_dépendantes]]</f>
        <v>0</v>
      </c>
      <c r="BA263" s="4">
        <f>Base[[#This Row],['[SC']'[Dépendance']Coût_retraite_personnes_dépendantes]]/Base[[#This Row],[Population_totale]]</f>
        <v>0</v>
      </c>
      <c r="BB2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3" s="4">
        <f>Base[[#This Row],['[SC']'[Dépendance']Gains]]-Base[[#This Row],['[SC']'[Dépendance']Coûts]]</f>
        <v>0</v>
      </c>
      <c r="BD263" s="4">
        <f>IF(Base[[#This Row],[Pathologie]]&lt;&gt;"Mort prématurée",0,Base[[#This Row],[Risque]]*Base[[#This Row],[Prévalence]]*Base[[#This Row],[Population_totale]])</f>
        <v>0</v>
      </c>
      <c r="BE263" s="4">
        <v>52.74</v>
      </c>
      <c r="BF263" s="4">
        <f>Base[[#This Row],['[SC']Âge_moyen_retraite]]-Base[[#This Row],['[SC']'[Mort_prématurée']Âge_moyen_mort précoce]]</f>
        <v>10.159999999999997</v>
      </c>
      <c r="BG263" s="4">
        <f>Base[[#This Row],[Espérance_vie]]+Base[[#This Row],['[SC']Hausse_esp_de_vie]]-Base[[#This Row],['[SC']Âge_moyen_retraite]]</f>
        <v>20.236955218602098</v>
      </c>
      <c r="BH263" s="4">
        <v>106583.42676924677</v>
      </c>
      <c r="BI263" s="4">
        <v>97601.789429271477</v>
      </c>
      <c r="BJ263" s="4">
        <v>302038.31496633729</v>
      </c>
      <c r="BK263" s="4">
        <v>117293.58934859755</v>
      </c>
      <c r="BL263" s="4">
        <v>1523999.9999999995</v>
      </c>
      <c r="BM2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3" s="4">
        <v>294804.96027377353</v>
      </c>
      <c r="BO2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3" s="4">
        <f>(Base[[#This Row],['[SC']'[Mort_prématurée']Gains]]-Base[[#This Row],['[SC']'[Mort_prématurée']Coûts]])/Base[[#This Row],[Population_totale]]</f>
        <v>0</v>
      </c>
      <c r="BQ263" s="4">
        <f>IF(Base[[#This Row],[Pathologie]]&lt;&gt;"Mort prématurée",0,Base[[#This Row],[Risque]])</f>
        <v>0</v>
      </c>
      <c r="BR263" s="4">
        <v>2680</v>
      </c>
      <c r="BS2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3" s="4">
        <f>Base[[#This Row],[Prévalence_prod]]*(1-Base[[#This Row],[Risque]])*Base[[#This Row],[Durée_arrêt]]*Base[[#This Row],[Population_emploi]]</f>
        <v>13578813.787344631</v>
      </c>
      <c r="BV263" s="4">
        <f>Base[[#This Row],['[Prod']'[Absentéisme']Total_jours_absence_avant]]-Base[[#This Row],['[Prod']'[Absentéisme']Total_jours_absence_après]]</f>
        <v>2390266.2565606833</v>
      </c>
      <c r="BW263" s="4">
        <f>IF(AND(Base[[#This Row],[Pathologie]]&lt;&gt;"Dépendance",Base[[#This Row],[Pathologie]]&lt;&gt;"Mort prématurée",Base[[#This Row],[Pathologie]]&lt;&gt;"Migraine"),0.0619,0)</f>
        <v>6.1899999999999997E-2</v>
      </c>
      <c r="BX263" s="4">
        <v>254</v>
      </c>
      <c r="BY263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3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3" s="4">
        <f>Base[[#This Row],[Prévalence_prod]]*Base[[#This Row],[Présentéisme]]*Base[[#This Row],['[Prod']Jours_ouvrés]]</f>
        <v>0.56134000000000006</v>
      </c>
      <c r="CB263" s="4">
        <f>Base[[#This Row],[Prévalence_prod]]*(1-Base[[#This Row],[Risque]])*Base[[#This Row],[Présentéisme]]*Base[[#This Row],['[Prod']Jours_ouvrés]]</f>
        <v>0.47731812417692393</v>
      </c>
      <c r="CC263" s="4">
        <f>Base[[#This Row],['[Prod']'[Présentéisme']Jours_avant]]-Base[[#This Row],['[Prod']'[Présentéisme']Jours_après]]</f>
        <v>8.4021875823076131E-2</v>
      </c>
      <c r="CD263" s="4">
        <f>Base[[#This Row],['[Prod']'[Présentéisme']Jours_gagnés]]/Base[[#This Row],['[Prod']Jours_ouvrés]]</f>
        <v>3.3079478670502413E-4</v>
      </c>
      <c r="CE263">
        <v>7.5880726467531134E-2</v>
      </c>
      <c r="CF263">
        <v>1.989821358241517E-2</v>
      </c>
      <c r="CG263" s="4">
        <v>11</v>
      </c>
      <c r="CH263" s="4">
        <v>0.13729577077682142</v>
      </c>
      <c r="CI263" s="4">
        <v>1.373516710817578E-2</v>
      </c>
      <c r="CJ263" s="4">
        <f>IF(Base[[#This Row],[Secteur]]&lt;&gt;"Moyenne",Base[[#This Row],['[Prod']'[Turnover']DMC_initiale]]*(1+Base[[#This Row],['[Prod']'[Turnover']Ecart_accidents]]*Base[[#This Row],['[Prod']Impact_motifs_turnover]]),CJ246*CI246+CJ247*CI247+CJ248*CI248+CJ249*CI249+CJ250*CI250+CJ251*CI251+CJ252*CI252+CJ253*CI253+CJ254*CI254+CJ255*CI255+CJ256*CI256+CJ257*CI257+CJ258*CI258+CJ259*CI259+CJ260*CI260+CJ261*CI261+CJ262*CI262)</f>
        <v>11.030051346279674</v>
      </c>
      <c r="CK263" s="4">
        <f>1/Base[[#This Row],['[Prod']'[Turnover']DMC_initiale]]</f>
        <v>9.0909090909090912E-2</v>
      </c>
      <c r="CL263" s="4">
        <f>1/Base[[#This Row],['[Prod']'[Turnover']DMC_finale]]</f>
        <v>9.0661409326738093E-2</v>
      </c>
    </row>
    <row r="264" spans="2:90" x14ac:dyDescent="0.25">
      <c r="B264" s="4" t="s">
        <v>328</v>
      </c>
      <c r="C264">
        <v>15</v>
      </c>
      <c r="D264" t="s">
        <v>83</v>
      </c>
      <c r="E264" t="s">
        <v>3</v>
      </c>
      <c r="F264" s="3">
        <v>0.14968089896154918</v>
      </c>
      <c r="G264" s="3">
        <v>2.5999999999999999E-2</v>
      </c>
      <c r="H264" s="3">
        <v>2.5999999999999999E-2</v>
      </c>
      <c r="I264" s="3">
        <v>8.5000000000000006E-2</v>
      </c>
      <c r="J264" s="3">
        <v>24.289173334126499</v>
      </c>
      <c r="K264" s="3">
        <v>7.0000000000000007E-2</v>
      </c>
      <c r="L264" s="2">
        <f>Base[[#This Row],[Coût]]*Base[[#This Row],[Part_ménages_dépenses_santé]]</f>
        <v>1.7002421333888551</v>
      </c>
      <c r="M264" s="2">
        <v>0.99784170771638514</v>
      </c>
      <c r="N264" s="6">
        <v>27700000</v>
      </c>
      <c r="O264" s="7">
        <f>Base[[#This Row],[Coût_salarié]]*10^9*Base[[#This Row],[Risque]]*Base[[#This Row],[Prévalence]]*Base[[#This Row],[Part_coûts_salarié]]/Base[[#This Row],[Population_emploi]]</f>
        <v>0.23835945757874455</v>
      </c>
      <c r="P264">
        <v>50</v>
      </c>
      <c r="Q264">
        <v>50</v>
      </c>
      <c r="R264" s="2">
        <v>9.9999999999999978E-2</v>
      </c>
      <c r="S264" s="2">
        <v>0.33340000000000003</v>
      </c>
      <c r="T264" s="4">
        <v>2.5999999999999999E-2</v>
      </c>
      <c r="U264" s="4">
        <f>IF(Bases_annexes!$F$5=0,16.6587111018772,0.77*Bases_annexes!$F$5/(IF(OR(ISBLANK('Données_d''entrée'!$E$44),'Données_d''entrée'!$E$44=0),35,'Données_d''entrée'!$E$44)*52))</f>
        <v>16.658711101877199</v>
      </c>
      <c r="V264" s="4">
        <v>22.173118639135399</v>
      </c>
      <c r="W2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4" s="4">
        <v>234.5</v>
      </c>
      <c r="Y264" s="4">
        <f>(Base[[#This Row],['[Maladies']Coûts_évités_par_salarié]]+Base[[#This Row],['[Travail']Coûts_évités_par_salarié]])/Base[[#This Row],[Budget_santé_salarié]]</f>
        <v>1.0532669466316357E-2</v>
      </c>
      <c r="Z264" s="4">
        <v>0.8</v>
      </c>
      <c r="AA264" s="4">
        <f>Base[[#This Row],[Coût]]*Base[[#This Row],[Part_société_dépenses_santé]]</f>
        <v>19.431338667301201</v>
      </c>
      <c r="AB264" s="4">
        <v>67635124</v>
      </c>
      <c r="AC264" s="4">
        <v>82.297079063317852</v>
      </c>
      <c r="AD264" s="4">
        <v>2.5999999999999999E-2</v>
      </c>
      <c r="AE264" s="4">
        <f>Base[[#This Row],['[SC']Prévalence_travail]]*Base[[#This Row],[Population_emploi]]</f>
        <v>720200</v>
      </c>
      <c r="AF264" s="4">
        <f>Base[[#This Row],[Risque]]*Base[[#This Row],['[SC']Patients_en_emploi]]</f>
        <v>107800.18343210772</v>
      </c>
      <c r="AG264" s="4">
        <v>1257615774.8399999</v>
      </c>
      <c r="AH264" s="4">
        <f>IFERROR(Base[[#This Row],['[SC']Prestations]]/Base[[#This Row],['[SC']Patients_en_emploi]],0)</f>
        <v>1746.203519633435</v>
      </c>
      <c r="AI264" s="4">
        <v>51.7</v>
      </c>
      <c r="AJ2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4" s="4">
        <f>Base[[#This Row],['[SC']'[Travail']Coûts_évités]]/Base[[#This Row],[Population_emploi]]</f>
        <v>6.7957061273023971</v>
      </c>
      <c r="AL264" s="4">
        <f>Base[[#This Row],[Coût_société]]*10^9*Base[[#This Row],[Risque]]*Base[[#This Row],[Prévalence]]*Base[[#This Row],[Part_coûts_salarié]]/Base[[#This Row],[Population_emploi]]</f>
        <v>2.7241080866142231</v>
      </c>
      <c r="AM264" s="4">
        <f>IF(Base[[#This Row],[Pathologie]]&lt;&gt;"Dépendance",0,14909.24243952)</f>
        <v>0</v>
      </c>
      <c r="AN264" s="4">
        <f>IF(Base[[#This Row],[Pathologie]]&lt;&gt;"Dépendance",0,1316000)</f>
        <v>0</v>
      </c>
      <c r="AO264" s="4">
        <f>IF(Base[[#This Row],[Pathologie]]&lt;&gt;"Dépendance",0,Base[[#This Row],['[SC']Coût_personne_dépendante]]*Base[[#This Row],['[SC']Nb_personnes_dépendantes]])</f>
        <v>0</v>
      </c>
      <c r="AP264" s="4">
        <f>IF(Base[[#This Row],[Pathologie]]&lt;&gt;"Dépendance",0,Base[[#This Row],['[SC']Coût_total_dépendance]]/Base[[#This Row],[Population_totale]])</f>
        <v>0</v>
      </c>
      <c r="AQ264" s="4">
        <f>IF(Base[[#This Row],[Pathologie]]&lt;&gt;"Dépendance",0,4.5)</f>
        <v>0</v>
      </c>
      <c r="AR264" s="4">
        <v>0.83987615528424797</v>
      </c>
      <c r="AS264" s="4">
        <f>Base[[#This Row],[Espérance_vie]]+Base[[#This Row],['[SC']Hausse_esp_de_vie]]-Base[[#This Row],['[SC']Durée_moyenne_dépendance_avt]]+Base[[#This Row],[Risque]]</f>
        <v>83.286636117563646</v>
      </c>
      <c r="AT2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4" s="4">
        <v>62.9</v>
      </c>
      <c r="AW264" s="4">
        <f t="shared" si="0"/>
        <v>336905600000</v>
      </c>
      <c r="AX264" s="4">
        <v>15049171</v>
      </c>
      <c r="AY264" s="4">
        <f>Base[[#This Row],['[SC']Budget_total_retraites]]/Base[[#This Row],['[SC']Nombre_de_retraités]]</f>
        <v>22386.987296509556</v>
      </c>
      <c r="AZ264" s="4">
        <f>Base[[#This Row],['[SC']Budget_par_retraité]]*Base[[#This Row],['[SC']Nb_personnes_dépendantes]]</f>
        <v>0</v>
      </c>
      <c r="BA264" s="4">
        <f>Base[[#This Row],['[SC']'[Dépendance']Coût_retraite_personnes_dépendantes]]/Base[[#This Row],[Population_totale]]</f>
        <v>0</v>
      </c>
      <c r="BB2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4" s="4">
        <f>Base[[#This Row],['[SC']'[Dépendance']Gains]]-Base[[#This Row],['[SC']'[Dépendance']Coûts]]</f>
        <v>0</v>
      </c>
      <c r="BD264" s="4">
        <f>IF(Base[[#This Row],[Pathologie]]&lt;&gt;"Mort prématurée",0,Base[[#This Row],[Risque]]*Base[[#This Row],[Prévalence]]*Base[[#This Row],[Population_totale]])</f>
        <v>0</v>
      </c>
      <c r="BE264" s="4">
        <v>52.74</v>
      </c>
      <c r="BF264" s="4">
        <f>Base[[#This Row],['[SC']Âge_moyen_retraite]]-Base[[#This Row],['[SC']'[Mort_prématurée']Âge_moyen_mort précoce]]</f>
        <v>10.159999999999997</v>
      </c>
      <c r="BG264" s="4">
        <f>Base[[#This Row],[Espérance_vie]]+Base[[#This Row],['[SC']Hausse_esp_de_vie]]-Base[[#This Row],['[SC']Âge_moyen_retraite]]</f>
        <v>20.236955218602098</v>
      </c>
      <c r="BH264" s="4">
        <v>106583.42676924677</v>
      </c>
      <c r="BI264" s="4">
        <v>97601.789429271477</v>
      </c>
      <c r="BJ264" s="4">
        <v>302038.31496633729</v>
      </c>
      <c r="BK264" s="4">
        <v>117293.58934859755</v>
      </c>
      <c r="BL264" s="4">
        <v>1523999.9999999995</v>
      </c>
      <c r="BM2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4" s="4">
        <v>294804.96027377353</v>
      </c>
      <c r="BO2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4" s="4">
        <f>(Base[[#This Row],['[SC']'[Mort_prématurée']Gains]]-Base[[#This Row],['[SC']'[Mort_prématurée']Coûts]])/Base[[#This Row],[Population_totale]]</f>
        <v>0</v>
      </c>
      <c r="BQ264" s="4">
        <f>IF(Base[[#This Row],[Pathologie]]&lt;&gt;"Mort prématurée",0,Base[[#This Row],[Risque]])</f>
        <v>0</v>
      </c>
      <c r="BR264" s="4">
        <v>2680</v>
      </c>
      <c r="BS2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4" s="4">
        <f>Base[[#This Row],[Prévalence_prod]]*(1-Base[[#This Row],[Risque]])*Base[[#This Row],[Durée_arrêt]]*Base[[#This Row],[Population_emploi]]</f>
        <v>13578813.787344631</v>
      </c>
      <c r="BV264" s="4">
        <f>Base[[#This Row],['[Prod']'[Absentéisme']Total_jours_absence_avant]]-Base[[#This Row],['[Prod']'[Absentéisme']Total_jours_absence_après]]</f>
        <v>2390266.2565606833</v>
      </c>
      <c r="BW264" s="4">
        <f>IF(AND(Base[[#This Row],[Pathologie]]&lt;&gt;"Dépendance",Base[[#This Row],[Pathologie]]&lt;&gt;"Mort prématurée",Base[[#This Row],[Pathologie]]&lt;&gt;"Migraine"),0.0619,0)</f>
        <v>6.1899999999999997E-2</v>
      </c>
      <c r="BX264" s="4">
        <v>254</v>
      </c>
      <c r="BY264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4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4" s="4">
        <f>Base[[#This Row],[Prévalence_prod]]*Base[[#This Row],[Présentéisme]]*Base[[#This Row],['[Prod']Jours_ouvrés]]</f>
        <v>0.56134000000000006</v>
      </c>
      <c r="CB264" s="4">
        <f>Base[[#This Row],[Prévalence_prod]]*(1-Base[[#This Row],[Risque]])*Base[[#This Row],[Présentéisme]]*Base[[#This Row],['[Prod']Jours_ouvrés]]</f>
        <v>0.47731812417692393</v>
      </c>
      <c r="CC264" s="4">
        <f>Base[[#This Row],['[Prod']'[Présentéisme']Jours_avant]]-Base[[#This Row],['[Prod']'[Présentéisme']Jours_après]]</f>
        <v>8.4021875823076131E-2</v>
      </c>
      <c r="CD264" s="4">
        <f>Base[[#This Row],['[Prod']'[Présentéisme']Jours_gagnés]]/Base[[#This Row],['[Prod']Jours_ouvrés]]</f>
        <v>3.3079478670502413E-4</v>
      </c>
      <c r="CE264">
        <v>7.5880726467531134E-2</v>
      </c>
      <c r="CF264">
        <v>1.989821358241517E-2</v>
      </c>
      <c r="CG264" s="4">
        <v>11</v>
      </c>
      <c r="CH264" s="4">
        <v>0.60922528771817497</v>
      </c>
      <c r="CI264" s="4">
        <v>3.8601807163334179E-3</v>
      </c>
      <c r="CJ264" s="4">
        <f>IF(Base[[#This Row],[Secteur]]&lt;&gt;"Moyenne",Base[[#This Row],['[Prod']'[Turnover']DMC_initiale]]*(1+Base[[#This Row],['[Prod']'[Turnover']Ecart_accidents]]*Base[[#This Row],['[Prod']Impact_motifs_turnover]]),CJ247*CI247+CJ248*CI248+CJ249*CI249+CJ250*CI250+CJ251*CI251+CJ252*CI252+CJ253*CI253+CJ254*CI254+CJ255*CI255+CJ256*CI256+CJ257*CI257+CJ258*CI258+CJ259*CI259+CJ260*CI260+CJ261*CI261+CJ262*CI262+CJ263*CI263)</f>
        <v>11.133347443843071</v>
      </c>
      <c r="CK264" s="4">
        <f>1/Base[[#This Row],['[Prod']'[Turnover']DMC_initiale]]</f>
        <v>9.0909090909090912E-2</v>
      </c>
      <c r="CL264" s="4">
        <f>1/Base[[#This Row],['[Prod']'[Turnover']DMC_finale]]</f>
        <v>8.9820245442265148E-2</v>
      </c>
    </row>
    <row r="265" spans="2:90" x14ac:dyDescent="0.25">
      <c r="B265" s="4" t="s">
        <v>329</v>
      </c>
      <c r="C265">
        <v>15</v>
      </c>
      <c r="D265" t="s">
        <v>83</v>
      </c>
      <c r="E265" t="s">
        <v>3</v>
      </c>
      <c r="F265" s="3">
        <v>0.14968089896154918</v>
      </c>
      <c r="G265" s="3">
        <v>2.5999999999999999E-2</v>
      </c>
      <c r="H265" s="3">
        <v>2.5999999999999999E-2</v>
      </c>
      <c r="I265" s="3">
        <v>8.5000000000000006E-2</v>
      </c>
      <c r="J265" s="3">
        <v>24.289173334126499</v>
      </c>
      <c r="K265" s="3">
        <v>7.0000000000000007E-2</v>
      </c>
      <c r="L265" s="2">
        <f>Base[[#This Row],[Coût]]*Base[[#This Row],[Part_ménages_dépenses_santé]]</f>
        <v>1.7002421333888551</v>
      </c>
      <c r="M265" s="2">
        <v>0.99784170771638514</v>
      </c>
      <c r="N265" s="6">
        <v>27700000</v>
      </c>
      <c r="O265" s="7">
        <f>Base[[#This Row],[Coût_salarié]]*10^9*Base[[#This Row],[Risque]]*Base[[#This Row],[Prévalence]]*Base[[#This Row],[Part_coûts_salarié]]/Base[[#This Row],[Population_emploi]]</f>
        <v>0.23835945757874455</v>
      </c>
      <c r="P265">
        <v>50</v>
      </c>
      <c r="Q265">
        <v>50</v>
      </c>
      <c r="R265" s="2">
        <v>9.9999999999999978E-2</v>
      </c>
      <c r="S265" s="2">
        <v>0.33340000000000003</v>
      </c>
      <c r="T265" s="4">
        <v>2.5999999999999999E-2</v>
      </c>
      <c r="U265" s="4">
        <f>IF(Bases_annexes!$F$5=0,16.6587111018772,0.77*Bases_annexes!$F$5/(IF(OR(ISBLANK('Données_d''entrée'!$E$44),'Données_d''entrée'!$E$44=0),35,'Données_d''entrée'!$E$44)*52))</f>
        <v>16.658711101877199</v>
      </c>
      <c r="V265" s="4">
        <v>22.173118639135399</v>
      </c>
      <c r="W2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5" s="4">
        <v>234.5</v>
      </c>
      <c r="Y265" s="4">
        <f>(Base[[#This Row],['[Maladies']Coûts_évités_par_salarié]]+Base[[#This Row],['[Travail']Coûts_évités_par_salarié]])/Base[[#This Row],[Budget_santé_salarié]]</f>
        <v>1.0532669466316357E-2</v>
      </c>
      <c r="Z265" s="4">
        <v>0.8</v>
      </c>
      <c r="AA265" s="4">
        <f>Base[[#This Row],[Coût]]*Base[[#This Row],[Part_société_dépenses_santé]]</f>
        <v>19.431338667301201</v>
      </c>
      <c r="AB265" s="4">
        <v>67635124</v>
      </c>
      <c r="AC265" s="4">
        <v>82.297079063317852</v>
      </c>
      <c r="AD265" s="4">
        <v>2.5999999999999999E-2</v>
      </c>
      <c r="AE265" s="4">
        <f>Base[[#This Row],['[SC']Prévalence_travail]]*Base[[#This Row],[Population_emploi]]</f>
        <v>720200</v>
      </c>
      <c r="AF265" s="4">
        <f>Base[[#This Row],[Risque]]*Base[[#This Row],['[SC']Patients_en_emploi]]</f>
        <v>107800.18343210772</v>
      </c>
      <c r="AG265" s="4">
        <v>1257615774.8399999</v>
      </c>
      <c r="AH265" s="4">
        <f>IFERROR(Base[[#This Row],['[SC']Prestations]]/Base[[#This Row],['[SC']Patients_en_emploi]],0)</f>
        <v>1746.203519633435</v>
      </c>
      <c r="AI265" s="4">
        <v>51.7</v>
      </c>
      <c r="AJ2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5" s="4">
        <f>Base[[#This Row],['[SC']'[Travail']Coûts_évités]]/Base[[#This Row],[Population_emploi]]</f>
        <v>6.7957061273023971</v>
      </c>
      <c r="AL265" s="4">
        <f>Base[[#This Row],[Coût_société]]*10^9*Base[[#This Row],[Risque]]*Base[[#This Row],[Prévalence]]*Base[[#This Row],[Part_coûts_salarié]]/Base[[#This Row],[Population_emploi]]</f>
        <v>2.7241080866142231</v>
      </c>
      <c r="AM265" s="4">
        <f>IF(Base[[#This Row],[Pathologie]]&lt;&gt;"Dépendance",0,14909.24243952)</f>
        <v>0</v>
      </c>
      <c r="AN265" s="4">
        <f>IF(Base[[#This Row],[Pathologie]]&lt;&gt;"Dépendance",0,1316000)</f>
        <v>0</v>
      </c>
      <c r="AO265" s="4">
        <f>IF(Base[[#This Row],[Pathologie]]&lt;&gt;"Dépendance",0,Base[[#This Row],['[SC']Coût_personne_dépendante]]*Base[[#This Row],['[SC']Nb_personnes_dépendantes]])</f>
        <v>0</v>
      </c>
      <c r="AP265" s="4">
        <f>IF(Base[[#This Row],[Pathologie]]&lt;&gt;"Dépendance",0,Base[[#This Row],['[SC']Coût_total_dépendance]]/Base[[#This Row],[Population_totale]])</f>
        <v>0</v>
      </c>
      <c r="AQ265" s="4">
        <f>IF(Base[[#This Row],[Pathologie]]&lt;&gt;"Dépendance",0,4.5)</f>
        <v>0</v>
      </c>
      <c r="AR265" s="4">
        <v>0.83987615528424797</v>
      </c>
      <c r="AS265" s="4">
        <f>Base[[#This Row],[Espérance_vie]]+Base[[#This Row],['[SC']Hausse_esp_de_vie]]-Base[[#This Row],['[SC']Durée_moyenne_dépendance_avt]]+Base[[#This Row],[Risque]]</f>
        <v>83.286636117563646</v>
      </c>
      <c r="AT2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5" s="4">
        <v>62.9</v>
      </c>
      <c r="AW265" s="4">
        <f t="shared" si="0"/>
        <v>336905600000</v>
      </c>
      <c r="AX265" s="4">
        <v>15049171</v>
      </c>
      <c r="AY265" s="4">
        <f>Base[[#This Row],['[SC']Budget_total_retraites]]/Base[[#This Row],['[SC']Nombre_de_retraités]]</f>
        <v>22386.987296509556</v>
      </c>
      <c r="AZ265" s="4">
        <f>Base[[#This Row],['[SC']Budget_par_retraité]]*Base[[#This Row],['[SC']Nb_personnes_dépendantes]]</f>
        <v>0</v>
      </c>
      <c r="BA265" s="4">
        <f>Base[[#This Row],['[SC']'[Dépendance']Coût_retraite_personnes_dépendantes]]/Base[[#This Row],[Population_totale]]</f>
        <v>0</v>
      </c>
      <c r="BB2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5" s="4">
        <f>Base[[#This Row],['[SC']'[Dépendance']Gains]]-Base[[#This Row],['[SC']'[Dépendance']Coûts]]</f>
        <v>0</v>
      </c>
      <c r="BD265" s="4">
        <f>IF(Base[[#This Row],[Pathologie]]&lt;&gt;"Mort prématurée",0,Base[[#This Row],[Risque]]*Base[[#This Row],[Prévalence]]*Base[[#This Row],[Population_totale]])</f>
        <v>0</v>
      </c>
      <c r="BE265" s="4">
        <v>52.74</v>
      </c>
      <c r="BF265" s="4">
        <f>Base[[#This Row],['[SC']Âge_moyen_retraite]]-Base[[#This Row],['[SC']'[Mort_prématurée']Âge_moyen_mort précoce]]</f>
        <v>10.159999999999997</v>
      </c>
      <c r="BG265" s="4">
        <f>Base[[#This Row],[Espérance_vie]]+Base[[#This Row],['[SC']Hausse_esp_de_vie]]-Base[[#This Row],['[SC']Âge_moyen_retraite]]</f>
        <v>20.236955218602098</v>
      </c>
      <c r="BH265" s="4">
        <v>106583.42676924677</v>
      </c>
      <c r="BI265" s="4">
        <v>97601.789429271477</v>
      </c>
      <c r="BJ265" s="4">
        <v>302038.31496633729</v>
      </c>
      <c r="BK265" s="4">
        <v>117293.58934859755</v>
      </c>
      <c r="BL265" s="4">
        <v>1523999.9999999995</v>
      </c>
      <c r="BM2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5" s="4">
        <v>294804.96027377353</v>
      </c>
      <c r="BO2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5" s="4">
        <f>(Base[[#This Row],['[SC']'[Mort_prématurée']Gains]]-Base[[#This Row],['[SC']'[Mort_prématurée']Coûts]])/Base[[#This Row],[Population_totale]]</f>
        <v>0</v>
      </c>
      <c r="BQ265" s="4">
        <f>IF(Base[[#This Row],[Pathologie]]&lt;&gt;"Mort prématurée",0,Base[[#This Row],[Risque]])</f>
        <v>0</v>
      </c>
      <c r="BR265" s="4">
        <v>2680</v>
      </c>
      <c r="BS2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5" s="4">
        <f>Base[[#This Row],[Prévalence_prod]]*(1-Base[[#This Row],[Risque]])*Base[[#This Row],[Durée_arrêt]]*Base[[#This Row],[Population_emploi]]</f>
        <v>13578813.787344631</v>
      </c>
      <c r="BV265" s="4">
        <f>Base[[#This Row],['[Prod']'[Absentéisme']Total_jours_absence_avant]]-Base[[#This Row],['[Prod']'[Absentéisme']Total_jours_absence_après]]</f>
        <v>2390266.2565606833</v>
      </c>
      <c r="BW265" s="4">
        <f>IF(AND(Base[[#This Row],[Pathologie]]&lt;&gt;"Dépendance",Base[[#This Row],[Pathologie]]&lt;&gt;"Mort prématurée",Base[[#This Row],[Pathologie]]&lt;&gt;"Migraine"),0.0619,0)</f>
        <v>6.1899999999999997E-2</v>
      </c>
      <c r="BX265" s="4">
        <v>254</v>
      </c>
      <c r="BY265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5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5" s="4">
        <f>Base[[#This Row],[Prévalence_prod]]*Base[[#This Row],[Présentéisme]]*Base[[#This Row],['[Prod']Jours_ouvrés]]</f>
        <v>0.56134000000000006</v>
      </c>
      <c r="CB265" s="4">
        <f>Base[[#This Row],[Prévalence_prod]]*(1-Base[[#This Row],[Risque]])*Base[[#This Row],[Présentéisme]]*Base[[#This Row],['[Prod']Jours_ouvrés]]</f>
        <v>0.47731812417692393</v>
      </c>
      <c r="CC265" s="4">
        <f>Base[[#This Row],['[Prod']'[Présentéisme']Jours_avant]]-Base[[#This Row],['[Prod']'[Présentéisme']Jours_après]]</f>
        <v>8.4021875823076131E-2</v>
      </c>
      <c r="CD265" s="4">
        <f>Base[[#This Row],['[Prod']'[Présentéisme']Jours_gagnés]]/Base[[#This Row],['[Prod']Jours_ouvrés]]</f>
        <v>3.3079478670502413E-4</v>
      </c>
      <c r="CE265">
        <v>7.5880726467531134E-2</v>
      </c>
      <c r="CF265">
        <v>1.989821358241517E-2</v>
      </c>
      <c r="CG265" s="4">
        <v>11</v>
      </c>
      <c r="CH265" s="4">
        <v>0.78414927716175975</v>
      </c>
      <c r="CI265" s="4">
        <v>0.12835819090128339</v>
      </c>
      <c r="CJ265" s="4">
        <f>IF(Base[[#This Row],[Secteur]]&lt;&gt;"Moyenne",Base[[#This Row],['[Prod']'[Turnover']DMC_initiale]]*(1+Base[[#This Row],['[Prod']'[Turnover']Ecart_accidents]]*Base[[#This Row],['[Prod']Impact_motifs_turnover]]),CJ248*CI248+CJ249*CI249+CJ250*CI250+CJ251*CI251+CJ252*CI252+CJ253*CI253+CJ254*CI254+CJ255*CI255+CJ256*CI256+CJ257*CI257+CJ258*CI258+CJ259*CI259+CJ260*CI260+CJ261*CI261+CJ262*CI262+CJ263*CI263+CJ264*CI264)</f>
        <v>11.171634867772074</v>
      </c>
      <c r="CK265" s="4">
        <f>1/Base[[#This Row],['[Prod']'[Turnover']DMC_initiale]]</f>
        <v>9.0909090909090912E-2</v>
      </c>
      <c r="CL265" s="4">
        <f>1/Base[[#This Row],['[Prod']'[Turnover']DMC_finale]]</f>
        <v>8.9512413521927708E-2</v>
      </c>
    </row>
    <row r="266" spans="2:90" x14ac:dyDescent="0.25">
      <c r="B266" s="4" t="s">
        <v>330</v>
      </c>
      <c r="C266">
        <v>15</v>
      </c>
      <c r="D266" t="s">
        <v>83</v>
      </c>
      <c r="E266" t="s">
        <v>3</v>
      </c>
      <c r="F266" s="3">
        <v>0.14968089896154918</v>
      </c>
      <c r="G266" s="3">
        <v>2.5999999999999999E-2</v>
      </c>
      <c r="H266" s="3">
        <v>2.5999999999999999E-2</v>
      </c>
      <c r="I266" s="3">
        <v>8.5000000000000006E-2</v>
      </c>
      <c r="J266" s="3">
        <v>24.289173334126499</v>
      </c>
      <c r="K266" s="3">
        <v>7.0000000000000007E-2</v>
      </c>
      <c r="L266" s="2">
        <f>Base[[#This Row],[Coût]]*Base[[#This Row],[Part_ménages_dépenses_santé]]</f>
        <v>1.7002421333888551</v>
      </c>
      <c r="M266" s="2">
        <v>0.99784170771638514</v>
      </c>
      <c r="N266" s="6">
        <v>27700000</v>
      </c>
      <c r="O266" s="7">
        <f>Base[[#This Row],[Coût_salarié]]*10^9*Base[[#This Row],[Risque]]*Base[[#This Row],[Prévalence]]*Base[[#This Row],[Part_coûts_salarié]]/Base[[#This Row],[Population_emploi]]</f>
        <v>0.23835945757874455</v>
      </c>
      <c r="P266">
        <v>50</v>
      </c>
      <c r="Q266">
        <v>50</v>
      </c>
      <c r="R266" s="2">
        <v>9.9999999999999978E-2</v>
      </c>
      <c r="S266" s="2">
        <v>0.33340000000000003</v>
      </c>
      <c r="T266" s="4">
        <v>2.5999999999999999E-2</v>
      </c>
      <c r="U266" s="4">
        <f>IF(Bases_annexes!$F$5=0,16.6587111018772,0.77*Bases_annexes!$F$5/(IF(OR(ISBLANK('Données_d''entrée'!$E$44),'Données_d''entrée'!$E$44=0),35,'Données_d''entrée'!$E$44)*52))</f>
        <v>16.658711101877199</v>
      </c>
      <c r="V266" s="4">
        <v>22.173118639135399</v>
      </c>
      <c r="W2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6" s="4">
        <v>234.5</v>
      </c>
      <c r="Y266" s="4">
        <f>(Base[[#This Row],['[Maladies']Coûts_évités_par_salarié]]+Base[[#This Row],['[Travail']Coûts_évités_par_salarié]])/Base[[#This Row],[Budget_santé_salarié]]</f>
        <v>1.0532669466316357E-2</v>
      </c>
      <c r="Z266" s="4">
        <v>0.8</v>
      </c>
      <c r="AA266" s="4">
        <f>Base[[#This Row],[Coût]]*Base[[#This Row],[Part_société_dépenses_santé]]</f>
        <v>19.431338667301201</v>
      </c>
      <c r="AB266" s="4">
        <v>67635124</v>
      </c>
      <c r="AC266" s="4">
        <v>82.297079063317852</v>
      </c>
      <c r="AD266" s="4">
        <v>2.5999999999999999E-2</v>
      </c>
      <c r="AE266" s="4">
        <f>Base[[#This Row],['[SC']Prévalence_travail]]*Base[[#This Row],[Population_emploi]]</f>
        <v>720200</v>
      </c>
      <c r="AF266" s="4">
        <f>Base[[#This Row],[Risque]]*Base[[#This Row],['[SC']Patients_en_emploi]]</f>
        <v>107800.18343210772</v>
      </c>
      <c r="AG266" s="4">
        <v>1257615774.8399999</v>
      </c>
      <c r="AH266" s="4">
        <f>IFERROR(Base[[#This Row],['[SC']Prestations]]/Base[[#This Row],['[SC']Patients_en_emploi]],0)</f>
        <v>1746.203519633435</v>
      </c>
      <c r="AI266" s="4">
        <v>51.7</v>
      </c>
      <c r="AJ2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6" s="4">
        <f>Base[[#This Row],['[SC']'[Travail']Coûts_évités]]/Base[[#This Row],[Population_emploi]]</f>
        <v>6.7957061273023971</v>
      </c>
      <c r="AL266" s="4">
        <f>Base[[#This Row],[Coût_société]]*10^9*Base[[#This Row],[Risque]]*Base[[#This Row],[Prévalence]]*Base[[#This Row],[Part_coûts_salarié]]/Base[[#This Row],[Population_emploi]]</f>
        <v>2.7241080866142231</v>
      </c>
      <c r="AM266" s="4">
        <f>IF(Base[[#This Row],[Pathologie]]&lt;&gt;"Dépendance",0,14909.24243952)</f>
        <v>0</v>
      </c>
      <c r="AN266" s="4">
        <f>IF(Base[[#This Row],[Pathologie]]&lt;&gt;"Dépendance",0,1316000)</f>
        <v>0</v>
      </c>
      <c r="AO266" s="4">
        <f>IF(Base[[#This Row],[Pathologie]]&lt;&gt;"Dépendance",0,Base[[#This Row],['[SC']Coût_personne_dépendante]]*Base[[#This Row],['[SC']Nb_personnes_dépendantes]])</f>
        <v>0</v>
      </c>
      <c r="AP266" s="4">
        <f>IF(Base[[#This Row],[Pathologie]]&lt;&gt;"Dépendance",0,Base[[#This Row],['[SC']Coût_total_dépendance]]/Base[[#This Row],[Population_totale]])</f>
        <v>0</v>
      </c>
      <c r="AQ266" s="4">
        <f>IF(Base[[#This Row],[Pathologie]]&lt;&gt;"Dépendance",0,4.5)</f>
        <v>0</v>
      </c>
      <c r="AR266" s="4">
        <v>0.83987615528424797</v>
      </c>
      <c r="AS266" s="4">
        <f>Base[[#This Row],[Espérance_vie]]+Base[[#This Row],['[SC']Hausse_esp_de_vie]]-Base[[#This Row],['[SC']Durée_moyenne_dépendance_avt]]+Base[[#This Row],[Risque]]</f>
        <v>83.286636117563646</v>
      </c>
      <c r="AT2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6" s="4">
        <v>62.9</v>
      </c>
      <c r="AW266" s="4">
        <f t="shared" si="0"/>
        <v>336905600000</v>
      </c>
      <c r="AX266" s="4">
        <v>15049171</v>
      </c>
      <c r="AY266" s="4">
        <f>Base[[#This Row],['[SC']Budget_total_retraites]]/Base[[#This Row],['[SC']Nombre_de_retraités]]</f>
        <v>22386.987296509556</v>
      </c>
      <c r="AZ266" s="4">
        <f>Base[[#This Row],['[SC']Budget_par_retraité]]*Base[[#This Row],['[SC']Nb_personnes_dépendantes]]</f>
        <v>0</v>
      </c>
      <c r="BA266" s="4">
        <f>Base[[#This Row],['[SC']'[Dépendance']Coût_retraite_personnes_dépendantes]]/Base[[#This Row],[Population_totale]]</f>
        <v>0</v>
      </c>
      <c r="BB2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6" s="4">
        <f>Base[[#This Row],['[SC']'[Dépendance']Gains]]-Base[[#This Row],['[SC']'[Dépendance']Coûts]]</f>
        <v>0</v>
      </c>
      <c r="BD266" s="4">
        <f>IF(Base[[#This Row],[Pathologie]]&lt;&gt;"Mort prématurée",0,Base[[#This Row],[Risque]]*Base[[#This Row],[Prévalence]]*Base[[#This Row],[Population_totale]])</f>
        <v>0</v>
      </c>
      <c r="BE266" s="4">
        <v>52.74</v>
      </c>
      <c r="BF266" s="4">
        <f>Base[[#This Row],['[SC']Âge_moyen_retraite]]-Base[[#This Row],['[SC']'[Mort_prématurée']Âge_moyen_mort précoce]]</f>
        <v>10.159999999999997</v>
      </c>
      <c r="BG266" s="4">
        <f>Base[[#This Row],[Espérance_vie]]+Base[[#This Row],['[SC']Hausse_esp_de_vie]]-Base[[#This Row],['[SC']Âge_moyen_retraite]]</f>
        <v>20.236955218602098</v>
      </c>
      <c r="BH266" s="4">
        <v>106583.42676924677</v>
      </c>
      <c r="BI266" s="4">
        <v>97601.789429271477</v>
      </c>
      <c r="BJ266" s="4">
        <v>302038.31496633729</v>
      </c>
      <c r="BK266" s="4">
        <v>117293.58934859755</v>
      </c>
      <c r="BL266" s="4">
        <v>1523999.9999999995</v>
      </c>
      <c r="BM2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6" s="4">
        <v>294804.96027377353</v>
      </c>
      <c r="BO2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6" s="4">
        <f>(Base[[#This Row],['[SC']'[Mort_prématurée']Gains]]-Base[[#This Row],['[SC']'[Mort_prématurée']Coûts]])/Base[[#This Row],[Population_totale]]</f>
        <v>0</v>
      </c>
      <c r="BQ266" s="4">
        <f>IF(Base[[#This Row],[Pathologie]]&lt;&gt;"Mort prématurée",0,Base[[#This Row],[Risque]])</f>
        <v>0</v>
      </c>
      <c r="BR266" s="4">
        <v>2680</v>
      </c>
      <c r="BS2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6" s="4">
        <f>Base[[#This Row],[Prévalence_prod]]*(1-Base[[#This Row],[Risque]])*Base[[#This Row],[Durée_arrêt]]*Base[[#This Row],[Population_emploi]]</f>
        <v>13578813.787344631</v>
      </c>
      <c r="BV266" s="4">
        <f>Base[[#This Row],['[Prod']'[Absentéisme']Total_jours_absence_avant]]-Base[[#This Row],['[Prod']'[Absentéisme']Total_jours_absence_après]]</f>
        <v>2390266.2565606833</v>
      </c>
      <c r="BW266" s="4">
        <f>IF(AND(Base[[#This Row],[Pathologie]]&lt;&gt;"Dépendance",Base[[#This Row],[Pathologie]]&lt;&gt;"Mort prématurée",Base[[#This Row],[Pathologie]]&lt;&gt;"Migraine"),0.0619,0)</f>
        <v>6.1899999999999997E-2</v>
      </c>
      <c r="BX266" s="4">
        <v>254</v>
      </c>
      <c r="BY266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6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6" s="4">
        <f>Base[[#This Row],[Prévalence_prod]]*Base[[#This Row],[Présentéisme]]*Base[[#This Row],['[Prod']Jours_ouvrés]]</f>
        <v>0.56134000000000006</v>
      </c>
      <c r="CB266" s="4">
        <f>Base[[#This Row],[Prévalence_prod]]*(1-Base[[#This Row],[Risque]])*Base[[#This Row],[Présentéisme]]*Base[[#This Row],['[Prod']Jours_ouvrés]]</f>
        <v>0.47731812417692393</v>
      </c>
      <c r="CC266" s="4">
        <f>Base[[#This Row],['[Prod']'[Présentéisme']Jours_avant]]-Base[[#This Row],['[Prod']'[Présentéisme']Jours_après]]</f>
        <v>8.4021875823076131E-2</v>
      </c>
      <c r="CD266" s="4">
        <f>Base[[#This Row],['[Prod']'[Présentéisme']Jours_gagnés]]/Base[[#This Row],['[Prod']Jours_ouvrés]]</f>
        <v>3.3079478670502413E-4</v>
      </c>
      <c r="CE266">
        <v>7.5880726467531134E-2</v>
      </c>
      <c r="CF266">
        <v>1.989821358241517E-2</v>
      </c>
      <c r="CG266" s="4">
        <v>11</v>
      </c>
      <c r="CH266" s="4">
        <v>0.99648427619813984</v>
      </c>
      <c r="CI266" s="4">
        <v>0.42377466100567313</v>
      </c>
      <c r="CJ266" s="4">
        <f>IF(Base[[#This Row],[Secteur]]&lt;&gt;"Moyenne",Base[[#This Row],['[Prod']'[Turnover']DMC_initiale]]*(1+Base[[#This Row],['[Prod']'[Turnover']Ecart_accidents]]*Base[[#This Row],['[Prod']Impact_motifs_turnover]]),CJ249*CI249+CJ250*CI250+CJ251*CI251+CJ252*CI252+CJ253*CI253+CJ254*CI254+CJ255*CI255+CJ256*CI256+CJ257*CI257+CJ258*CI258+CJ259*CI259+CJ260*CI260+CJ261*CI261+CJ262*CI262+CJ263*CI263+CJ264*CI264+CJ265*CI265)</f>
        <v>11.218110826552397</v>
      </c>
      <c r="CK266" s="4">
        <f>1/Base[[#This Row],['[Prod']'[Turnover']DMC_initiale]]</f>
        <v>9.0909090909090912E-2</v>
      </c>
      <c r="CL266" s="4">
        <f>1/Base[[#This Row],['[Prod']'[Turnover']DMC_finale]]</f>
        <v>8.9141568973723953E-2</v>
      </c>
    </row>
    <row r="267" spans="2:90" x14ac:dyDescent="0.25">
      <c r="B267" s="4" t="s">
        <v>331</v>
      </c>
      <c r="C267">
        <v>15</v>
      </c>
      <c r="D267" t="s">
        <v>83</v>
      </c>
      <c r="E267" t="s">
        <v>3</v>
      </c>
      <c r="F267" s="3">
        <v>0.14968089896154918</v>
      </c>
      <c r="G267" s="3">
        <v>2.5999999999999999E-2</v>
      </c>
      <c r="H267" s="3">
        <v>2.5999999999999999E-2</v>
      </c>
      <c r="I267" s="3">
        <v>8.5000000000000006E-2</v>
      </c>
      <c r="J267" s="3">
        <v>24.289173334126499</v>
      </c>
      <c r="K267" s="3">
        <v>7.0000000000000007E-2</v>
      </c>
      <c r="L267" s="2">
        <f>Base[[#This Row],[Coût]]*Base[[#This Row],[Part_ménages_dépenses_santé]]</f>
        <v>1.7002421333888551</v>
      </c>
      <c r="M267" s="2">
        <v>0.99784170771638514</v>
      </c>
      <c r="N267" s="6">
        <v>27700000</v>
      </c>
      <c r="O267" s="7">
        <f>Base[[#This Row],[Coût_salarié]]*10^9*Base[[#This Row],[Risque]]*Base[[#This Row],[Prévalence]]*Base[[#This Row],[Part_coûts_salarié]]/Base[[#This Row],[Population_emploi]]</f>
        <v>0.23835945757874455</v>
      </c>
      <c r="P267">
        <v>50</v>
      </c>
      <c r="Q267">
        <v>50</v>
      </c>
      <c r="R267" s="2">
        <v>9.9999999999999978E-2</v>
      </c>
      <c r="S267" s="2">
        <v>0.33340000000000003</v>
      </c>
      <c r="T267" s="4">
        <v>2.5999999999999999E-2</v>
      </c>
      <c r="U267" s="4">
        <f>IF(Bases_annexes!$F$5=0,16.6587111018772,0.77*Bases_annexes!$F$5/(IF(OR(ISBLANK('Données_d''entrée'!$E$44),'Données_d''entrée'!$E$44=0),35,'Données_d''entrée'!$E$44)*52))</f>
        <v>16.658711101877199</v>
      </c>
      <c r="V267" s="4">
        <v>22.173118639135399</v>
      </c>
      <c r="W2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7" s="4">
        <v>234.5</v>
      </c>
      <c r="Y267" s="4">
        <f>(Base[[#This Row],['[Maladies']Coûts_évités_par_salarié]]+Base[[#This Row],['[Travail']Coûts_évités_par_salarié]])/Base[[#This Row],[Budget_santé_salarié]]</f>
        <v>1.0532669466316357E-2</v>
      </c>
      <c r="Z267" s="4">
        <v>0.8</v>
      </c>
      <c r="AA267" s="4">
        <f>Base[[#This Row],[Coût]]*Base[[#This Row],[Part_société_dépenses_santé]]</f>
        <v>19.431338667301201</v>
      </c>
      <c r="AB267" s="4">
        <v>67635124</v>
      </c>
      <c r="AC267" s="4">
        <v>82.297079063317852</v>
      </c>
      <c r="AD267" s="4">
        <v>2.5999999999999999E-2</v>
      </c>
      <c r="AE267" s="4">
        <f>Base[[#This Row],['[SC']Prévalence_travail]]*Base[[#This Row],[Population_emploi]]</f>
        <v>720200</v>
      </c>
      <c r="AF267" s="4">
        <f>Base[[#This Row],[Risque]]*Base[[#This Row],['[SC']Patients_en_emploi]]</f>
        <v>107800.18343210772</v>
      </c>
      <c r="AG267" s="4">
        <v>1257615774.8399999</v>
      </c>
      <c r="AH267" s="4">
        <f>IFERROR(Base[[#This Row],['[SC']Prestations]]/Base[[#This Row],['[SC']Patients_en_emploi]],0)</f>
        <v>1746.203519633435</v>
      </c>
      <c r="AI267" s="4">
        <v>51.7</v>
      </c>
      <c r="AJ2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7" s="4">
        <f>Base[[#This Row],['[SC']'[Travail']Coûts_évités]]/Base[[#This Row],[Population_emploi]]</f>
        <v>6.7957061273023971</v>
      </c>
      <c r="AL267" s="4">
        <f>Base[[#This Row],[Coût_société]]*10^9*Base[[#This Row],[Risque]]*Base[[#This Row],[Prévalence]]*Base[[#This Row],[Part_coûts_salarié]]/Base[[#This Row],[Population_emploi]]</f>
        <v>2.7241080866142231</v>
      </c>
      <c r="AM267" s="4">
        <f>IF(Base[[#This Row],[Pathologie]]&lt;&gt;"Dépendance",0,14909.24243952)</f>
        <v>0</v>
      </c>
      <c r="AN267" s="4">
        <f>IF(Base[[#This Row],[Pathologie]]&lt;&gt;"Dépendance",0,1316000)</f>
        <v>0</v>
      </c>
      <c r="AO267" s="4">
        <f>IF(Base[[#This Row],[Pathologie]]&lt;&gt;"Dépendance",0,Base[[#This Row],['[SC']Coût_personne_dépendante]]*Base[[#This Row],['[SC']Nb_personnes_dépendantes]])</f>
        <v>0</v>
      </c>
      <c r="AP267" s="4">
        <f>IF(Base[[#This Row],[Pathologie]]&lt;&gt;"Dépendance",0,Base[[#This Row],['[SC']Coût_total_dépendance]]/Base[[#This Row],[Population_totale]])</f>
        <v>0</v>
      </c>
      <c r="AQ267" s="4">
        <f>IF(Base[[#This Row],[Pathologie]]&lt;&gt;"Dépendance",0,4.5)</f>
        <v>0</v>
      </c>
      <c r="AR267" s="4">
        <v>0.83987615528424797</v>
      </c>
      <c r="AS267" s="4">
        <f>Base[[#This Row],[Espérance_vie]]+Base[[#This Row],['[SC']Hausse_esp_de_vie]]-Base[[#This Row],['[SC']Durée_moyenne_dépendance_avt]]+Base[[#This Row],[Risque]]</f>
        <v>83.286636117563646</v>
      </c>
      <c r="AT2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7" s="4">
        <v>62.9</v>
      </c>
      <c r="AW267" s="4">
        <f t="shared" si="0"/>
        <v>336905600000</v>
      </c>
      <c r="AX267" s="4">
        <v>15049171</v>
      </c>
      <c r="AY267" s="4">
        <f>Base[[#This Row],['[SC']Budget_total_retraites]]/Base[[#This Row],['[SC']Nombre_de_retraités]]</f>
        <v>22386.987296509556</v>
      </c>
      <c r="AZ267" s="4">
        <f>Base[[#This Row],['[SC']Budget_par_retraité]]*Base[[#This Row],['[SC']Nb_personnes_dépendantes]]</f>
        <v>0</v>
      </c>
      <c r="BA267" s="4">
        <f>Base[[#This Row],['[SC']'[Dépendance']Coût_retraite_personnes_dépendantes]]/Base[[#This Row],[Population_totale]]</f>
        <v>0</v>
      </c>
      <c r="BB2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7" s="4">
        <f>Base[[#This Row],['[SC']'[Dépendance']Gains]]-Base[[#This Row],['[SC']'[Dépendance']Coûts]]</f>
        <v>0</v>
      </c>
      <c r="BD267" s="4">
        <f>IF(Base[[#This Row],[Pathologie]]&lt;&gt;"Mort prématurée",0,Base[[#This Row],[Risque]]*Base[[#This Row],[Prévalence]]*Base[[#This Row],[Population_totale]])</f>
        <v>0</v>
      </c>
      <c r="BE267" s="4">
        <v>52.74</v>
      </c>
      <c r="BF267" s="4">
        <f>Base[[#This Row],['[SC']Âge_moyen_retraite]]-Base[[#This Row],['[SC']'[Mort_prématurée']Âge_moyen_mort précoce]]</f>
        <v>10.159999999999997</v>
      </c>
      <c r="BG267" s="4">
        <f>Base[[#This Row],[Espérance_vie]]+Base[[#This Row],['[SC']Hausse_esp_de_vie]]-Base[[#This Row],['[SC']Âge_moyen_retraite]]</f>
        <v>20.236955218602098</v>
      </c>
      <c r="BH267" s="4">
        <v>106583.42676924677</v>
      </c>
      <c r="BI267" s="4">
        <v>97601.789429271477</v>
      </c>
      <c r="BJ267" s="4">
        <v>302038.31496633729</v>
      </c>
      <c r="BK267" s="4">
        <v>117293.58934859755</v>
      </c>
      <c r="BL267" s="4">
        <v>1523999.9999999995</v>
      </c>
      <c r="BM2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7" s="4">
        <v>294804.96027377353</v>
      </c>
      <c r="BO2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7" s="4">
        <f>(Base[[#This Row],['[SC']'[Mort_prématurée']Gains]]-Base[[#This Row],['[SC']'[Mort_prématurée']Coûts]])/Base[[#This Row],[Population_totale]]</f>
        <v>0</v>
      </c>
      <c r="BQ267" s="4">
        <f>IF(Base[[#This Row],[Pathologie]]&lt;&gt;"Mort prématurée",0,Base[[#This Row],[Risque]])</f>
        <v>0</v>
      </c>
      <c r="BR267" s="4">
        <v>2680</v>
      </c>
      <c r="BS2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7" s="4">
        <f>Base[[#This Row],[Prévalence_prod]]*(1-Base[[#This Row],[Risque]])*Base[[#This Row],[Durée_arrêt]]*Base[[#This Row],[Population_emploi]]</f>
        <v>13578813.787344631</v>
      </c>
      <c r="BV267" s="4">
        <f>Base[[#This Row],['[Prod']'[Absentéisme']Total_jours_absence_avant]]-Base[[#This Row],['[Prod']'[Absentéisme']Total_jours_absence_après]]</f>
        <v>2390266.2565606833</v>
      </c>
      <c r="BW267" s="4">
        <f>IF(AND(Base[[#This Row],[Pathologie]]&lt;&gt;"Dépendance",Base[[#This Row],[Pathologie]]&lt;&gt;"Mort prématurée",Base[[#This Row],[Pathologie]]&lt;&gt;"Migraine"),0.0619,0)</f>
        <v>6.1899999999999997E-2</v>
      </c>
      <c r="BX267" s="4">
        <v>254</v>
      </c>
      <c r="BY26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7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7" s="4">
        <f>Base[[#This Row],[Prévalence_prod]]*Base[[#This Row],[Présentéisme]]*Base[[#This Row],['[Prod']Jours_ouvrés]]</f>
        <v>0.56134000000000006</v>
      </c>
      <c r="CB267" s="4">
        <f>Base[[#This Row],[Prévalence_prod]]*(1-Base[[#This Row],[Risque]])*Base[[#This Row],[Présentéisme]]*Base[[#This Row],['[Prod']Jours_ouvrés]]</f>
        <v>0.47731812417692393</v>
      </c>
      <c r="CC267" s="4">
        <f>Base[[#This Row],['[Prod']'[Présentéisme']Jours_avant]]-Base[[#This Row],['[Prod']'[Présentéisme']Jours_après]]</f>
        <v>8.4021875823076131E-2</v>
      </c>
      <c r="CD267" s="4">
        <f>Base[[#This Row],['[Prod']'[Présentéisme']Jours_gagnés]]/Base[[#This Row],['[Prod']Jours_ouvrés]]</f>
        <v>3.3079478670502413E-4</v>
      </c>
      <c r="CE267">
        <v>7.5880726467531134E-2</v>
      </c>
      <c r="CF267">
        <v>1.989821358241517E-2</v>
      </c>
      <c r="CG267" s="4">
        <v>11</v>
      </c>
      <c r="CH267" s="4">
        <v>1.1593596509901765</v>
      </c>
      <c r="CI267" s="4">
        <v>4.0741311947357597E-2</v>
      </c>
      <c r="CJ267" s="4">
        <f>IF(Base[[#This Row],[Secteur]]&lt;&gt;"Moyenne",Base[[#This Row],['[Prod']'[Turnover']DMC_initiale]]*(1+Base[[#This Row],['[Prod']'[Turnover']Ecart_accidents]]*Base[[#This Row],['[Prod']Impact_motifs_turnover]]),CJ250*CI250+CJ251*CI251+CJ252*CI252+CJ253*CI253+CJ254*CI254+CJ255*CI255+CJ256*CI256+CJ257*CI257+CJ258*CI258+CJ259*CI259+CJ260*CI260+CJ261*CI261+CJ262*CI262+CJ263*CI263+CJ264*CI264+CJ265*CI265+CJ266*CI266)</f>
        <v>11.253761045496606</v>
      </c>
      <c r="CK267" s="4">
        <f>1/Base[[#This Row],['[Prod']'[Turnover']DMC_initiale]]</f>
        <v>9.0909090909090912E-2</v>
      </c>
      <c r="CL267" s="4">
        <f>1/Base[[#This Row],['[Prod']'[Turnover']DMC_finale]]</f>
        <v>8.8859181917690336E-2</v>
      </c>
    </row>
    <row r="268" spans="2:90" x14ac:dyDescent="0.25">
      <c r="B268" s="4" t="s">
        <v>332</v>
      </c>
      <c r="C268">
        <v>15</v>
      </c>
      <c r="D268" t="s">
        <v>83</v>
      </c>
      <c r="E268" t="s">
        <v>3</v>
      </c>
      <c r="F268" s="3">
        <v>0.14968089896154918</v>
      </c>
      <c r="G268" s="3">
        <v>2.5999999999999999E-2</v>
      </c>
      <c r="H268" s="3">
        <v>2.5999999999999999E-2</v>
      </c>
      <c r="I268" s="3">
        <v>8.5000000000000006E-2</v>
      </c>
      <c r="J268" s="3">
        <v>24.289173334126499</v>
      </c>
      <c r="K268" s="3">
        <v>7.0000000000000007E-2</v>
      </c>
      <c r="L268" s="2">
        <f>Base[[#This Row],[Coût]]*Base[[#This Row],[Part_ménages_dépenses_santé]]</f>
        <v>1.7002421333888551</v>
      </c>
      <c r="M268" s="2">
        <v>0.99784170771638514</v>
      </c>
      <c r="N268" s="6">
        <v>27700000</v>
      </c>
      <c r="O268" s="7">
        <f>Base[[#This Row],[Coût_salarié]]*10^9*Base[[#This Row],[Risque]]*Base[[#This Row],[Prévalence]]*Base[[#This Row],[Part_coûts_salarié]]/Base[[#This Row],[Population_emploi]]</f>
        <v>0.23835945757874455</v>
      </c>
      <c r="P268">
        <v>50</v>
      </c>
      <c r="Q268">
        <v>50</v>
      </c>
      <c r="R268" s="2">
        <v>9.9999999999999978E-2</v>
      </c>
      <c r="S268" s="2">
        <v>0.33340000000000003</v>
      </c>
      <c r="T268" s="4">
        <v>2.5999999999999999E-2</v>
      </c>
      <c r="U268" s="4">
        <f>IF(Bases_annexes!$F$5=0,16.6587111018772,0.77*Bases_annexes!$F$5/(IF(OR(ISBLANK('Données_d''entrée'!$E$44),'Données_d''entrée'!$E$44=0),35,'Données_d''entrée'!$E$44)*52))</f>
        <v>16.658711101877199</v>
      </c>
      <c r="V268" s="4">
        <v>22.173118639135399</v>
      </c>
      <c r="W2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2.2315515322724409</v>
      </c>
      <c r="X268" s="4">
        <v>234.5</v>
      </c>
      <c r="Y268" s="4">
        <f>(Base[[#This Row],['[Maladies']Coûts_évités_par_salarié]]+Base[[#This Row],['[Travail']Coûts_évités_par_salarié]])/Base[[#This Row],[Budget_santé_salarié]]</f>
        <v>1.0532669466316357E-2</v>
      </c>
      <c r="Z268" s="4">
        <v>0.8</v>
      </c>
      <c r="AA268" s="4">
        <f>Base[[#This Row],[Coût]]*Base[[#This Row],[Part_société_dépenses_santé]]</f>
        <v>19.431338667301201</v>
      </c>
      <c r="AB268" s="4">
        <v>67635124</v>
      </c>
      <c r="AC268" s="4">
        <v>82.297079063317852</v>
      </c>
      <c r="AD268" s="4">
        <v>2.5999999999999999E-2</v>
      </c>
      <c r="AE268" s="4">
        <f>Base[[#This Row],['[SC']Prévalence_travail]]*Base[[#This Row],[Population_emploi]]</f>
        <v>720200</v>
      </c>
      <c r="AF268" s="4">
        <f>Base[[#This Row],[Risque]]*Base[[#This Row],['[SC']Patients_en_emploi]]</f>
        <v>107800.18343210772</v>
      </c>
      <c r="AG268" s="4">
        <v>1257615774.8399999</v>
      </c>
      <c r="AH268" s="4">
        <f>IFERROR(Base[[#This Row],['[SC']Prestations]]/Base[[#This Row],['[SC']Patients_en_emploi]],0)</f>
        <v>1746.203519633435</v>
      </c>
      <c r="AI268" s="4">
        <v>51.7</v>
      </c>
      <c r="AJ2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188241059.7262764</v>
      </c>
      <c r="AK268" s="4">
        <f>Base[[#This Row],['[SC']'[Travail']Coûts_évités]]/Base[[#This Row],[Population_emploi]]</f>
        <v>6.7957061273023971</v>
      </c>
      <c r="AL268" s="4">
        <f>Base[[#This Row],[Coût_société]]*10^9*Base[[#This Row],[Risque]]*Base[[#This Row],[Prévalence]]*Base[[#This Row],[Part_coûts_salarié]]/Base[[#This Row],[Population_emploi]]</f>
        <v>2.7241080866142231</v>
      </c>
      <c r="AM268" s="4">
        <f>IF(Base[[#This Row],[Pathologie]]&lt;&gt;"Dépendance",0,14909.24243952)</f>
        <v>0</v>
      </c>
      <c r="AN268" s="4">
        <f>IF(Base[[#This Row],[Pathologie]]&lt;&gt;"Dépendance",0,1316000)</f>
        <v>0</v>
      </c>
      <c r="AO268" s="4">
        <f>IF(Base[[#This Row],[Pathologie]]&lt;&gt;"Dépendance",0,Base[[#This Row],['[SC']Coût_personne_dépendante]]*Base[[#This Row],['[SC']Nb_personnes_dépendantes]])</f>
        <v>0</v>
      </c>
      <c r="AP268" s="4">
        <f>IF(Base[[#This Row],[Pathologie]]&lt;&gt;"Dépendance",0,Base[[#This Row],['[SC']Coût_total_dépendance]]/Base[[#This Row],[Population_totale]])</f>
        <v>0</v>
      </c>
      <c r="AQ268" s="4">
        <f>IF(Base[[#This Row],[Pathologie]]&lt;&gt;"Dépendance",0,4.5)</f>
        <v>0</v>
      </c>
      <c r="AR268" s="4">
        <v>0.83987615528424797</v>
      </c>
      <c r="AS268" s="4">
        <f>Base[[#This Row],[Espérance_vie]]+Base[[#This Row],['[SC']Hausse_esp_de_vie]]-Base[[#This Row],['[SC']Durée_moyenne_dépendance_avt]]+Base[[#This Row],[Risque]]</f>
        <v>83.286636117563646</v>
      </c>
      <c r="AT2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8" s="4">
        <v>62.9</v>
      </c>
      <c r="AW268" s="4">
        <f t="shared" si="0"/>
        <v>336905600000</v>
      </c>
      <c r="AX268" s="4">
        <v>15049171</v>
      </c>
      <c r="AY268" s="4">
        <f>Base[[#This Row],['[SC']Budget_total_retraites]]/Base[[#This Row],['[SC']Nombre_de_retraités]]</f>
        <v>22386.987296509556</v>
      </c>
      <c r="AZ268" s="4">
        <f>Base[[#This Row],['[SC']Budget_par_retraité]]*Base[[#This Row],['[SC']Nb_personnes_dépendantes]]</f>
        <v>0</v>
      </c>
      <c r="BA268" s="4">
        <f>Base[[#This Row],['[SC']'[Dépendance']Coût_retraite_personnes_dépendantes]]/Base[[#This Row],[Population_totale]]</f>
        <v>0</v>
      </c>
      <c r="BB2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8" s="4">
        <f>Base[[#This Row],['[SC']'[Dépendance']Gains]]-Base[[#This Row],['[SC']'[Dépendance']Coûts]]</f>
        <v>0</v>
      </c>
      <c r="BD268" s="4">
        <f>IF(Base[[#This Row],[Pathologie]]&lt;&gt;"Mort prématurée",0,Base[[#This Row],[Risque]]*Base[[#This Row],[Prévalence]]*Base[[#This Row],[Population_totale]])</f>
        <v>0</v>
      </c>
      <c r="BE268" s="4">
        <v>52.74</v>
      </c>
      <c r="BF268" s="4">
        <f>Base[[#This Row],['[SC']Âge_moyen_retraite]]-Base[[#This Row],['[SC']'[Mort_prématurée']Âge_moyen_mort précoce]]</f>
        <v>10.159999999999997</v>
      </c>
      <c r="BG268" s="4">
        <f>Base[[#This Row],[Espérance_vie]]+Base[[#This Row],['[SC']Hausse_esp_de_vie]]-Base[[#This Row],['[SC']Âge_moyen_retraite]]</f>
        <v>20.236955218602098</v>
      </c>
      <c r="BH268" s="4">
        <v>106583.42676924677</v>
      </c>
      <c r="BI268" s="4">
        <v>97601.789429271477</v>
      </c>
      <c r="BJ268" s="4">
        <v>302038.31496633729</v>
      </c>
      <c r="BK268" s="4">
        <v>117293.58934859755</v>
      </c>
      <c r="BL268" s="4">
        <v>1523999.9999999995</v>
      </c>
      <c r="BM2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8" s="4">
        <v>294804.96027377353</v>
      </c>
      <c r="BO2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8" s="4">
        <f>(Base[[#This Row],['[SC']'[Mort_prématurée']Gains]]-Base[[#This Row],['[SC']'[Mort_prématurée']Coûts]])/Base[[#This Row],[Population_totale]]</f>
        <v>0</v>
      </c>
      <c r="BQ268" s="4">
        <f>IF(Base[[#This Row],[Pathologie]]&lt;&gt;"Mort prématurée",0,Base[[#This Row],[Risque]])</f>
        <v>0</v>
      </c>
      <c r="BR268" s="4">
        <v>2680</v>
      </c>
      <c r="BS2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3.552169482804709E-3</v>
      </c>
      <c r="BT2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268" s="4">
        <f>Base[[#This Row],[Prévalence_prod]]*(1-Base[[#This Row],[Risque]])*Base[[#This Row],[Durée_arrêt]]*Base[[#This Row],[Population_emploi]]</f>
        <v>13578813.787344631</v>
      </c>
      <c r="BV268" s="4">
        <f>Base[[#This Row],['[Prod']'[Absentéisme']Total_jours_absence_avant]]-Base[[#This Row],['[Prod']'[Absentéisme']Total_jours_absence_après]]</f>
        <v>2390266.2565606833</v>
      </c>
      <c r="BW268" s="4">
        <f>IF(AND(Base[[#This Row],[Pathologie]]&lt;&gt;"Dépendance",Base[[#This Row],[Pathologie]]&lt;&gt;"Mort prématurée",Base[[#This Row],[Pathologie]]&lt;&gt;"Migraine"),0.0619,0)</f>
        <v>6.1899999999999997E-2</v>
      </c>
      <c r="BX268" s="4">
        <v>254</v>
      </c>
      <c r="BY26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268" s="4">
        <f>(Base[[#This Row],['[Prod']'[Absentéisme']Jours_théoriques]]-Base[[#This Row],['[Prod']'[Absentéisme']Total_jours_absence_évités]])/(Base[[#This Row],[Population_emploi]]*Base[[#This Row],['[Prod']Jours_ouvrés]])</f>
        <v>4.3439046293712235E-3</v>
      </c>
      <c r="CA268" s="4">
        <f>Base[[#This Row],[Prévalence_prod]]*Base[[#This Row],[Présentéisme]]*Base[[#This Row],['[Prod']Jours_ouvrés]]</f>
        <v>0.56134000000000006</v>
      </c>
      <c r="CB268" s="4">
        <f>Base[[#This Row],[Prévalence_prod]]*(1-Base[[#This Row],[Risque]])*Base[[#This Row],[Présentéisme]]*Base[[#This Row],['[Prod']Jours_ouvrés]]</f>
        <v>0.47731812417692393</v>
      </c>
      <c r="CC268" s="4">
        <f>Base[[#This Row],['[Prod']'[Présentéisme']Jours_avant]]-Base[[#This Row],['[Prod']'[Présentéisme']Jours_après]]</f>
        <v>8.4021875823076131E-2</v>
      </c>
      <c r="CD268" s="4">
        <f>Base[[#This Row],['[Prod']'[Présentéisme']Jours_gagnés]]/Base[[#This Row],['[Prod']Jours_ouvrés]]</f>
        <v>3.3079478670502413E-4</v>
      </c>
      <c r="CE268">
        <v>7.5880726467531134E-2</v>
      </c>
      <c r="CF268">
        <v>1.989821358241517E-2</v>
      </c>
      <c r="CG268" s="4">
        <v>11</v>
      </c>
      <c r="CH268" s="4">
        <v>0.85076983926913452</v>
      </c>
      <c r="CI268" s="4">
        <v>0</v>
      </c>
      <c r="CJ268" s="4">
        <f>IF(Base[[#This Row],[Secteur]]&lt;&gt;"Moyenne",Base[[#This Row],['[Prod']'[Turnover']DMC_initiale]]*(1+Base[[#This Row],['[Prod']'[Turnover']Ecart_accidents]]*Base[[#This Row],['[Prod']Impact_motifs_turnover]]),CJ251*CI251+CJ252*CI252+CJ253*CI253+CJ254*CI254+CJ255*CI255+CJ256*CI256+CJ257*CI257+CJ258*CI258+CJ259*CI259+CJ260*CI260+CJ261*CI261+CJ262*CI262+CJ263*CI263+CJ264*CI264+CJ265*CI265+CJ266*CI266+CJ267*CI267)</f>
        <v>11.186216799683796</v>
      </c>
      <c r="CK268" s="4">
        <f>1/Base[[#This Row],['[Prod']'[Turnover']DMC_initiale]]</f>
        <v>9.0909090909090912E-2</v>
      </c>
      <c r="CL268" s="4">
        <f>1/Base[[#This Row],['[Prod']'[Turnover']DMC_finale]]</f>
        <v>8.9395728502979416E-2</v>
      </c>
    </row>
    <row r="269" spans="2:90" x14ac:dyDescent="0.25">
      <c r="B269" s="4" t="s">
        <v>315</v>
      </c>
      <c r="C269">
        <v>15</v>
      </c>
      <c r="D269" t="s">
        <v>83</v>
      </c>
      <c r="E269" t="s">
        <v>4</v>
      </c>
      <c r="F269" s="3">
        <v>0.48230511887610295</v>
      </c>
      <c r="G269" s="3">
        <v>3.6700000000000003E-2</v>
      </c>
      <c r="H269" s="3">
        <v>3.6700000000000003E-2</v>
      </c>
      <c r="I269" s="3">
        <v>0.114</v>
      </c>
      <c r="J269" s="3">
        <v>10.311441509770701</v>
      </c>
      <c r="K269" s="3">
        <v>7.0000000000000007E-2</v>
      </c>
      <c r="L269" s="2">
        <f>Base[[#This Row],[Coût]]*Base[[#This Row],[Part_ménages_dépenses_santé]]</f>
        <v>0.72180090568394906</v>
      </c>
      <c r="M269" s="2">
        <v>0.99731334462301791</v>
      </c>
      <c r="N269" s="6">
        <v>27700000</v>
      </c>
      <c r="O269" s="7">
        <f>Base[[#This Row],[Coût_salarié]]*10^9*Base[[#This Row],[Risque]]*Base[[#This Row],[Prévalence]]*Base[[#This Row],[Part_coûts_salarié]]/Base[[#This Row],[Population_emploi]]</f>
        <v>0.45999935137384956</v>
      </c>
      <c r="P269">
        <v>50</v>
      </c>
      <c r="Q269">
        <v>50</v>
      </c>
      <c r="R269" s="2">
        <v>9.9999999999999978E-2</v>
      </c>
      <c r="S269" s="2">
        <v>0.33340000000000003</v>
      </c>
      <c r="T269" s="4">
        <v>3.6700000000000003E-2</v>
      </c>
      <c r="U269" s="4">
        <f>IF(Bases_annexes!$F$5=0,16.6587111018772,0.77*Bases_annexes!$F$5/(IF(OR(ISBLANK('Données_d''entrée'!$E$44),'Données_d''entrée'!$E$44=0),35,'Données_d''entrée'!$E$44)*52))</f>
        <v>16.658711101877199</v>
      </c>
      <c r="V269" s="4">
        <v>10.42033853287208</v>
      </c>
      <c r="W2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69" s="4">
        <v>234.5</v>
      </c>
      <c r="Y269" s="4">
        <f>(Base[[#This Row],['[Maladies']Coûts_évités_par_salarié]]+Base[[#This Row],['[Travail']Coûts_évités_par_salarié]])/Base[[#This Row],[Budget_santé_salarié]]</f>
        <v>3.4899239407378845E-2</v>
      </c>
      <c r="Z269" s="4">
        <v>0.8</v>
      </c>
      <c r="AA269" s="4">
        <f>Base[[#This Row],[Coût]]*Base[[#This Row],[Part_société_dépenses_santé]]</f>
        <v>8.2491532078165601</v>
      </c>
      <c r="AB269" s="4">
        <v>67635124</v>
      </c>
      <c r="AC269" s="4">
        <v>82.297079063317852</v>
      </c>
      <c r="AD269" s="4">
        <v>3.6700000000000003E-2</v>
      </c>
      <c r="AE269" s="4">
        <f>Base[[#This Row],['[SC']Prévalence_travail]]*Base[[#This Row],[Population_emploi]]</f>
        <v>1016590.0000000001</v>
      </c>
      <c r="AF269" s="4">
        <f>Base[[#This Row],[Risque]]*Base[[#This Row],['[SC']Patients_en_emploi]]</f>
        <v>490306.56079825753</v>
      </c>
      <c r="AG269" s="4">
        <v>756671404.20000005</v>
      </c>
      <c r="AH269" s="4">
        <f>IFERROR(Base[[#This Row],['[SC']Prestations]]/Base[[#This Row],['[SC']Patients_en_emploi]],0)</f>
        <v>744.32308423258144</v>
      </c>
      <c r="AI269" s="4">
        <v>51.7</v>
      </c>
      <c r="AJ2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69" s="4">
        <f>Base[[#This Row],['[SC']'[Travail']Coûts_évités]]/Base[[#This Row],[Population_emploi]]</f>
        <v>13.174963593964936</v>
      </c>
      <c r="AL269" s="4">
        <f>Base[[#This Row],[Coût_société]]*10^9*Base[[#This Row],[Risque]]*Base[[#This Row],[Prévalence]]*Base[[#This Row],[Part_coûts_salarié]]/Base[[#This Row],[Population_emploi]]</f>
        <v>5.2571354442725662</v>
      </c>
      <c r="AM269" s="4">
        <f>IF(Base[[#This Row],[Pathologie]]&lt;&gt;"Dépendance",0,14909.24243952)</f>
        <v>0</v>
      </c>
      <c r="AN269" s="4">
        <f>IF(Base[[#This Row],[Pathologie]]&lt;&gt;"Dépendance",0,1316000)</f>
        <v>0</v>
      </c>
      <c r="AO269" s="4">
        <f>IF(Base[[#This Row],[Pathologie]]&lt;&gt;"Dépendance",0,Base[[#This Row],['[SC']Coût_personne_dépendante]]*Base[[#This Row],['[SC']Nb_personnes_dépendantes]])</f>
        <v>0</v>
      </c>
      <c r="AP269" s="4">
        <f>IF(Base[[#This Row],[Pathologie]]&lt;&gt;"Dépendance",0,Base[[#This Row],['[SC']Coût_total_dépendance]]/Base[[#This Row],[Population_totale]])</f>
        <v>0</v>
      </c>
      <c r="AQ269" s="4">
        <f>IF(Base[[#This Row],[Pathologie]]&lt;&gt;"Dépendance",0,4.5)</f>
        <v>0</v>
      </c>
      <c r="AR269" s="4">
        <v>0.83987615528424797</v>
      </c>
      <c r="AS269" s="4">
        <f>Base[[#This Row],[Espérance_vie]]+Base[[#This Row],['[SC']Hausse_esp_de_vie]]-Base[[#This Row],['[SC']Durée_moyenne_dépendance_avt]]+Base[[#This Row],[Risque]]</f>
        <v>83.619260337478195</v>
      </c>
      <c r="AT2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69" s="4">
        <v>62.9</v>
      </c>
      <c r="AW269" s="4">
        <f t="shared" si="0"/>
        <v>336905600000</v>
      </c>
      <c r="AX269" s="4">
        <v>15049171</v>
      </c>
      <c r="AY269" s="4">
        <f>Base[[#This Row],['[SC']Budget_total_retraites]]/Base[[#This Row],['[SC']Nombre_de_retraités]]</f>
        <v>22386.987296509556</v>
      </c>
      <c r="AZ269" s="4">
        <f>Base[[#This Row],['[SC']Budget_par_retraité]]*Base[[#This Row],['[SC']Nb_personnes_dépendantes]]</f>
        <v>0</v>
      </c>
      <c r="BA269" s="4">
        <f>Base[[#This Row],['[SC']'[Dépendance']Coût_retraite_personnes_dépendantes]]/Base[[#This Row],[Population_totale]]</f>
        <v>0</v>
      </c>
      <c r="BB2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69" s="4">
        <f>Base[[#This Row],['[SC']'[Dépendance']Gains]]-Base[[#This Row],['[SC']'[Dépendance']Coûts]]</f>
        <v>0</v>
      </c>
      <c r="BD269" s="4">
        <f>IF(Base[[#This Row],[Pathologie]]&lt;&gt;"Mort prématurée",0,Base[[#This Row],[Risque]]*Base[[#This Row],[Prévalence]]*Base[[#This Row],[Population_totale]])</f>
        <v>0</v>
      </c>
      <c r="BE269" s="4">
        <v>52.74</v>
      </c>
      <c r="BF269" s="4">
        <f>Base[[#This Row],['[SC']Âge_moyen_retraite]]-Base[[#This Row],['[SC']'[Mort_prématurée']Âge_moyen_mort précoce]]</f>
        <v>10.159999999999997</v>
      </c>
      <c r="BG269" s="4">
        <f>Base[[#This Row],[Espérance_vie]]+Base[[#This Row],['[SC']Hausse_esp_de_vie]]-Base[[#This Row],['[SC']Âge_moyen_retraite]]</f>
        <v>20.236955218602098</v>
      </c>
      <c r="BH269" s="4">
        <v>106583.42676924677</v>
      </c>
      <c r="BI269" s="4">
        <v>97601.789429271477</v>
      </c>
      <c r="BJ269" s="4">
        <v>302038.31496633729</v>
      </c>
      <c r="BK269" s="4">
        <v>117293.58934859755</v>
      </c>
      <c r="BL269" s="4">
        <v>1523999.9999999995</v>
      </c>
      <c r="BM2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69" s="4">
        <v>294804.96027377353</v>
      </c>
      <c r="BO2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69" s="4">
        <f>(Base[[#This Row],['[SC']'[Mort_prématurée']Gains]]-Base[[#This Row],['[SC']'[Mort_prématurée']Coûts]])/Base[[#This Row],[Population_totale]]</f>
        <v>0</v>
      </c>
      <c r="BQ269" s="4">
        <f>IF(Base[[#This Row],[Pathologie]]&lt;&gt;"Mort prématurée",0,Base[[#This Row],[Risque]])</f>
        <v>0</v>
      </c>
      <c r="BR269" s="4">
        <v>2680</v>
      </c>
      <c r="BS2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69" s="4">
        <f>Base[[#This Row],[Prévalence_prod]]*(1-Base[[#This Row],[Risque]])*Base[[#This Row],[Durée_arrêt]]*Base[[#This Row],[Population_emploi]]</f>
        <v>5484051.6007263586</v>
      </c>
      <c r="BV269" s="4">
        <f>Base[[#This Row],['[Prod']'[Absentéisme']Total_jours_absence_avant]]-Base[[#This Row],['[Prod']'[Absentéisme']Total_jours_absence_après]]</f>
        <v>5109160.3484060708</v>
      </c>
      <c r="BW269" s="4">
        <f>IF(AND(Base[[#This Row],[Pathologie]]&lt;&gt;"Dépendance",Base[[#This Row],[Pathologie]]&lt;&gt;"Mort prématurée",Base[[#This Row],[Pathologie]]&lt;&gt;"Migraine"),0.0619,0)</f>
        <v>6.1899999999999997E-2</v>
      </c>
      <c r="BX269" s="4">
        <v>254</v>
      </c>
      <c r="BY26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69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69" s="4">
        <f>Base[[#This Row],[Prévalence_prod]]*Base[[#This Row],[Présentéisme]]*Base[[#This Row],['[Prod']Jours_ouvrés]]</f>
        <v>1.0626852000000002</v>
      </c>
      <c r="CB269" s="4">
        <f>Base[[#This Row],[Prévalence_prod]]*(1-Base[[#This Row],[Risque]])*Base[[#This Row],[Présentéisme]]*Base[[#This Row],['[Prod']Jours_ouvrés]]</f>
        <v>0.5501466882861249</v>
      </c>
      <c r="CC269" s="4">
        <f>Base[[#This Row],['[Prod']'[Présentéisme']Jours_avant]]-Base[[#This Row],['[Prod']'[Présentéisme']Jours_après]]</f>
        <v>0.51253851171387532</v>
      </c>
      <c r="CD269" s="4">
        <f>Base[[#This Row],['[Prod']'[Présentéisme']Jours_gagnés]]/Base[[#This Row],['[Prod']Jours_ouvrés]]</f>
        <v>2.01786815635384E-3</v>
      </c>
      <c r="CE269">
        <v>7.5880726467531134E-2</v>
      </c>
      <c r="CF269">
        <v>1.989821358241517E-2</v>
      </c>
      <c r="CG269" s="4">
        <v>11</v>
      </c>
      <c r="CH269" s="4">
        <v>1.3966184516047948</v>
      </c>
      <c r="CI269" s="4">
        <v>1.4392894727292521E-2</v>
      </c>
      <c r="CJ269" s="4">
        <f>IF(Base[[#This Row],[Secteur]]&lt;&gt;"Moyenne",Base[[#This Row],['[Prod']'[Turnover']DMC_initiale]]*(1+Base[[#This Row],['[Prod']'[Turnover']Ecart_accidents]]*Base[[#This Row],['[Prod']Impact_motifs_turnover]]),CJ252*CI252+CJ253*CI253+CJ254*CI254+CJ255*CI255+CJ256*CI256+CJ257*CI257+CJ258*CI258+CJ259*CI259+CJ260*CI260+CJ261*CI261+CJ262*CI262+CJ263*CI263+CJ264*CI264+CJ265*CI265+CJ266*CI266+CJ267*CI267+CJ268*CI268)</f>
        <v>11.305692334674916</v>
      </c>
      <c r="CK269" s="4">
        <f>1/Base[[#This Row],['[Prod']'[Turnover']DMC_initiale]]</f>
        <v>9.0909090909090912E-2</v>
      </c>
      <c r="CL269" s="4">
        <f>1/Base[[#This Row],['[Prod']'[Turnover']DMC_finale]]</f>
        <v>8.8451018336397527E-2</v>
      </c>
    </row>
    <row r="270" spans="2:90" x14ac:dyDescent="0.25">
      <c r="B270" s="4" t="s">
        <v>316</v>
      </c>
      <c r="C270">
        <v>15</v>
      </c>
      <c r="D270" t="s">
        <v>83</v>
      </c>
      <c r="E270" t="s">
        <v>4</v>
      </c>
      <c r="F270" s="3">
        <v>0.48230511887610295</v>
      </c>
      <c r="G270" s="3">
        <v>3.6700000000000003E-2</v>
      </c>
      <c r="H270" s="3">
        <v>3.6700000000000003E-2</v>
      </c>
      <c r="I270" s="3">
        <v>0.114</v>
      </c>
      <c r="J270" s="3">
        <v>10.311441509770701</v>
      </c>
      <c r="K270" s="3">
        <v>7.0000000000000007E-2</v>
      </c>
      <c r="L270" s="2">
        <f>Base[[#This Row],[Coût]]*Base[[#This Row],[Part_ménages_dépenses_santé]]</f>
        <v>0.72180090568394906</v>
      </c>
      <c r="M270" s="2">
        <v>0.99731334462301791</v>
      </c>
      <c r="N270" s="6">
        <v>27700000</v>
      </c>
      <c r="O270" s="7">
        <f>Base[[#This Row],[Coût_salarié]]*10^9*Base[[#This Row],[Risque]]*Base[[#This Row],[Prévalence]]*Base[[#This Row],[Part_coûts_salarié]]/Base[[#This Row],[Population_emploi]]</f>
        <v>0.45999935137384956</v>
      </c>
      <c r="P270">
        <v>50</v>
      </c>
      <c r="Q270">
        <v>50</v>
      </c>
      <c r="R270" s="2">
        <v>9.9999999999999978E-2</v>
      </c>
      <c r="S270" s="2">
        <v>0.33340000000000003</v>
      </c>
      <c r="T270" s="4">
        <v>3.6700000000000003E-2</v>
      </c>
      <c r="U270" s="4">
        <f>IF(Bases_annexes!$F$5=0,16.6587111018772,0.77*Bases_annexes!$F$5/(IF(OR(ISBLANK('Données_d''entrée'!$E$44),'Données_d''entrée'!$E$44=0),35,'Données_d''entrée'!$E$44)*52))</f>
        <v>16.658711101877199</v>
      </c>
      <c r="V270" s="4">
        <v>10.42033853287208</v>
      </c>
      <c r="W2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0" s="4">
        <v>234.5</v>
      </c>
      <c r="Y270" s="4">
        <f>(Base[[#This Row],['[Maladies']Coûts_évités_par_salarié]]+Base[[#This Row],['[Travail']Coûts_évités_par_salarié]])/Base[[#This Row],[Budget_santé_salarié]]</f>
        <v>3.4899239407378845E-2</v>
      </c>
      <c r="Z270" s="4">
        <v>0.8</v>
      </c>
      <c r="AA270" s="4">
        <f>Base[[#This Row],[Coût]]*Base[[#This Row],[Part_société_dépenses_santé]]</f>
        <v>8.2491532078165601</v>
      </c>
      <c r="AB270" s="4">
        <v>67635124</v>
      </c>
      <c r="AC270" s="4">
        <v>82.297079063317852</v>
      </c>
      <c r="AD270" s="4">
        <v>3.6700000000000003E-2</v>
      </c>
      <c r="AE270" s="4">
        <f>Base[[#This Row],['[SC']Prévalence_travail]]*Base[[#This Row],[Population_emploi]]</f>
        <v>1016590.0000000001</v>
      </c>
      <c r="AF270" s="4">
        <f>Base[[#This Row],[Risque]]*Base[[#This Row],['[SC']Patients_en_emploi]]</f>
        <v>490306.56079825753</v>
      </c>
      <c r="AG270" s="4">
        <v>756671404.20000005</v>
      </c>
      <c r="AH270" s="4">
        <f>IFERROR(Base[[#This Row],['[SC']Prestations]]/Base[[#This Row],['[SC']Patients_en_emploi]],0)</f>
        <v>744.32308423258144</v>
      </c>
      <c r="AI270" s="4">
        <v>51.7</v>
      </c>
      <c r="AJ2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0" s="4">
        <f>Base[[#This Row],['[SC']'[Travail']Coûts_évités]]/Base[[#This Row],[Population_emploi]]</f>
        <v>13.174963593964936</v>
      </c>
      <c r="AL270" s="4">
        <f>Base[[#This Row],[Coût_société]]*10^9*Base[[#This Row],[Risque]]*Base[[#This Row],[Prévalence]]*Base[[#This Row],[Part_coûts_salarié]]/Base[[#This Row],[Population_emploi]]</f>
        <v>5.2571354442725662</v>
      </c>
      <c r="AM270" s="4">
        <f>IF(Base[[#This Row],[Pathologie]]&lt;&gt;"Dépendance",0,14909.24243952)</f>
        <v>0</v>
      </c>
      <c r="AN270" s="4">
        <f>IF(Base[[#This Row],[Pathologie]]&lt;&gt;"Dépendance",0,1316000)</f>
        <v>0</v>
      </c>
      <c r="AO270" s="4">
        <f>IF(Base[[#This Row],[Pathologie]]&lt;&gt;"Dépendance",0,Base[[#This Row],['[SC']Coût_personne_dépendante]]*Base[[#This Row],['[SC']Nb_personnes_dépendantes]])</f>
        <v>0</v>
      </c>
      <c r="AP270" s="4">
        <f>IF(Base[[#This Row],[Pathologie]]&lt;&gt;"Dépendance",0,Base[[#This Row],['[SC']Coût_total_dépendance]]/Base[[#This Row],[Population_totale]])</f>
        <v>0</v>
      </c>
      <c r="AQ270" s="4">
        <f>IF(Base[[#This Row],[Pathologie]]&lt;&gt;"Dépendance",0,4.5)</f>
        <v>0</v>
      </c>
      <c r="AR270" s="4">
        <v>0.83987615528424797</v>
      </c>
      <c r="AS270" s="4">
        <f>Base[[#This Row],[Espérance_vie]]+Base[[#This Row],['[SC']Hausse_esp_de_vie]]-Base[[#This Row],['[SC']Durée_moyenne_dépendance_avt]]+Base[[#This Row],[Risque]]</f>
        <v>83.619260337478195</v>
      </c>
      <c r="AT2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0" s="4">
        <v>62.9</v>
      </c>
      <c r="AW270" s="4">
        <f t="shared" si="0"/>
        <v>336905600000</v>
      </c>
      <c r="AX270" s="4">
        <v>15049171</v>
      </c>
      <c r="AY270" s="4">
        <f>Base[[#This Row],['[SC']Budget_total_retraites]]/Base[[#This Row],['[SC']Nombre_de_retraités]]</f>
        <v>22386.987296509556</v>
      </c>
      <c r="AZ270" s="4">
        <f>Base[[#This Row],['[SC']Budget_par_retraité]]*Base[[#This Row],['[SC']Nb_personnes_dépendantes]]</f>
        <v>0</v>
      </c>
      <c r="BA270" s="4">
        <f>Base[[#This Row],['[SC']'[Dépendance']Coût_retraite_personnes_dépendantes]]/Base[[#This Row],[Population_totale]]</f>
        <v>0</v>
      </c>
      <c r="BB2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0" s="4">
        <f>Base[[#This Row],['[SC']'[Dépendance']Gains]]-Base[[#This Row],['[SC']'[Dépendance']Coûts]]</f>
        <v>0</v>
      </c>
      <c r="BD270" s="4">
        <f>IF(Base[[#This Row],[Pathologie]]&lt;&gt;"Mort prématurée",0,Base[[#This Row],[Risque]]*Base[[#This Row],[Prévalence]]*Base[[#This Row],[Population_totale]])</f>
        <v>0</v>
      </c>
      <c r="BE270" s="4">
        <v>52.74</v>
      </c>
      <c r="BF270" s="4">
        <f>Base[[#This Row],['[SC']Âge_moyen_retraite]]-Base[[#This Row],['[SC']'[Mort_prématurée']Âge_moyen_mort précoce]]</f>
        <v>10.159999999999997</v>
      </c>
      <c r="BG270" s="4">
        <f>Base[[#This Row],[Espérance_vie]]+Base[[#This Row],['[SC']Hausse_esp_de_vie]]-Base[[#This Row],['[SC']Âge_moyen_retraite]]</f>
        <v>20.236955218602098</v>
      </c>
      <c r="BH270" s="4">
        <v>106583.42676924677</v>
      </c>
      <c r="BI270" s="4">
        <v>97601.789429271477</v>
      </c>
      <c r="BJ270" s="4">
        <v>302038.31496633729</v>
      </c>
      <c r="BK270" s="4">
        <v>117293.58934859755</v>
      </c>
      <c r="BL270" s="4">
        <v>1523999.9999999995</v>
      </c>
      <c r="BM2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0" s="4">
        <v>294804.96027377353</v>
      </c>
      <c r="BO2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0" s="4">
        <f>(Base[[#This Row],['[SC']'[Mort_prématurée']Gains]]-Base[[#This Row],['[SC']'[Mort_prématurée']Coûts]])/Base[[#This Row],[Population_totale]]</f>
        <v>0</v>
      </c>
      <c r="BQ270" s="4">
        <f>IF(Base[[#This Row],[Pathologie]]&lt;&gt;"Mort prématurée",0,Base[[#This Row],[Risque]])</f>
        <v>0</v>
      </c>
      <c r="BR270" s="4">
        <v>2680</v>
      </c>
      <c r="BS2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0" s="4">
        <f>Base[[#This Row],[Prévalence_prod]]*(1-Base[[#This Row],[Risque]])*Base[[#This Row],[Durée_arrêt]]*Base[[#This Row],[Population_emploi]]</f>
        <v>5484051.6007263586</v>
      </c>
      <c r="BV270" s="4">
        <f>Base[[#This Row],['[Prod']'[Absentéisme']Total_jours_absence_avant]]-Base[[#This Row],['[Prod']'[Absentéisme']Total_jours_absence_après]]</f>
        <v>5109160.3484060708</v>
      </c>
      <c r="BW270" s="4">
        <f>IF(AND(Base[[#This Row],[Pathologie]]&lt;&gt;"Dépendance",Base[[#This Row],[Pathologie]]&lt;&gt;"Mort prématurée",Base[[#This Row],[Pathologie]]&lt;&gt;"Migraine"),0.0619,0)</f>
        <v>6.1899999999999997E-2</v>
      </c>
      <c r="BX270" s="4">
        <v>254</v>
      </c>
      <c r="BY27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0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0" s="4">
        <f>Base[[#This Row],[Prévalence_prod]]*Base[[#This Row],[Présentéisme]]*Base[[#This Row],['[Prod']Jours_ouvrés]]</f>
        <v>1.0626852000000002</v>
      </c>
      <c r="CB270" s="4">
        <f>Base[[#This Row],[Prévalence_prod]]*(1-Base[[#This Row],[Risque]])*Base[[#This Row],[Présentéisme]]*Base[[#This Row],['[Prod']Jours_ouvrés]]</f>
        <v>0.5501466882861249</v>
      </c>
      <c r="CC270" s="4">
        <f>Base[[#This Row],['[Prod']'[Présentéisme']Jours_avant]]-Base[[#This Row],['[Prod']'[Présentéisme']Jours_après]]</f>
        <v>0.51253851171387532</v>
      </c>
      <c r="CD270" s="4">
        <f>Base[[#This Row],['[Prod']'[Présentéisme']Jours_gagnés]]/Base[[#This Row],['[Prod']Jours_ouvrés]]</f>
        <v>2.01786815635384E-3</v>
      </c>
      <c r="CE270">
        <v>7.5880726467531134E-2</v>
      </c>
      <c r="CF270">
        <v>1.989821358241517E-2</v>
      </c>
      <c r="CG270" s="4">
        <v>11</v>
      </c>
      <c r="CH270" s="4">
        <v>0.68054183762612652</v>
      </c>
      <c r="CI270" s="4">
        <v>1.2135452577082654E-2</v>
      </c>
      <c r="CJ270" s="4">
        <f>IF(Base[[#This Row],[Secteur]]&lt;&gt;"Moyenne",Base[[#This Row],['[Prod']'[Turnover']DMC_initiale]]*(1+Base[[#This Row],['[Prod']'[Turnover']Ecart_accidents]]*Base[[#This Row],['[Prod']Impact_motifs_turnover]]),CJ253*CI253+CJ254*CI254+CJ255*CI255+CJ256*CI256+CJ257*CI257+CJ258*CI258+CJ259*CI259+CJ260*CI260+CJ261*CI261+CJ262*CI262+CJ263*CI263+CJ264*CI264+CJ265*CI265+CJ266*CI266+CJ267*CI267+CJ268*CI268+CJ269*CI269)</f>
        <v>11.148957235205394</v>
      </c>
      <c r="CK270" s="4">
        <f>1/Base[[#This Row],['[Prod']'[Turnover']DMC_initiale]]</f>
        <v>9.0909090909090912E-2</v>
      </c>
      <c r="CL270" s="4">
        <f>1/Base[[#This Row],['[Prod']'[Turnover']DMC_finale]]</f>
        <v>8.9694487018236124E-2</v>
      </c>
    </row>
    <row r="271" spans="2:90" x14ac:dyDescent="0.25">
      <c r="B271" s="4" t="s">
        <v>317</v>
      </c>
      <c r="C271">
        <v>15</v>
      </c>
      <c r="D271" t="s">
        <v>83</v>
      </c>
      <c r="E271" t="s">
        <v>4</v>
      </c>
      <c r="F271" s="3">
        <v>0.48230511887610295</v>
      </c>
      <c r="G271" s="3">
        <v>3.6700000000000003E-2</v>
      </c>
      <c r="H271" s="3">
        <v>3.6700000000000003E-2</v>
      </c>
      <c r="I271" s="3">
        <v>0.114</v>
      </c>
      <c r="J271" s="3">
        <v>10.311441509770701</v>
      </c>
      <c r="K271" s="3">
        <v>7.0000000000000007E-2</v>
      </c>
      <c r="L271" s="2">
        <f>Base[[#This Row],[Coût]]*Base[[#This Row],[Part_ménages_dépenses_santé]]</f>
        <v>0.72180090568394906</v>
      </c>
      <c r="M271" s="2">
        <v>0.99731334462301791</v>
      </c>
      <c r="N271" s="6">
        <v>27700000</v>
      </c>
      <c r="O271" s="7">
        <f>Base[[#This Row],[Coût_salarié]]*10^9*Base[[#This Row],[Risque]]*Base[[#This Row],[Prévalence]]*Base[[#This Row],[Part_coûts_salarié]]/Base[[#This Row],[Population_emploi]]</f>
        <v>0.45999935137384956</v>
      </c>
      <c r="P271">
        <v>50</v>
      </c>
      <c r="Q271">
        <v>50</v>
      </c>
      <c r="R271" s="2">
        <v>9.9999999999999978E-2</v>
      </c>
      <c r="S271" s="2">
        <v>0.33340000000000003</v>
      </c>
      <c r="T271" s="4">
        <v>3.6700000000000003E-2</v>
      </c>
      <c r="U271" s="4">
        <f>IF(Bases_annexes!$F$5=0,16.6587111018772,0.77*Bases_annexes!$F$5/(IF(OR(ISBLANK('Données_d''entrée'!$E$44),'Données_d''entrée'!$E$44=0),35,'Données_d''entrée'!$E$44)*52))</f>
        <v>16.658711101877199</v>
      </c>
      <c r="V271" s="4">
        <v>10.42033853287208</v>
      </c>
      <c r="W2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1" s="4">
        <v>234.5</v>
      </c>
      <c r="Y271" s="4">
        <f>(Base[[#This Row],['[Maladies']Coûts_évités_par_salarié]]+Base[[#This Row],['[Travail']Coûts_évités_par_salarié]])/Base[[#This Row],[Budget_santé_salarié]]</f>
        <v>3.4899239407378845E-2</v>
      </c>
      <c r="Z271" s="4">
        <v>0.8</v>
      </c>
      <c r="AA271" s="4">
        <f>Base[[#This Row],[Coût]]*Base[[#This Row],[Part_société_dépenses_santé]]</f>
        <v>8.2491532078165601</v>
      </c>
      <c r="AB271" s="4">
        <v>67635124</v>
      </c>
      <c r="AC271" s="4">
        <v>82.297079063317852</v>
      </c>
      <c r="AD271" s="4">
        <v>3.6700000000000003E-2</v>
      </c>
      <c r="AE271" s="4">
        <f>Base[[#This Row],['[SC']Prévalence_travail]]*Base[[#This Row],[Population_emploi]]</f>
        <v>1016590.0000000001</v>
      </c>
      <c r="AF271" s="4">
        <f>Base[[#This Row],[Risque]]*Base[[#This Row],['[SC']Patients_en_emploi]]</f>
        <v>490306.56079825753</v>
      </c>
      <c r="AG271" s="4">
        <v>756671404.20000005</v>
      </c>
      <c r="AH271" s="4">
        <f>IFERROR(Base[[#This Row],['[SC']Prestations]]/Base[[#This Row],['[SC']Patients_en_emploi]],0)</f>
        <v>744.32308423258144</v>
      </c>
      <c r="AI271" s="4">
        <v>51.7</v>
      </c>
      <c r="AJ2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1" s="4">
        <f>Base[[#This Row],['[SC']'[Travail']Coûts_évités]]/Base[[#This Row],[Population_emploi]]</f>
        <v>13.174963593964936</v>
      </c>
      <c r="AL271" s="4">
        <f>Base[[#This Row],[Coût_société]]*10^9*Base[[#This Row],[Risque]]*Base[[#This Row],[Prévalence]]*Base[[#This Row],[Part_coûts_salarié]]/Base[[#This Row],[Population_emploi]]</f>
        <v>5.2571354442725662</v>
      </c>
      <c r="AM271" s="4">
        <f>IF(Base[[#This Row],[Pathologie]]&lt;&gt;"Dépendance",0,14909.24243952)</f>
        <v>0</v>
      </c>
      <c r="AN271" s="4">
        <f>IF(Base[[#This Row],[Pathologie]]&lt;&gt;"Dépendance",0,1316000)</f>
        <v>0</v>
      </c>
      <c r="AO271" s="4">
        <f>IF(Base[[#This Row],[Pathologie]]&lt;&gt;"Dépendance",0,Base[[#This Row],['[SC']Coût_personne_dépendante]]*Base[[#This Row],['[SC']Nb_personnes_dépendantes]])</f>
        <v>0</v>
      </c>
      <c r="AP271" s="4">
        <f>IF(Base[[#This Row],[Pathologie]]&lt;&gt;"Dépendance",0,Base[[#This Row],['[SC']Coût_total_dépendance]]/Base[[#This Row],[Population_totale]])</f>
        <v>0</v>
      </c>
      <c r="AQ271" s="4">
        <f>IF(Base[[#This Row],[Pathologie]]&lt;&gt;"Dépendance",0,4.5)</f>
        <v>0</v>
      </c>
      <c r="AR271" s="4">
        <v>0.83987615528424797</v>
      </c>
      <c r="AS271" s="4">
        <f>Base[[#This Row],[Espérance_vie]]+Base[[#This Row],['[SC']Hausse_esp_de_vie]]-Base[[#This Row],['[SC']Durée_moyenne_dépendance_avt]]+Base[[#This Row],[Risque]]</f>
        <v>83.619260337478195</v>
      </c>
      <c r="AT2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1" s="4">
        <v>62.9</v>
      </c>
      <c r="AW271" s="4">
        <f t="shared" si="0"/>
        <v>336905600000</v>
      </c>
      <c r="AX271" s="4">
        <v>15049171</v>
      </c>
      <c r="AY271" s="4">
        <f>Base[[#This Row],['[SC']Budget_total_retraites]]/Base[[#This Row],['[SC']Nombre_de_retraités]]</f>
        <v>22386.987296509556</v>
      </c>
      <c r="AZ271" s="4">
        <f>Base[[#This Row],['[SC']Budget_par_retraité]]*Base[[#This Row],['[SC']Nb_personnes_dépendantes]]</f>
        <v>0</v>
      </c>
      <c r="BA271" s="4">
        <f>Base[[#This Row],['[SC']'[Dépendance']Coût_retraite_personnes_dépendantes]]/Base[[#This Row],[Population_totale]]</f>
        <v>0</v>
      </c>
      <c r="BB2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1" s="4">
        <f>Base[[#This Row],['[SC']'[Dépendance']Gains]]-Base[[#This Row],['[SC']'[Dépendance']Coûts]]</f>
        <v>0</v>
      </c>
      <c r="BD271" s="4">
        <f>IF(Base[[#This Row],[Pathologie]]&lt;&gt;"Mort prématurée",0,Base[[#This Row],[Risque]]*Base[[#This Row],[Prévalence]]*Base[[#This Row],[Population_totale]])</f>
        <v>0</v>
      </c>
      <c r="BE271" s="4">
        <v>52.74</v>
      </c>
      <c r="BF271" s="4">
        <f>Base[[#This Row],['[SC']Âge_moyen_retraite]]-Base[[#This Row],['[SC']'[Mort_prématurée']Âge_moyen_mort précoce]]</f>
        <v>10.159999999999997</v>
      </c>
      <c r="BG271" s="4">
        <f>Base[[#This Row],[Espérance_vie]]+Base[[#This Row],['[SC']Hausse_esp_de_vie]]-Base[[#This Row],['[SC']Âge_moyen_retraite]]</f>
        <v>20.236955218602098</v>
      </c>
      <c r="BH271" s="4">
        <v>106583.42676924677</v>
      </c>
      <c r="BI271" s="4">
        <v>97601.789429271477</v>
      </c>
      <c r="BJ271" s="4">
        <v>302038.31496633729</v>
      </c>
      <c r="BK271" s="4">
        <v>117293.58934859755</v>
      </c>
      <c r="BL271" s="4">
        <v>1523999.9999999995</v>
      </c>
      <c r="BM2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1" s="4">
        <v>294804.96027377353</v>
      </c>
      <c r="BO2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1" s="4">
        <f>(Base[[#This Row],['[SC']'[Mort_prématurée']Gains]]-Base[[#This Row],['[SC']'[Mort_prématurée']Coûts]])/Base[[#This Row],[Population_totale]]</f>
        <v>0</v>
      </c>
      <c r="BQ271" s="4">
        <f>IF(Base[[#This Row],[Pathologie]]&lt;&gt;"Mort prématurée",0,Base[[#This Row],[Risque]])</f>
        <v>0</v>
      </c>
      <c r="BR271" s="4">
        <v>2680</v>
      </c>
      <c r="BS2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1" s="4">
        <f>Base[[#This Row],[Prévalence_prod]]*(1-Base[[#This Row],[Risque]])*Base[[#This Row],[Durée_arrêt]]*Base[[#This Row],[Population_emploi]]</f>
        <v>5484051.6007263586</v>
      </c>
      <c r="BV271" s="4">
        <f>Base[[#This Row],['[Prod']'[Absentéisme']Total_jours_absence_avant]]-Base[[#This Row],['[Prod']'[Absentéisme']Total_jours_absence_après]]</f>
        <v>5109160.3484060708</v>
      </c>
      <c r="BW271" s="4">
        <f>IF(AND(Base[[#This Row],[Pathologie]]&lt;&gt;"Dépendance",Base[[#This Row],[Pathologie]]&lt;&gt;"Mort prématurée",Base[[#This Row],[Pathologie]]&lt;&gt;"Migraine"),0.0619,0)</f>
        <v>6.1899999999999997E-2</v>
      </c>
      <c r="BX271" s="4">
        <v>254</v>
      </c>
      <c r="BY271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1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1" s="4">
        <f>Base[[#This Row],[Prévalence_prod]]*Base[[#This Row],[Présentéisme]]*Base[[#This Row],['[Prod']Jours_ouvrés]]</f>
        <v>1.0626852000000002</v>
      </c>
      <c r="CB271" s="4">
        <f>Base[[#This Row],[Prévalence_prod]]*(1-Base[[#This Row],[Risque]])*Base[[#This Row],[Présentéisme]]*Base[[#This Row],['[Prod']Jours_ouvrés]]</f>
        <v>0.5501466882861249</v>
      </c>
      <c r="CC271" s="4">
        <f>Base[[#This Row],['[Prod']'[Présentéisme']Jours_avant]]-Base[[#This Row],['[Prod']'[Présentéisme']Jours_après]]</f>
        <v>0.51253851171387532</v>
      </c>
      <c r="CD271" s="4">
        <f>Base[[#This Row],['[Prod']'[Présentéisme']Jours_gagnés]]/Base[[#This Row],['[Prod']Jours_ouvrés]]</f>
        <v>2.01786815635384E-3</v>
      </c>
      <c r="CE271">
        <v>7.5880726467531134E-2</v>
      </c>
      <c r="CF271">
        <v>1.989821358241517E-2</v>
      </c>
      <c r="CG271" s="4">
        <v>11</v>
      </c>
      <c r="CH271" s="4">
        <v>0.31563677172153043</v>
      </c>
      <c r="CI271" s="4">
        <v>1.3003350630813707E-4</v>
      </c>
      <c r="CJ271" s="4">
        <f>IF(Base[[#This Row],[Secteur]]&lt;&gt;"Moyenne",Base[[#This Row],['[Prod']'[Turnover']DMC_initiale]]*(1+Base[[#This Row],['[Prod']'[Turnover']Ecart_accidents]]*Base[[#This Row],['[Prod']Impact_motifs_turnover]]),CJ254*CI254+CJ255*CI255+CJ256*CI256+CJ257*CI257+CJ258*CI258+CJ259*CI259+CJ260*CI260+CJ261*CI261+CJ262*CI262+CJ263*CI263+CJ264*CI264+CJ265*CI265+CJ266*CI266+CJ267*CI267+CJ268*CI268+CJ269*CI269+CJ270*CI270)</f>
        <v>11.069086686879968</v>
      </c>
      <c r="CK271" s="4">
        <f>1/Base[[#This Row],['[Prod']'[Turnover']DMC_initiale]]</f>
        <v>9.0909090909090912E-2</v>
      </c>
      <c r="CL271" s="4">
        <f>1/Base[[#This Row],['[Prod']'[Turnover']DMC_finale]]</f>
        <v>9.0341690176235209E-2</v>
      </c>
    </row>
    <row r="272" spans="2:90" x14ac:dyDescent="0.25">
      <c r="B272" s="4" t="s">
        <v>318</v>
      </c>
      <c r="C272">
        <v>15</v>
      </c>
      <c r="D272" t="s">
        <v>83</v>
      </c>
      <c r="E272" t="s">
        <v>4</v>
      </c>
      <c r="F272" s="3">
        <v>0.48230511887610295</v>
      </c>
      <c r="G272" s="3">
        <v>3.6700000000000003E-2</v>
      </c>
      <c r="H272" s="3">
        <v>3.6700000000000003E-2</v>
      </c>
      <c r="I272" s="3">
        <v>0.114</v>
      </c>
      <c r="J272" s="3">
        <v>10.311441509770701</v>
      </c>
      <c r="K272" s="3">
        <v>7.0000000000000007E-2</v>
      </c>
      <c r="L272" s="2">
        <f>Base[[#This Row],[Coût]]*Base[[#This Row],[Part_ménages_dépenses_santé]]</f>
        <v>0.72180090568394906</v>
      </c>
      <c r="M272" s="2">
        <v>0.99731334462301791</v>
      </c>
      <c r="N272" s="6">
        <v>27700000</v>
      </c>
      <c r="O272" s="7">
        <f>Base[[#This Row],[Coût_salarié]]*10^9*Base[[#This Row],[Risque]]*Base[[#This Row],[Prévalence]]*Base[[#This Row],[Part_coûts_salarié]]/Base[[#This Row],[Population_emploi]]</f>
        <v>0.45999935137384956</v>
      </c>
      <c r="P272">
        <v>50</v>
      </c>
      <c r="Q272">
        <v>50</v>
      </c>
      <c r="R272" s="2">
        <v>9.9999999999999978E-2</v>
      </c>
      <c r="S272" s="2">
        <v>0.33340000000000003</v>
      </c>
      <c r="T272" s="4">
        <v>3.6700000000000003E-2</v>
      </c>
      <c r="U272" s="4">
        <f>IF(Bases_annexes!$F$5=0,16.6587111018772,0.77*Bases_annexes!$F$5/(IF(OR(ISBLANK('Données_d''entrée'!$E$44),'Données_d''entrée'!$E$44=0),35,'Données_d''entrée'!$E$44)*52))</f>
        <v>16.658711101877199</v>
      </c>
      <c r="V272" s="4">
        <v>10.42033853287208</v>
      </c>
      <c r="W2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2" s="4">
        <v>234.5</v>
      </c>
      <c r="Y272" s="4">
        <f>(Base[[#This Row],['[Maladies']Coûts_évités_par_salarié]]+Base[[#This Row],['[Travail']Coûts_évités_par_salarié]])/Base[[#This Row],[Budget_santé_salarié]]</f>
        <v>3.4899239407378845E-2</v>
      </c>
      <c r="Z272" s="4">
        <v>0.8</v>
      </c>
      <c r="AA272" s="4">
        <f>Base[[#This Row],[Coût]]*Base[[#This Row],[Part_société_dépenses_santé]]</f>
        <v>8.2491532078165601</v>
      </c>
      <c r="AB272" s="4">
        <v>67635124</v>
      </c>
      <c r="AC272" s="4">
        <v>82.297079063317852</v>
      </c>
      <c r="AD272" s="4">
        <v>3.6700000000000003E-2</v>
      </c>
      <c r="AE272" s="4">
        <f>Base[[#This Row],['[SC']Prévalence_travail]]*Base[[#This Row],[Population_emploi]]</f>
        <v>1016590.0000000001</v>
      </c>
      <c r="AF272" s="4">
        <f>Base[[#This Row],[Risque]]*Base[[#This Row],['[SC']Patients_en_emploi]]</f>
        <v>490306.56079825753</v>
      </c>
      <c r="AG272" s="4">
        <v>756671404.20000005</v>
      </c>
      <c r="AH272" s="4">
        <f>IFERROR(Base[[#This Row],['[SC']Prestations]]/Base[[#This Row],['[SC']Patients_en_emploi]],0)</f>
        <v>744.32308423258144</v>
      </c>
      <c r="AI272" s="4">
        <v>51.7</v>
      </c>
      <c r="AJ2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2" s="4">
        <f>Base[[#This Row],['[SC']'[Travail']Coûts_évités]]/Base[[#This Row],[Population_emploi]]</f>
        <v>13.174963593964936</v>
      </c>
      <c r="AL272" s="4">
        <f>Base[[#This Row],[Coût_société]]*10^9*Base[[#This Row],[Risque]]*Base[[#This Row],[Prévalence]]*Base[[#This Row],[Part_coûts_salarié]]/Base[[#This Row],[Population_emploi]]</f>
        <v>5.2571354442725662</v>
      </c>
      <c r="AM272" s="4">
        <f>IF(Base[[#This Row],[Pathologie]]&lt;&gt;"Dépendance",0,14909.24243952)</f>
        <v>0</v>
      </c>
      <c r="AN272" s="4">
        <f>IF(Base[[#This Row],[Pathologie]]&lt;&gt;"Dépendance",0,1316000)</f>
        <v>0</v>
      </c>
      <c r="AO272" s="4">
        <f>IF(Base[[#This Row],[Pathologie]]&lt;&gt;"Dépendance",0,Base[[#This Row],['[SC']Coût_personne_dépendante]]*Base[[#This Row],['[SC']Nb_personnes_dépendantes]])</f>
        <v>0</v>
      </c>
      <c r="AP272" s="4">
        <f>IF(Base[[#This Row],[Pathologie]]&lt;&gt;"Dépendance",0,Base[[#This Row],['[SC']Coût_total_dépendance]]/Base[[#This Row],[Population_totale]])</f>
        <v>0</v>
      </c>
      <c r="AQ272" s="4">
        <f>IF(Base[[#This Row],[Pathologie]]&lt;&gt;"Dépendance",0,4.5)</f>
        <v>0</v>
      </c>
      <c r="AR272" s="4">
        <v>0.83987615528424797</v>
      </c>
      <c r="AS272" s="4">
        <f>Base[[#This Row],[Espérance_vie]]+Base[[#This Row],['[SC']Hausse_esp_de_vie]]-Base[[#This Row],['[SC']Durée_moyenne_dépendance_avt]]+Base[[#This Row],[Risque]]</f>
        <v>83.619260337478195</v>
      </c>
      <c r="AT2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2" s="4">
        <v>62.9</v>
      </c>
      <c r="AW272" s="4">
        <f t="shared" si="0"/>
        <v>336905600000</v>
      </c>
      <c r="AX272" s="4">
        <v>15049171</v>
      </c>
      <c r="AY272" s="4">
        <f>Base[[#This Row],['[SC']Budget_total_retraites]]/Base[[#This Row],['[SC']Nombre_de_retraités]]</f>
        <v>22386.987296509556</v>
      </c>
      <c r="AZ272" s="4">
        <f>Base[[#This Row],['[SC']Budget_par_retraité]]*Base[[#This Row],['[SC']Nb_personnes_dépendantes]]</f>
        <v>0</v>
      </c>
      <c r="BA272" s="4">
        <f>Base[[#This Row],['[SC']'[Dépendance']Coût_retraite_personnes_dépendantes]]/Base[[#This Row],[Population_totale]]</f>
        <v>0</v>
      </c>
      <c r="BB2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2" s="4">
        <f>Base[[#This Row],['[SC']'[Dépendance']Gains]]-Base[[#This Row],['[SC']'[Dépendance']Coûts]]</f>
        <v>0</v>
      </c>
      <c r="BD272" s="4">
        <f>IF(Base[[#This Row],[Pathologie]]&lt;&gt;"Mort prématurée",0,Base[[#This Row],[Risque]]*Base[[#This Row],[Prévalence]]*Base[[#This Row],[Population_totale]])</f>
        <v>0</v>
      </c>
      <c r="BE272" s="4">
        <v>52.74</v>
      </c>
      <c r="BF272" s="4">
        <f>Base[[#This Row],['[SC']Âge_moyen_retraite]]-Base[[#This Row],['[SC']'[Mort_prématurée']Âge_moyen_mort précoce]]</f>
        <v>10.159999999999997</v>
      </c>
      <c r="BG272" s="4">
        <f>Base[[#This Row],[Espérance_vie]]+Base[[#This Row],['[SC']Hausse_esp_de_vie]]-Base[[#This Row],['[SC']Âge_moyen_retraite]]</f>
        <v>20.236955218602098</v>
      </c>
      <c r="BH272" s="4">
        <v>106583.42676924677</v>
      </c>
      <c r="BI272" s="4">
        <v>97601.789429271477</v>
      </c>
      <c r="BJ272" s="4">
        <v>302038.31496633729</v>
      </c>
      <c r="BK272" s="4">
        <v>117293.58934859755</v>
      </c>
      <c r="BL272" s="4">
        <v>1523999.9999999995</v>
      </c>
      <c r="BM2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2" s="4">
        <v>294804.96027377353</v>
      </c>
      <c r="BO2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2" s="4">
        <f>(Base[[#This Row],['[SC']'[Mort_prématurée']Gains]]-Base[[#This Row],['[SC']'[Mort_prématurée']Coûts]])/Base[[#This Row],[Population_totale]]</f>
        <v>0</v>
      </c>
      <c r="BQ272" s="4">
        <f>IF(Base[[#This Row],[Pathologie]]&lt;&gt;"Mort prématurée",0,Base[[#This Row],[Risque]])</f>
        <v>0</v>
      </c>
      <c r="BR272" s="4">
        <v>2680</v>
      </c>
      <c r="BS2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2" s="4">
        <f>Base[[#This Row],[Prévalence_prod]]*(1-Base[[#This Row],[Risque]])*Base[[#This Row],[Durée_arrêt]]*Base[[#This Row],[Population_emploi]]</f>
        <v>5484051.6007263586</v>
      </c>
      <c r="BV272" s="4">
        <f>Base[[#This Row],['[Prod']'[Absentéisme']Total_jours_absence_avant]]-Base[[#This Row],['[Prod']'[Absentéisme']Total_jours_absence_après]]</f>
        <v>5109160.3484060708</v>
      </c>
      <c r="BW272" s="4">
        <f>IF(AND(Base[[#This Row],[Pathologie]]&lt;&gt;"Dépendance",Base[[#This Row],[Pathologie]]&lt;&gt;"Mort prématurée",Base[[#This Row],[Pathologie]]&lt;&gt;"Migraine"),0.0619,0)</f>
        <v>6.1899999999999997E-2</v>
      </c>
      <c r="BX272" s="4">
        <v>254</v>
      </c>
      <c r="BY272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2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2" s="4">
        <f>Base[[#This Row],[Prévalence_prod]]*Base[[#This Row],[Présentéisme]]*Base[[#This Row],['[Prod']Jours_ouvrés]]</f>
        <v>1.0626852000000002</v>
      </c>
      <c r="CB272" s="4">
        <f>Base[[#This Row],[Prévalence_prod]]*(1-Base[[#This Row],[Risque]])*Base[[#This Row],[Présentéisme]]*Base[[#This Row],['[Prod']Jours_ouvrés]]</f>
        <v>0.5501466882861249</v>
      </c>
      <c r="CC272" s="4">
        <f>Base[[#This Row],['[Prod']'[Présentéisme']Jours_avant]]-Base[[#This Row],['[Prod']'[Présentéisme']Jours_après]]</f>
        <v>0.51253851171387532</v>
      </c>
      <c r="CD272" s="4">
        <f>Base[[#This Row],['[Prod']'[Présentéisme']Jours_gagnés]]/Base[[#This Row],['[Prod']Jours_ouvrés]]</f>
        <v>2.01786815635384E-3</v>
      </c>
      <c r="CE272">
        <v>7.5880726467531134E-2</v>
      </c>
      <c r="CF272">
        <v>1.989821358241517E-2</v>
      </c>
      <c r="CG272" s="4">
        <v>11</v>
      </c>
      <c r="CH272" s="4">
        <v>1.1688035738877327</v>
      </c>
      <c r="CI272" s="4">
        <v>9.6557438521367826E-3</v>
      </c>
      <c r="CJ272" s="4">
        <f>IF(Base[[#This Row],[Secteur]]&lt;&gt;"Moyenne",Base[[#This Row],['[Prod']'[Turnover']DMC_initiale]]*(1+Base[[#This Row],['[Prod']'[Turnover']Ecart_accidents]]*Base[[#This Row],['[Prod']Impact_motifs_turnover]]),CJ255*CI255+CJ256*CI256+CJ257*CI257+CJ258*CI258+CJ259*CI259+CJ260*CI260+CJ261*CI261+CJ262*CI262+CJ263*CI263+CJ264*CI264+CJ265*CI265+CJ266*CI266+CJ267*CI267+CJ268*CI268+CJ269*CI269+CJ270*CI270+CJ271*CI271)</f>
        <v>11.25582813464019</v>
      </c>
      <c r="CK272" s="4">
        <f>1/Base[[#This Row],['[Prod']'[Turnover']DMC_initiale]]</f>
        <v>9.0909090909090912E-2</v>
      </c>
      <c r="CL272" s="4">
        <f>1/Base[[#This Row],['[Prod']'[Turnover']DMC_finale]]</f>
        <v>8.8842863273868436E-2</v>
      </c>
    </row>
    <row r="273" spans="2:90" x14ac:dyDescent="0.25">
      <c r="B273" s="4" t="s">
        <v>319</v>
      </c>
      <c r="C273">
        <v>15</v>
      </c>
      <c r="D273" t="s">
        <v>83</v>
      </c>
      <c r="E273" t="s">
        <v>4</v>
      </c>
      <c r="F273" s="3">
        <v>0.48230511887610295</v>
      </c>
      <c r="G273" s="3">
        <v>3.6700000000000003E-2</v>
      </c>
      <c r="H273" s="3">
        <v>3.6700000000000003E-2</v>
      </c>
      <c r="I273" s="3">
        <v>0.114</v>
      </c>
      <c r="J273" s="3">
        <v>10.311441509770701</v>
      </c>
      <c r="K273" s="3">
        <v>7.0000000000000007E-2</v>
      </c>
      <c r="L273" s="2">
        <f>Base[[#This Row],[Coût]]*Base[[#This Row],[Part_ménages_dépenses_santé]]</f>
        <v>0.72180090568394906</v>
      </c>
      <c r="M273" s="2">
        <v>0.99731334462301791</v>
      </c>
      <c r="N273" s="6">
        <v>27700000</v>
      </c>
      <c r="O273" s="7">
        <f>Base[[#This Row],[Coût_salarié]]*10^9*Base[[#This Row],[Risque]]*Base[[#This Row],[Prévalence]]*Base[[#This Row],[Part_coûts_salarié]]/Base[[#This Row],[Population_emploi]]</f>
        <v>0.45999935137384956</v>
      </c>
      <c r="P273">
        <v>50</v>
      </c>
      <c r="Q273">
        <v>50</v>
      </c>
      <c r="R273" s="2">
        <v>9.9999999999999978E-2</v>
      </c>
      <c r="S273" s="2">
        <v>0.33340000000000003</v>
      </c>
      <c r="T273" s="4">
        <v>3.6700000000000003E-2</v>
      </c>
      <c r="U273" s="4">
        <f>IF(Bases_annexes!$F$5=0,16.6587111018772,0.77*Bases_annexes!$F$5/(IF(OR(ISBLANK('Données_d''entrée'!$E$44),'Données_d''entrée'!$E$44=0),35,'Données_d''entrée'!$E$44)*52))</f>
        <v>16.658711101877199</v>
      </c>
      <c r="V273" s="4">
        <v>10.42033853287208</v>
      </c>
      <c r="W2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3" s="4">
        <v>234.5</v>
      </c>
      <c r="Y273" s="4">
        <f>(Base[[#This Row],['[Maladies']Coûts_évités_par_salarié]]+Base[[#This Row],['[Travail']Coûts_évités_par_salarié]])/Base[[#This Row],[Budget_santé_salarié]]</f>
        <v>3.4899239407378845E-2</v>
      </c>
      <c r="Z273" s="4">
        <v>0.8</v>
      </c>
      <c r="AA273" s="4">
        <f>Base[[#This Row],[Coût]]*Base[[#This Row],[Part_société_dépenses_santé]]</f>
        <v>8.2491532078165601</v>
      </c>
      <c r="AB273" s="4">
        <v>67635124</v>
      </c>
      <c r="AC273" s="4">
        <v>82.297079063317852</v>
      </c>
      <c r="AD273" s="4">
        <v>3.6700000000000003E-2</v>
      </c>
      <c r="AE273" s="4">
        <f>Base[[#This Row],['[SC']Prévalence_travail]]*Base[[#This Row],[Population_emploi]]</f>
        <v>1016590.0000000001</v>
      </c>
      <c r="AF273" s="4">
        <f>Base[[#This Row],[Risque]]*Base[[#This Row],['[SC']Patients_en_emploi]]</f>
        <v>490306.56079825753</v>
      </c>
      <c r="AG273" s="4">
        <v>756671404.20000005</v>
      </c>
      <c r="AH273" s="4">
        <f>IFERROR(Base[[#This Row],['[SC']Prestations]]/Base[[#This Row],['[SC']Patients_en_emploi]],0)</f>
        <v>744.32308423258144</v>
      </c>
      <c r="AI273" s="4">
        <v>51.7</v>
      </c>
      <c r="AJ2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3" s="4">
        <f>Base[[#This Row],['[SC']'[Travail']Coûts_évités]]/Base[[#This Row],[Population_emploi]]</f>
        <v>13.174963593964936</v>
      </c>
      <c r="AL273" s="4">
        <f>Base[[#This Row],[Coût_société]]*10^9*Base[[#This Row],[Risque]]*Base[[#This Row],[Prévalence]]*Base[[#This Row],[Part_coûts_salarié]]/Base[[#This Row],[Population_emploi]]</f>
        <v>5.2571354442725662</v>
      </c>
      <c r="AM273" s="4">
        <f>IF(Base[[#This Row],[Pathologie]]&lt;&gt;"Dépendance",0,14909.24243952)</f>
        <v>0</v>
      </c>
      <c r="AN273" s="4">
        <f>IF(Base[[#This Row],[Pathologie]]&lt;&gt;"Dépendance",0,1316000)</f>
        <v>0</v>
      </c>
      <c r="AO273" s="4">
        <f>IF(Base[[#This Row],[Pathologie]]&lt;&gt;"Dépendance",0,Base[[#This Row],['[SC']Coût_personne_dépendante]]*Base[[#This Row],['[SC']Nb_personnes_dépendantes]])</f>
        <v>0</v>
      </c>
      <c r="AP273" s="4">
        <f>IF(Base[[#This Row],[Pathologie]]&lt;&gt;"Dépendance",0,Base[[#This Row],['[SC']Coût_total_dépendance]]/Base[[#This Row],[Population_totale]])</f>
        <v>0</v>
      </c>
      <c r="AQ273" s="4">
        <f>IF(Base[[#This Row],[Pathologie]]&lt;&gt;"Dépendance",0,4.5)</f>
        <v>0</v>
      </c>
      <c r="AR273" s="4">
        <v>0.83987615528424797</v>
      </c>
      <c r="AS273" s="4">
        <f>Base[[#This Row],[Espérance_vie]]+Base[[#This Row],['[SC']Hausse_esp_de_vie]]-Base[[#This Row],['[SC']Durée_moyenne_dépendance_avt]]+Base[[#This Row],[Risque]]</f>
        <v>83.619260337478195</v>
      </c>
      <c r="AT2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3" s="4">
        <v>62.9</v>
      </c>
      <c r="AW273" s="4">
        <f t="shared" si="0"/>
        <v>336905600000</v>
      </c>
      <c r="AX273" s="4">
        <v>15049171</v>
      </c>
      <c r="AY273" s="4">
        <f>Base[[#This Row],['[SC']Budget_total_retraites]]/Base[[#This Row],['[SC']Nombre_de_retraités]]</f>
        <v>22386.987296509556</v>
      </c>
      <c r="AZ273" s="4">
        <f>Base[[#This Row],['[SC']Budget_par_retraité]]*Base[[#This Row],['[SC']Nb_personnes_dépendantes]]</f>
        <v>0</v>
      </c>
      <c r="BA273" s="4">
        <f>Base[[#This Row],['[SC']'[Dépendance']Coût_retraite_personnes_dépendantes]]/Base[[#This Row],[Population_totale]]</f>
        <v>0</v>
      </c>
      <c r="BB2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3" s="4">
        <f>Base[[#This Row],['[SC']'[Dépendance']Gains]]-Base[[#This Row],['[SC']'[Dépendance']Coûts]]</f>
        <v>0</v>
      </c>
      <c r="BD273" s="4">
        <f>IF(Base[[#This Row],[Pathologie]]&lt;&gt;"Mort prématurée",0,Base[[#This Row],[Risque]]*Base[[#This Row],[Prévalence]]*Base[[#This Row],[Population_totale]])</f>
        <v>0</v>
      </c>
      <c r="BE273" s="4">
        <v>52.74</v>
      </c>
      <c r="BF273" s="4">
        <f>Base[[#This Row],['[SC']Âge_moyen_retraite]]-Base[[#This Row],['[SC']'[Mort_prématurée']Âge_moyen_mort précoce]]</f>
        <v>10.159999999999997</v>
      </c>
      <c r="BG273" s="4">
        <f>Base[[#This Row],[Espérance_vie]]+Base[[#This Row],['[SC']Hausse_esp_de_vie]]-Base[[#This Row],['[SC']Âge_moyen_retraite]]</f>
        <v>20.236955218602098</v>
      </c>
      <c r="BH273" s="4">
        <v>106583.42676924677</v>
      </c>
      <c r="BI273" s="4">
        <v>97601.789429271477</v>
      </c>
      <c r="BJ273" s="4">
        <v>302038.31496633729</v>
      </c>
      <c r="BK273" s="4">
        <v>117293.58934859755</v>
      </c>
      <c r="BL273" s="4">
        <v>1523999.9999999995</v>
      </c>
      <c r="BM2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3" s="4">
        <v>294804.96027377353</v>
      </c>
      <c r="BO2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3" s="4">
        <f>(Base[[#This Row],['[SC']'[Mort_prématurée']Gains]]-Base[[#This Row],['[SC']'[Mort_prématurée']Coûts]])/Base[[#This Row],[Population_totale]]</f>
        <v>0</v>
      </c>
      <c r="BQ273" s="4">
        <f>IF(Base[[#This Row],[Pathologie]]&lt;&gt;"Mort prématurée",0,Base[[#This Row],[Risque]])</f>
        <v>0</v>
      </c>
      <c r="BR273" s="4">
        <v>2680</v>
      </c>
      <c r="BS2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3" s="4">
        <f>Base[[#This Row],[Prévalence_prod]]*(1-Base[[#This Row],[Risque]])*Base[[#This Row],[Durée_arrêt]]*Base[[#This Row],[Population_emploi]]</f>
        <v>5484051.6007263586</v>
      </c>
      <c r="BV273" s="4">
        <f>Base[[#This Row],['[Prod']'[Absentéisme']Total_jours_absence_avant]]-Base[[#This Row],['[Prod']'[Absentéisme']Total_jours_absence_après]]</f>
        <v>5109160.3484060708</v>
      </c>
      <c r="BW273" s="4">
        <f>IF(AND(Base[[#This Row],[Pathologie]]&lt;&gt;"Dépendance",Base[[#This Row],[Pathologie]]&lt;&gt;"Mort prématurée",Base[[#This Row],[Pathologie]]&lt;&gt;"Migraine"),0.0619,0)</f>
        <v>6.1899999999999997E-2</v>
      </c>
      <c r="BX273" s="4">
        <v>254</v>
      </c>
      <c r="BY273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3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3" s="4">
        <f>Base[[#This Row],[Prévalence_prod]]*Base[[#This Row],[Présentéisme]]*Base[[#This Row],['[Prod']Jours_ouvrés]]</f>
        <v>1.0626852000000002</v>
      </c>
      <c r="CB273" s="4">
        <f>Base[[#This Row],[Prévalence_prod]]*(1-Base[[#This Row],[Risque]])*Base[[#This Row],[Présentéisme]]*Base[[#This Row],['[Prod']Jours_ouvrés]]</f>
        <v>0.5501466882861249</v>
      </c>
      <c r="CC273" s="4">
        <f>Base[[#This Row],['[Prod']'[Présentéisme']Jours_avant]]-Base[[#This Row],['[Prod']'[Présentéisme']Jours_après]]</f>
        <v>0.51253851171387532</v>
      </c>
      <c r="CD273" s="4">
        <f>Base[[#This Row],['[Prod']'[Présentéisme']Jours_gagnés]]/Base[[#This Row],['[Prod']Jours_ouvrés]]</f>
        <v>2.01786815635384E-3</v>
      </c>
      <c r="CE273">
        <v>7.5880726467531134E-2</v>
      </c>
      <c r="CF273">
        <v>1.989821358241517E-2</v>
      </c>
      <c r="CG273" s="4">
        <v>11</v>
      </c>
      <c r="CH273" s="4">
        <v>0.52204401140486179</v>
      </c>
      <c r="CI273" s="4">
        <v>1.2443904150185675E-2</v>
      </c>
      <c r="CJ273" s="4">
        <f>IF(Base[[#This Row],[Secteur]]&lt;&gt;"Moyenne",Base[[#This Row],['[Prod']'[Turnover']DMC_initiale]]*(1+Base[[#This Row],['[Prod']'[Turnover']Ecart_accidents]]*Base[[#This Row],['[Prod']Impact_motifs_turnover]]),CJ256*CI256+CJ257*CI257+CJ258*CI258+CJ259*CI259+CJ260*CI260+CJ261*CI261+CJ262*CI262+CJ263*CI263+CJ264*CI264+CJ265*CI265+CJ266*CI266+CJ267*CI267+CJ268*CI268+CJ269*CI269+CJ270*CI270+CJ271*CI271+CJ272*CI272)</f>
        <v>11.114265175621902</v>
      </c>
      <c r="CK273" s="4">
        <f>1/Base[[#This Row],['[Prod']'[Turnover']DMC_initiale]]</f>
        <v>9.0909090909090912E-2</v>
      </c>
      <c r="CL273" s="4">
        <f>1/Base[[#This Row],['[Prod']'[Turnover']DMC_finale]]</f>
        <v>8.9974459327586145E-2</v>
      </c>
    </row>
    <row r="274" spans="2:90" x14ac:dyDescent="0.25">
      <c r="B274" s="4" t="s">
        <v>320</v>
      </c>
      <c r="C274">
        <v>15</v>
      </c>
      <c r="D274" t="s">
        <v>83</v>
      </c>
      <c r="E274" t="s">
        <v>4</v>
      </c>
      <c r="F274" s="3">
        <v>0.48230511887610295</v>
      </c>
      <c r="G274" s="3">
        <v>3.6700000000000003E-2</v>
      </c>
      <c r="H274" s="3">
        <v>3.6700000000000003E-2</v>
      </c>
      <c r="I274" s="3">
        <v>0.114</v>
      </c>
      <c r="J274" s="3">
        <v>10.311441509770701</v>
      </c>
      <c r="K274" s="3">
        <v>7.0000000000000007E-2</v>
      </c>
      <c r="L274" s="2">
        <f>Base[[#This Row],[Coût]]*Base[[#This Row],[Part_ménages_dépenses_santé]]</f>
        <v>0.72180090568394906</v>
      </c>
      <c r="M274" s="2">
        <v>0.99731334462301791</v>
      </c>
      <c r="N274" s="6">
        <v>27700000</v>
      </c>
      <c r="O274" s="7">
        <f>Base[[#This Row],[Coût_salarié]]*10^9*Base[[#This Row],[Risque]]*Base[[#This Row],[Prévalence]]*Base[[#This Row],[Part_coûts_salarié]]/Base[[#This Row],[Population_emploi]]</f>
        <v>0.45999935137384956</v>
      </c>
      <c r="P274">
        <v>50</v>
      </c>
      <c r="Q274">
        <v>50</v>
      </c>
      <c r="R274" s="2">
        <v>9.9999999999999978E-2</v>
      </c>
      <c r="S274" s="2">
        <v>0.33340000000000003</v>
      </c>
      <c r="T274" s="4">
        <v>3.6700000000000003E-2</v>
      </c>
      <c r="U274" s="4">
        <f>IF(Bases_annexes!$F$5=0,16.6587111018772,0.77*Bases_annexes!$F$5/(IF(OR(ISBLANK('Données_d''entrée'!$E$44),'Données_d''entrée'!$E$44=0),35,'Données_d''entrée'!$E$44)*52))</f>
        <v>16.658711101877199</v>
      </c>
      <c r="V274" s="4">
        <v>10.42033853287208</v>
      </c>
      <c r="W2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4" s="4">
        <v>234.5</v>
      </c>
      <c r="Y274" s="4">
        <f>(Base[[#This Row],['[Maladies']Coûts_évités_par_salarié]]+Base[[#This Row],['[Travail']Coûts_évités_par_salarié]])/Base[[#This Row],[Budget_santé_salarié]]</f>
        <v>3.4899239407378845E-2</v>
      </c>
      <c r="Z274" s="4">
        <v>0.8</v>
      </c>
      <c r="AA274" s="4">
        <f>Base[[#This Row],[Coût]]*Base[[#This Row],[Part_société_dépenses_santé]]</f>
        <v>8.2491532078165601</v>
      </c>
      <c r="AB274" s="4">
        <v>67635124</v>
      </c>
      <c r="AC274" s="4">
        <v>82.297079063317852</v>
      </c>
      <c r="AD274" s="4">
        <v>3.6700000000000003E-2</v>
      </c>
      <c r="AE274" s="4">
        <f>Base[[#This Row],['[SC']Prévalence_travail]]*Base[[#This Row],[Population_emploi]]</f>
        <v>1016590.0000000001</v>
      </c>
      <c r="AF274" s="4">
        <f>Base[[#This Row],[Risque]]*Base[[#This Row],['[SC']Patients_en_emploi]]</f>
        <v>490306.56079825753</v>
      </c>
      <c r="AG274" s="4">
        <v>756671404.20000005</v>
      </c>
      <c r="AH274" s="4">
        <f>IFERROR(Base[[#This Row],['[SC']Prestations]]/Base[[#This Row],['[SC']Patients_en_emploi]],0)</f>
        <v>744.32308423258144</v>
      </c>
      <c r="AI274" s="4">
        <v>51.7</v>
      </c>
      <c r="AJ2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4" s="4">
        <f>Base[[#This Row],['[SC']'[Travail']Coûts_évités]]/Base[[#This Row],[Population_emploi]]</f>
        <v>13.174963593964936</v>
      </c>
      <c r="AL274" s="4">
        <f>Base[[#This Row],[Coût_société]]*10^9*Base[[#This Row],[Risque]]*Base[[#This Row],[Prévalence]]*Base[[#This Row],[Part_coûts_salarié]]/Base[[#This Row],[Population_emploi]]</f>
        <v>5.2571354442725662</v>
      </c>
      <c r="AM274" s="4">
        <f>IF(Base[[#This Row],[Pathologie]]&lt;&gt;"Dépendance",0,14909.24243952)</f>
        <v>0</v>
      </c>
      <c r="AN274" s="4">
        <f>IF(Base[[#This Row],[Pathologie]]&lt;&gt;"Dépendance",0,1316000)</f>
        <v>0</v>
      </c>
      <c r="AO274" s="4">
        <f>IF(Base[[#This Row],[Pathologie]]&lt;&gt;"Dépendance",0,Base[[#This Row],['[SC']Coût_personne_dépendante]]*Base[[#This Row],['[SC']Nb_personnes_dépendantes]])</f>
        <v>0</v>
      </c>
      <c r="AP274" s="4">
        <f>IF(Base[[#This Row],[Pathologie]]&lt;&gt;"Dépendance",0,Base[[#This Row],['[SC']Coût_total_dépendance]]/Base[[#This Row],[Population_totale]])</f>
        <v>0</v>
      </c>
      <c r="AQ274" s="4">
        <f>IF(Base[[#This Row],[Pathologie]]&lt;&gt;"Dépendance",0,4.5)</f>
        <v>0</v>
      </c>
      <c r="AR274" s="4">
        <v>0.83987615528424797</v>
      </c>
      <c r="AS274" s="4">
        <f>Base[[#This Row],[Espérance_vie]]+Base[[#This Row],['[SC']Hausse_esp_de_vie]]-Base[[#This Row],['[SC']Durée_moyenne_dépendance_avt]]+Base[[#This Row],[Risque]]</f>
        <v>83.619260337478195</v>
      </c>
      <c r="AT2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4" s="4">
        <v>62.9</v>
      </c>
      <c r="AW274" s="4">
        <f t="shared" si="0"/>
        <v>336905600000</v>
      </c>
      <c r="AX274" s="4">
        <v>15049171</v>
      </c>
      <c r="AY274" s="4">
        <f>Base[[#This Row],['[SC']Budget_total_retraites]]/Base[[#This Row],['[SC']Nombre_de_retraités]]</f>
        <v>22386.987296509556</v>
      </c>
      <c r="AZ274" s="4">
        <f>Base[[#This Row],['[SC']Budget_par_retraité]]*Base[[#This Row],['[SC']Nb_personnes_dépendantes]]</f>
        <v>0</v>
      </c>
      <c r="BA274" s="4">
        <f>Base[[#This Row],['[SC']'[Dépendance']Coût_retraite_personnes_dépendantes]]/Base[[#This Row],[Population_totale]]</f>
        <v>0</v>
      </c>
      <c r="BB2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4" s="4">
        <f>Base[[#This Row],['[SC']'[Dépendance']Gains]]-Base[[#This Row],['[SC']'[Dépendance']Coûts]]</f>
        <v>0</v>
      </c>
      <c r="BD274" s="4">
        <f>IF(Base[[#This Row],[Pathologie]]&lt;&gt;"Mort prématurée",0,Base[[#This Row],[Risque]]*Base[[#This Row],[Prévalence]]*Base[[#This Row],[Population_totale]])</f>
        <v>0</v>
      </c>
      <c r="BE274" s="4">
        <v>52.74</v>
      </c>
      <c r="BF274" s="4">
        <f>Base[[#This Row],['[SC']Âge_moyen_retraite]]-Base[[#This Row],['[SC']'[Mort_prématurée']Âge_moyen_mort précoce]]</f>
        <v>10.159999999999997</v>
      </c>
      <c r="BG274" s="4">
        <f>Base[[#This Row],[Espérance_vie]]+Base[[#This Row],['[SC']Hausse_esp_de_vie]]-Base[[#This Row],['[SC']Âge_moyen_retraite]]</f>
        <v>20.236955218602098</v>
      </c>
      <c r="BH274" s="4">
        <v>106583.42676924677</v>
      </c>
      <c r="BI274" s="4">
        <v>97601.789429271477</v>
      </c>
      <c r="BJ274" s="4">
        <v>302038.31496633729</v>
      </c>
      <c r="BK274" s="4">
        <v>117293.58934859755</v>
      </c>
      <c r="BL274" s="4">
        <v>1523999.9999999995</v>
      </c>
      <c r="BM2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4" s="4">
        <v>294804.96027377353</v>
      </c>
      <c r="BO2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4" s="4">
        <f>(Base[[#This Row],['[SC']'[Mort_prématurée']Gains]]-Base[[#This Row],['[SC']'[Mort_prématurée']Coûts]])/Base[[#This Row],[Population_totale]]</f>
        <v>0</v>
      </c>
      <c r="BQ274" s="4">
        <f>IF(Base[[#This Row],[Pathologie]]&lt;&gt;"Mort prématurée",0,Base[[#This Row],[Risque]])</f>
        <v>0</v>
      </c>
      <c r="BR274" s="4">
        <v>2680</v>
      </c>
      <c r="BS2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4" s="4">
        <f>Base[[#This Row],[Prévalence_prod]]*(1-Base[[#This Row],[Risque]])*Base[[#This Row],[Durée_arrêt]]*Base[[#This Row],[Population_emploi]]</f>
        <v>5484051.6007263586</v>
      </c>
      <c r="BV274" s="4">
        <f>Base[[#This Row],['[Prod']'[Absentéisme']Total_jours_absence_avant]]-Base[[#This Row],['[Prod']'[Absentéisme']Total_jours_absence_après]]</f>
        <v>5109160.3484060708</v>
      </c>
      <c r="BW274" s="4">
        <f>IF(AND(Base[[#This Row],[Pathologie]]&lt;&gt;"Dépendance",Base[[#This Row],[Pathologie]]&lt;&gt;"Mort prématurée",Base[[#This Row],[Pathologie]]&lt;&gt;"Migraine"),0.0619,0)</f>
        <v>6.1899999999999997E-2</v>
      </c>
      <c r="BX274" s="4">
        <v>254</v>
      </c>
      <c r="BY274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4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4" s="4">
        <f>Base[[#This Row],[Prévalence_prod]]*Base[[#This Row],[Présentéisme]]*Base[[#This Row],['[Prod']Jours_ouvrés]]</f>
        <v>1.0626852000000002</v>
      </c>
      <c r="CB274" s="4">
        <f>Base[[#This Row],[Prévalence_prod]]*(1-Base[[#This Row],[Risque]])*Base[[#This Row],[Présentéisme]]*Base[[#This Row],['[Prod']Jours_ouvrés]]</f>
        <v>0.5501466882861249</v>
      </c>
      <c r="CC274" s="4">
        <f>Base[[#This Row],['[Prod']'[Présentéisme']Jours_avant]]-Base[[#This Row],['[Prod']'[Présentéisme']Jours_après]]</f>
        <v>0.51253851171387532</v>
      </c>
      <c r="CD274" s="4">
        <f>Base[[#This Row],['[Prod']'[Présentéisme']Jours_gagnés]]/Base[[#This Row],['[Prod']Jours_ouvrés]]</f>
        <v>2.01786815635384E-3</v>
      </c>
      <c r="CE274">
        <v>7.5880726467531134E-2</v>
      </c>
      <c r="CF274">
        <v>1.989821358241517E-2</v>
      </c>
      <c r="CG274" s="4">
        <v>11</v>
      </c>
      <c r="CH274" s="4">
        <v>0.49446424657188709</v>
      </c>
      <c r="CI274" s="4">
        <v>1.0795805058605798E-2</v>
      </c>
      <c r="CJ274" s="4">
        <f>IF(Base[[#This Row],[Secteur]]&lt;&gt;"Moyenne",Base[[#This Row],['[Prod']'[Turnover']DMC_initiale]]*(1+Base[[#This Row],['[Prod']'[Turnover']Ecart_accidents]]*Base[[#This Row],['[Prod']Impact_motifs_turnover]]),CJ257*CI257+CJ258*CI258+CJ259*CI259+CJ260*CI260+CJ261*CI261+CJ262*CI262+CJ263*CI263+CJ264*CI264+CJ265*CI265+CJ266*CI266+CJ267*CI267+CJ268*CI268+CJ269*CI269+CJ270*CI270+CJ271*CI271+CJ272*CI272+CJ273*CI273)</f>
        <v>11.108228507058708</v>
      </c>
      <c r="CK274" s="4">
        <f>1/Base[[#This Row],['[Prod']'[Turnover']DMC_initiale]]</f>
        <v>9.0909090909090912E-2</v>
      </c>
      <c r="CL274" s="4">
        <f>1/Base[[#This Row],['[Prod']'[Turnover']DMC_finale]]</f>
        <v>9.0023355151953477E-2</v>
      </c>
    </row>
    <row r="275" spans="2:90" x14ac:dyDescent="0.25">
      <c r="B275" s="4" t="s">
        <v>321</v>
      </c>
      <c r="C275">
        <v>15</v>
      </c>
      <c r="D275" t="s">
        <v>83</v>
      </c>
      <c r="E275" t="s">
        <v>4</v>
      </c>
      <c r="F275" s="3">
        <v>0.48230511887610295</v>
      </c>
      <c r="G275" s="3">
        <v>3.6700000000000003E-2</v>
      </c>
      <c r="H275" s="3">
        <v>3.6700000000000003E-2</v>
      </c>
      <c r="I275" s="3">
        <v>0.114</v>
      </c>
      <c r="J275" s="3">
        <v>10.311441509770701</v>
      </c>
      <c r="K275" s="3">
        <v>7.0000000000000007E-2</v>
      </c>
      <c r="L275" s="2">
        <f>Base[[#This Row],[Coût]]*Base[[#This Row],[Part_ménages_dépenses_santé]]</f>
        <v>0.72180090568394906</v>
      </c>
      <c r="M275" s="2">
        <v>0.99731334462301791</v>
      </c>
      <c r="N275" s="6">
        <v>27700000</v>
      </c>
      <c r="O275" s="7">
        <f>Base[[#This Row],[Coût_salarié]]*10^9*Base[[#This Row],[Risque]]*Base[[#This Row],[Prévalence]]*Base[[#This Row],[Part_coûts_salarié]]/Base[[#This Row],[Population_emploi]]</f>
        <v>0.45999935137384956</v>
      </c>
      <c r="P275">
        <v>50</v>
      </c>
      <c r="Q275">
        <v>50</v>
      </c>
      <c r="R275" s="2">
        <v>9.9999999999999978E-2</v>
      </c>
      <c r="S275" s="2">
        <v>0.33340000000000003</v>
      </c>
      <c r="T275" s="4">
        <v>3.6700000000000003E-2</v>
      </c>
      <c r="U275" s="4">
        <f>IF(Bases_annexes!$F$5=0,16.6587111018772,0.77*Bases_annexes!$F$5/(IF(OR(ISBLANK('Données_d''entrée'!$E$44),'Données_d''entrée'!$E$44=0),35,'Données_d''entrée'!$E$44)*52))</f>
        <v>16.658711101877199</v>
      </c>
      <c r="V275" s="4">
        <v>10.42033853287208</v>
      </c>
      <c r="W2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5" s="4">
        <v>234.5</v>
      </c>
      <c r="Y275" s="4">
        <f>(Base[[#This Row],['[Maladies']Coûts_évités_par_salarié]]+Base[[#This Row],['[Travail']Coûts_évités_par_salarié]])/Base[[#This Row],[Budget_santé_salarié]]</f>
        <v>3.4899239407378845E-2</v>
      </c>
      <c r="Z275" s="4">
        <v>0.8</v>
      </c>
      <c r="AA275" s="4">
        <f>Base[[#This Row],[Coût]]*Base[[#This Row],[Part_société_dépenses_santé]]</f>
        <v>8.2491532078165601</v>
      </c>
      <c r="AB275" s="4">
        <v>67635124</v>
      </c>
      <c r="AC275" s="4">
        <v>82.297079063317852</v>
      </c>
      <c r="AD275" s="4">
        <v>3.6700000000000003E-2</v>
      </c>
      <c r="AE275" s="4">
        <f>Base[[#This Row],['[SC']Prévalence_travail]]*Base[[#This Row],[Population_emploi]]</f>
        <v>1016590.0000000001</v>
      </c>
      <c r="AF275" s="4">
        <f>Base[[#This Row],[Risque]]*Base[[#This Row],['[SC']Patients_en_emploi]]</f>
        <v>490306.56079825753</v>
      </c>
      <c r="AG275" s="4">
        <v>756671404.20000005</v>
      </c>
      <c r="AH275" s="4">
        <f>IFERROR(Base[[#This Row],['[SC']Prestations]]/Base[[#This Row],['[SC']Patients_en_emploi]],0)</f>
        <v>744.32308423258144</v>
      </c>
      <c r="AI275" s="4">
        <v>51.7</v>
      </c>
      <c r="AJ2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5" s="4">
        <f>Base[[#This Row],['[SC']'[Travail']Coûts_évités]]/Base[[#This Row],[Population_emploi]]</f>
        <v>13.174963593964936</v>
      </c>
      <c r="AL275" s="4">
        <f>Base[[#This Row],[Coût_société]]*10^9*Base[[#This Row],[Risque]]*Base[[#This Row],[Prévalence]]*Base[[#This Row],[Part_coûts_salarié]]/Base[[#This Row],[Population_emploi]]</f>
        <v>5.2571354442725662</v>
      </c>
      <c r="AM275" s="4">
        <f>IF(Base[[#This Row],[Pathologie]]&lt;&gt;"Dépendance",0,14909.24243952)</f>
        <v>0</v>
      </c>
      <c r="AN275" s="4">
        <f>IF(Base[[#This Row],[Pathologie]]&lt;&gt;"Dépendance",0,1316000)</f>
        <v>0</v>
      </c>
      <c r="AO275" s="4">
        <f>IF(Base[[#This Row],[Pathologie]]&lt;&gt;"Dépendance",0,Base[[#This Row],['[SC']Coût_personne_dépendante]]*Base[[#This Row],['[SC']Nb_personnes_dépendantes]])</f>
        <v>0</v>
      </c>
      <c r="AP275" s="4">
        <f>IF(Base[[#This Row],[Pathologie]]&lt;&gt;"Dépendance",0,Base[[#This Row],['[SC']Coût_total_dépendance]]/Base[[#This Row],[Population_totale]])</f>
        <v>0</v>
      </c>
      <c r="AQ275" s="4">
        <f>IF(Base[[#This Row],[Pathologie]]&lt;&gt;"Dépendance",0,4.5)</f>
        <v>0</v>
      </c>
      <c r="AR275" s="4">
        <v>0.83987615528424797</v>
      </c>
      <c r="AS275" s="4">
        <f>Base[[#This Row],[Espérance_vie]]+Base[[#This Row],['[SC']Hausse_esp_de_vie]]-Base[[#This Row],['[SC']Durée_moyenne_dépendance_avt]]+Base[[#This Row],[Risque]]</f>
        <v>83.619260337478195</v>
      </c>
      <c r="AT2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5" s="4">
        <v>62.9</v>
      </c>
      <c r="AW275" s="4">
        <f t="shared" si="0"/>
        <v>336905600000</v>
      </c>
      <c r="AX275" s="4">
        <v>15049171</v>
      </c>
      <c r="AY275" s="4">
        <f>Base[[#This Row],['[SC']Budget_total_retraites]]/Base[[#This Row],['[SC']Nombre_de_retraités]]</f>
        <v>22386.987296509556</v>
      </c>
      <c r="AZ275" s="4">
        <f>Base[[#This Row],['[SC']Budget_par_retraité]]*Base[[#This Row],['[SC']Nb_personnes_dépendantes]]</f>
        <v>0</v>
      </c>
      <c r="BA275" s="4">
        <f>Base[[#This Row],['[SC']'[Dépendance']Coût_retraite_personnes_dépendantes]]/Base[[#This Row],[Population_totale]]</f>
        <v>0</v>
      </c>
      <c r="BB2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5" s="4">
        <f>Base[[#This Row],['[SC']'[Dépendance']Gains]]-Base[[#This Row],['[SC']'[Dépendance']Coûts]]</f>
        <v>0</v>
      </c>
      <c r="BD275" s="4">
        <f>IF(Base[[#This Row],[Pathologie]]&lt;&gt;"Mort prématurée",0,Base[[#This Row],[Risque]]*Base[[#This Row],[Prévalence]]*Base[[#This Row],[Population_totale]])</f>
        <v>0</v>
      </c>
      <c r="BE275" s="4">
        <v>52.74</v>
      </c>
      <c r="BF275" s="4">
        <f>Base[[#This Row],['[SC']Âge_moyen_retraite]]-Base[[#This Row],['[SC']'[Mort_prématurée']Âge_moyen_mort précoce]]</f>
        <v>10.159999999999997</v>
      </c>
      <c r="BG275" s="4">
        <f>Base[[#This Row],[Espérance_vie]]+Base[[#This Row],['[SC']Hausse_esp_de_vie]]-Base[[#This Row],['[SC']Âge_moyen_retraite]]</f>
        <v>20.236955218602098</v>
      </c>
      <c r="BH275" s="4">
        <v>106583.42676924677</v>
      </c>
      <c r="BI275" s="4">
        <v>97601.789429271477</v>
      </c>
      <c r="BJ275" s="4">
        <v>302038.31496633729</v>
      </c>
      <c r="BK275" s="4">
        <v>117293.58934859755</v>
      </c>
      <c r="BL275" s="4">
        <v>1523999.9999999995</v>
      </c>
      <c r="BM2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5" s="4">
        <v>294804.96027377353</v>
      </c>
      <c r="BO2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5" s="4">
        <f>(Base[[#This Row],['[SC']'[Mort_prématurée']Gains]]-Base[[#This Row],['[SC']'[Mort_prématurée']Coûts]])/Base[[#This Row],[Population_totale]]</f>
        <v>0</v>
      </c>
      <c r="BQ275" s="4">
        <f>IF(Base[[#This Row],[Pathologie]]&lt;&gt;"Mort prématurée",0,Base[[#This Row],[Risque]])</f>
        <v>0</v>
      </c>
      <c r="BR275" s="4">
        <v>2680</v>
      </c>
      <c r="BS2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5" s="4">
        <f>Base[[#This Row],[Prévalence_prod]]*(1-Base[[#This Row],[Risque]])*Base[[#This Row],[Durée_arrêt]]*Base[[#This Row],[Population_emploi]]</f>
        <v>5484051.6007263586</v>
      </c>
      <c r="BV275" s="4">
        <f>Base[[#This Row],['[Prod']'[Absentéisme']Total_jours_absence_avant]]-Base[[#This Row],['[Prod']'[Absentéisme']Total_jours_absence_après]]</f>
        <v>5109160.3484060708</v>
      </c>
      <c r="BW275" s="4">
        <f>IF(AND(Base[[#This Row],[Pathologie]]&lt;&gt;"Dépendance",Base[[#This Row],[Pathologie]]&lt;&gt;"Mort prématurée",Base[[#This Row],[Pathologie]]&lt;&gt;"Migraine"),0.0619,0)</f>
        <v>6.1899999999999997E-2</v>
      </c>
      <c r="BX275" s="4">
        <v>254</v>
      </c>
      <c r="BY27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5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5" s="4">
        <f>Base[[#This Row],[Prévalence_prod]]*Base[[#This Row],[Présentéisme]]*Base[[#This Row],['[Prod']Jours_ouvrés]]</f>
        <v>1.0626852000000002</v>
      </c>
      <c r="CB275" s="4">
        <f>Base[[#This Row],[Prévalence_prod]]*(1-Base[[#This Row],[Risque]])*Base[[#This Row],[Présentéisme]]*Base[[#This Row],['[Prod']Jours_ouvrés]]</f>
        <v>0.5501466882861249</v>
      </c>
      <c r="CC275" s="4">
        <f>Base[[#This Row],['[Prod']'[Présentéisme']Jours_avant]]-Base[[#This Row],['[Prod']'[Présentéisme']Jours_après]]</f>
        <v>0.51253851171387532</v>
      </c>
      <c r="CD275" s="4">
        <f>Base[[#This Row],['[Prod']'[Présentéisme']Jours_gagnés]]/Base[[#This Row],['[Prod']Jours_ouvrés]]</f>
        <v>2.01786815635384E-3</v>
      </c>
      <c r="CE275">
        <v>7.5880726467531134E-2</v>
      </c>
      <c r="CF275">
        <v>1.989821358241517E-2</v>
      </c>
      <c r="CG275" s="4">
        <v>11</v>
      </c>
      <c r="CH275" s="4">
        <v>0.85274500894619554</v>
      </c>
      <c r="CI275" s="4">
        <v>4.2903496994109176E-2</v>
      </c>
      <c r="CJ275" s="4">
        <f>IF(Base[[#This Row],[Secteur]]&lt;&gt;"Moyenne",Base[[#This Row],['[Prod']'[Turnover']DMC_initiale]]*(1+Base[[#This Row],['[Prod']'[Turnover']Ecart_accidents]]*Base[[#This Row],['[Prod']Impact_motifs_turnover]]),CJ258*CI258+CJ259*CI259+CJ260*CI260+CJ261*CI261+CJ262*CI262+CJ263*CI263+CJ264*CI264+CJ265*CI265+CJ266*CI266+CJ267*CI267+CJ268*CI268+CJ269*CI269+CJ270*CI270+CJ271*CI271+CJ272*CI272+CJ273*CI273+CJ274*CI274)</f>
        <v>11.186649125512849</v>
      </c>
      <c r="CK275" s="4">
        <f>1/Base[[#This Row],['[Prod']'[Turnover']DMC_initiale]]</f>
        <v>9.0909090909090912E-2</v>
      </c>
      <c r="CL275" s="4">
        <f>1/Base[[#This Row],['[Prod']'[Turnover']DMC_finale]]</f>
        <v>8.9392273663017496E-2</v>
      </c>
    </row>
    <row r="276" spans="2:90" x14ac:dyDescent="0.25">
      <c r="B276" s="4" t="s">
        <v>322</v>
      </c>
      <c r="C276">
        <v>15</v>
      </c>
      <c r="D276" t="s">
        <v>83</v>
      </c>
      <c r="E276" t="s">
        <v>4</v>
      </c>
      <c r="F276" s="3">
        <v>0.48230511887610295</v>
      </c>
      <c r="G276" s="3">
        <v>3.6700000000000003E-2</v>
      </c>
      <c r="H276" s="3">
        <v>3.6700000000000003E-2</v>
      </c>
      <c r="I276" s="3">
        <v>0.114</v>
      </c>
      <c r="J276" s="3">
        <v>10.311441509770701</v>
      </c>
      <c r="K276" s="3">
        <v>7.0000000000000007E-2</v>
      </c>
      <c r="L276" s="2">
        <f>Base[[#This Row],[Coût]]*Base[[#This Row],[Part_ménages_dépenses_santé]]</f>
        <v>0.72180090568394906</v>
      </c>
      <c r="M276" s="2">
        <v>0.99731334462301791</v>
      </c>
      <c r="N276" s="6">
        <v>27700000</v>
      </c>
      <c r="O276" s="7">
        <f>Base[[#This Row],[Coût_salarié]]*10^9*Base[[#This Row],[Risque]]*Base[[#This Row],[Prévalence]]*Base[[#This Row],[Part_coûts_salarié]]/Base[[#This Row],[Population_emploi]]</f>
        <v>0.45999935137384956</v>
      </c>
      <c r="P276">
        <v>50</v>
      </c>
      <c r="Q276">
        <v>50</v>
      </c>
      <c r="R276" s="2">
        <v>9.9999999999999978E-2</v>
      </c>
      <c r="S276" s="2">
        <v>0.33340000000000003</v>
      </c>
      <c r="T276" s="4">
        <v>3.6700000000000003E-2</v>
      </c>
      <c r="U276" s="4">
        <f>IF(Bases_annexes!$F$5=0,16.6587111018772,0.77*Bases_annexes!$F$5/(IF(OR(ISBLANK('Données_d''entrée'!$E$44),'Données_d''entrée'!$E$44=0),35,'Données_d''entrée'!$E$44)*52))</f>
        <v>16.658711101877199</v>
      </c>
      <c r="V276" s="4">
        <v>10.42033853287208</v>
      </c>
      <c r="W2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6" s="4">
        <v>234.5</v>
      </c>
      <c r="Y276" s="4">
        <f>(Base[[#This Row],['[Maladies']Coûts_évités_par_salarié]]+Base[[#This Row],['[Travail']Coûts_évités_par_salarié]])/Base[[#This Row],[Budget_santé_salarié]]</f>
        <v>3.4899239407378845E-2</v>
      </c>
      <c r="Z276" s="4">
        <v>0.8</v>
      </c>
      <c r="AA276" s="4">
        <f>Base[[#This Row],[Coût]]*Base[[#This Row],[Part_société_dépenses_santé]]</f>
        <v>8.2491532078165601</v>
      </c>
      <c r="AB276" s="4">
        <v>67635124</v>
      </c>
      <c r="AC276" s="4">
        <v>82.297079063317852</v>
      </c>
      <c r="AD276" s="4">
        <v>3.6700000000000003E-2</v>
      </c>
      <c r="AE276" s="4">
        <f>Base[[#This Row],['[SC']Prévalence_travail]]*Base[[#This Row],[Population_emploi]]</f>
        <v>1016590.0000000001</v>
      </c>
      <c r="AF276" s="4">
        <f>Base[[#This Row],[Risque]]*Base[[#This Row],['[SC']Patients_en_emploi]]</f>
        <v>490306.56079825753</v>
      </c>
      <c r="AG276" s="4">
        <v>756671404.20000005</v>
      </c>
      <c r="AH276" s="4">
        <f>IFERROR(Base[[#This Row],['[SC']Prestations]]/Base[[#This Row],['[SC']Patients_en_emploi]],0)</f>
        <v>744.32308423258144</v>
      </c>
      <c r="AI276" s="4">
        <v>51.7</v>
      </c>
      <c r="AJ2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6" s="4">
        <f>Base[[#This Row],['[SC']'[Travail']Coûts_évités]]/Base[[#This Row],[Population_emploi]]</f>
        <v>13.174963593964936</v>
      </c>
      <c r="AL276" s="4">
        <f>Base[[#This Row],[Coût_société]]*10^9*Base[[#This Row],[Risque]]*Base[[#This Row],[Prévalence]]*Base[[#This Row],[Part_coûts_salarié]]/Base[[#This Row],[Population_emploi]]</f>
        <v>5.2571354442725662</v>
      </c>
      <c r="AM276" s="4">
        <f>IF(Base[[#This Row],[Pathologie]]&lt;&gt;"Dépendance",0,14909.24243952)</f>
        <v>0</v>
      </c>
      <c r="AN276" s="4">
        <f>IF(Base[[#This Row],[Pathologie]]&lt;&gt;"Dépendance",0,1316000)</f>
        <v>0</v>
      </c>
      <c r="AO276" s="4">
        <f>IF(Base[[#This Row],[Pathologie]]&lt;&gt;"Dépendance",0,Base[[#This Row],['[SC']Coût_personne_dépendante]]*Base[[#This Row],['[SC']Nb_personnes_dépendantes]])</f>
        <v>0</v>
      </c>
      <c r="AP276" s="4">
        <f>IF(Base[[#This Row],[Pathologie]]&lt;&gt;"Dépendance",0,Base[[#This Row],['[SC']Coût_total_dépendance]]/Base[[#This Row],[Population_totale]])</f>
        <v>0</v>
      </c>
      <c r="AQ276" s="4">
        <f>IF(Base[[#This Row],[Pathologie]]&lt;&gt;"Dépendance",0,4.5)</f>
        <v>0</v>
      </c>
      <c r="AR276" s="4">
        <v>0.83987615528424797</v>
      </c>
      <c r="AS276" s="4">
        <f>Base[[#This Row],[Espérance_vie]]+Base[[#This Row],['[SC']Hausse_esp_de_vie]]-Base[[#This Row],['[SC']Durée_moyenne_dépendance_avt]]+Base[[#This Row],[Risque]]</f>
        <v>83.619260337478195</v>
      </c>
      <c r="AT2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6" s="4">
        <v>62.9</v>
      </c>
      <c r="AW276" s="4">
        <f t="shared" si="0"/>
        <v>336905600000</v>
      </c>
      <c r="AX276" s="4">
        <v>15049171</v>
      </c>
      <c r="AY276" s="4">
        <f>Base[[#This Row],['[SC']Budget_total_retraites]]/Base[[#This Row],['[SC']Nombre_de_retraités]]</f>
        <v>22386.987296509556</v>
      </c>
      <c r="AZ276" s="4">
        <f>Base[[#This Row],['[SC']Budget_par_retraité]]*Base[[#This Row],['[SC']Nb_personnes_dépendantes]]</f>
        <v>0</v>
      </c>
      <c r="BA276" s="4">
        <f>Base[[#This Row],['[SC']'[Dépendance']Coût_retraite_personnes_dépendantes]]/Base[[#This Row],[Population_totale]]</f>
        <v>0</v>
      </c>
      <c r="BB2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6" s="4">
        <f>Base[[#This Row],['[SC']'[Dépendance']Gains]]-Base[[#This Row],['[SC']'[Dépendance']Coûts]]</f>
        <v>0</v>
      </c>
      <c r="BD276" s="4">
        <f>IF(Base[[#This Row],[Pathologie]]&lt;&gt;"Mort prématurée",0,Base[[#This Row],[Risque]]*Base[[#This Row],[Prévalence]]*Base[[#This Row],[Population_totale]])</f>
        <v>0</v>
      </c>
      <c r="BE276" s="4">
        <v>52.74</v>
      </c>
      <c r="BF276" s="4">
        <f>Base[[#This Row],['[SC']Âge_moyen_retraite]]-Base[[#This Row],['[SC']'[Mort_prématurée']Âge_moyen_mort précoce]]</f>
        <v>10.159999999999997</v>
      </c>
      <c r="BG276" s="4">
        <f>Base[[#This Row],[Espérance_vie]]+Base[[#This Row],['[SC']Hausse_esp_de_vie]]-Base[[#This Row],['[SC']Âge_moyen_retraite]]</f>
        <v>20.236955218602098</v>
      </c>
      <c r="BH276" s="4">
        <v>106583.42676924677</v>
      </c>
      <c r="BI276" s="4">
        <v>97601.789429271477</v>
      </c>
      <c r="BJ276" s="4">
        <v>302038.31496633729</v>
      </c>
      <c r="BK276" s="4">
        <v>117293.58934859755</v>
      </c>
      <c r="BL276" s="4">
        <v>1523999.9999999995</v>
      </c>
      <c r="BM2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6" s="4">
        <v>294804.96027377353</v>
      </c>
      <c r="BO2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6" s="4">
        <f>(Base[[#This Row],['[SC']'[Mort_prématurée']Gains]]-Base[[#This Row],['[SC']'[Mort_prématurée']Coûts]])/Base[[#This Row],[Population_totale]]</f>
        <v>0</v>
      </c>
      <c r="BQ276" s="4">
        <f>IF(Base[[#This Row],[Pathologie]]&lt;&gt;"Mort prématurée",0,Base[[#This Row],[Risque]])</f>
        <v>0</v>
      </c>
      <c r="BR276" s="4">
        <v>2680</v>
      </c>
      <c r="BS2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6" s="4">
        <f>Base[[#This Row],[Prévalence_prod]]*(1-Base[[#This Row],[Risque]])*Base[[#This Row],[Durée_arrêt]]*Base[[#This Row],[Population_emploi]]</f>
        <v>5484051.6007263586</v>
      </c>
      <c r="BV276" s="4">
        <f>Base[[#This Row],['[Prod']'[Absentéisme']Total_jours_absence_avant]]-Base[[#This Row],['[Prod']'[Absentéisme']Total_jours_absence_après]]</f>
        <v>5109160.3484060708</v>
      </c>
      <c r="BW276" s="4">
        <f>IF(AND(Base[[#This Row],[Pathologie]]&lt;&gt;"Dépendance",Base[[#This Row],[Pathologie]]&lt;&gt;"Mort prématurée",Base[[#This Row],[Pathologie]]&lt;&gt;"Migraine"),0.0619,0)</f>
        <v>6.1899999999999997E-2</v>
      </c>
      <c r="BX276" s="4">
        <v>254</v>
      </c>
      <c r="BY27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6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6" s="4">
        <f>Base[[#This Row],[Prévalence_prod]]*Base[[#This Row],[Présentéisme]]*Base[[#This Row],['[Prod']Jours_ouvrés]]</f>
        <v>1.0626852000000002</v>
      </c>
      <c r="CB276" s="4">
        <f>Base[[#This Row],[Prévalence_prod]]*(1-Base[[#This Row],[Risque]])*Base[[#This Row],[Présentéisme]]*Base[[#This Row],['[Prod']Jours_ouvrés]]</f>
        <v>0.5501466882861249</v>
      </c>
      <c r="CC276" s="4">
        <f>Base[[#This Row],['[Prod']'[Présentéisme']Jours_avant]]-Base[[#This Row],['[Prod']'[Présentéisme']Jours_après]]</f>
        <v>0.51253851171387532</v>
      </c>
      <c r="CD276" s="4">
        <f>Base[[#This Row],['[Prod']'[Présentéisme']Jours_gagnés]]/Base[[#This Row],['[Prod']Jours_ouvrés]]</f>
        <v>2.01786815635384E-3</v>
      </c>
      <c r="CE276">
        <v>7.5880726467531134E-2</v>
      </c>
      <c r="CF276">
        <v>1.989821358241517E-2</v>
      </c>
      <c r="CG276" s="4">
        <v>11</v>
      </c>
      <c r="CH276" s="4">
        <v>1.6219398392978641</v>
      </c>
      <c r="CI276" s="4">
        <v>9.628527536862988E-2</v>
      </c>
      <c r="CJ276" s="4">
        <f>IF(Base[[#This Row],[Secteur]]&lt;&gt;"Moyenne",Base[[#This Row],['[Prod']'[Turnover']DMC_initiale]]*(1+Base[[#This Row],['[Prod']'[Turnover']Ecart_accidents]]*Base[[#This Row],['[Prod']Impact_motifs_turnover]]),CJ259*CI259+CJ260*CI260+CJ261*CI261+CJ262*CI262+CJ263*CI263+CJ264*CI264+CJ265*CI265+CJ266*CI266+CJ267*CI267+CJ268*CI268+CJ269*CI269+CJ270*CI270+CJ271*CI271+CJ272*CI272+CJ273*CI273+CJ274*CI274+CJ275*CI275)</f>
        <v>11.355010758741946</v>
      </c>
      <c r="CK276" s="4">
        <f>1/Base[[#This Row],['[Prod']'[Turnover']DMC_initiale]]</f>
        <v>9.0909090909090912E-2</v>
      </c>
      <c r="CL276" s="4">
        <f>1/Base[[#This Row],['[Prod']'[Turnover']DMC_finale]]</f>
        <v>8.8066847425056327E-2</v>
      </c>
    </row>
    <row r="277" spans="2:90" x14ac:dyDescent="0.25">
      <c r="B277" s="4" t="s">
        <v>323</v>
      </c>
      <c r="C277">
        <v>15</v>
      </c>
      <c r="D277" t="s">
        <v>83</v>
      </c>
      <c r="E277" t="s">
        <v>4</v>
      </c>
      <c r="F277" s="3">
        <v>0.48230511887610295</v>
      </c>
      <c r="G277" s="3">
        <v>3.6700000000000003E-2</v>
      </c>
      <c r="H277" s="3">
        <v>3.6700000000000003E-2</v>
      </c>
      <c r="I277" s="3">
        <v>0.114</v>
      </c>
      <c r="J277" s="3">
        <v>10.311441509770701</v>
      </c>
      <c r="K277" s="3">
        <v>7.0000000000000007E-2</v>
      </c>
      <c r="L277" s="2">
        <f>Base[[#This Row],[Coût]]*Base[[#This Row],[Part_ménages_dépenses_santé]]</f>
        <v>0.72180090568394906</v>
      </c>
      <c r="M277" s="2">
        <v>0.99731334462301791</v>
      </c>
      <c r="N277" s="6">
        <v>27700000</v>
      </c>
      <c r="O277" s="7">
        <f>Base[[#This Row],[Coût_salarié]]*10^9*Base[[#This Row],[Risque]]*Base[[#This Row],[Prévalence]]*Base[[#This Row],[Part_coûts_salarié]]/Base[[#This Row],[Population_emploi]]</f>
        <v>0.45999935137384956</v>
      </c>
      <c r="P277">
        <v>50</v>
      </c>
      <c r="Q277">
        <v>50</v>
      </c>
      <c r="R277" s="2">
        <v>9.9999999999999978E-2</v>
      </c>
      <c r="S277" s="2">
        <v>0.33340000000000003</v>
      </c>
      <c r="T277" s="4">
        <v>3.6700000000000003E-2</v>
      </c>
      <c r="U277" s="4">
        <f>IF(Bases_annexes!$F$5=0,16.6587111018772,0.77*Bases_annexes!$F$5/(IF(OR(ISBLANK('Données_d''entrée'!$E$44),'Données_d''entrée'!$E$44=0),35,'Données_d''entrée'!$E$44)*52))</f>
        <v>16.658711101877199</v>
      </c>
      <c r="V277" s="4">
        <v>10.42033853287208</v>
      </c>
      <c r="W2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7" s="4">
        <v>234.5</v>
      </c>
      <c r="Y277" s="4">
        <f>(Base[[#This Row],['[Maladies']Coûts_évités_par_salarié]]+Base[[#This Row],['[Travail']Coûts_évités_par_salarié]])/Base[[#This Row],[Budget_santé_salarié]]</f>
        <v>3.4899239407378845E-2</v>
      </c>
      <c r="Z277" s="4">
        <v>0.8</v>
      </c>
      <c r="AA277" s="4">
        <f>Base[[#This Row],[Coût]]*Base[[#This Row],[Part_société_dépenses_santé]]</f>
        <v>8.2491532078165601</v>
      </c>
      <c r="AB277" s="4">
        <v>67635124</v>
      </c>
      <c r="AC277" s="4">
        <v>82.297079063317852</v>
      </c>
      <c r="AD277" s="4">
        <v>3.6700000000000003E-2</v>
      </c>
      <c r="AE277" s="4">
        <f>Base[[#This Row],['[SC']Prévalence_travail]]*Base[[#This Row],[Population_emploi]]</f>
        <v>1016590.0000000001</v>
      </c>
      <c r="AF277" s="4">
        <f>Base[[#This Row],[Risque]]*Base[[#This Row],['[SC']Patients_en_emploi]]</f>
        <v>490306.56079825753</v>
      </c>
      <c r="AG277" s="4">
        <v>756671404.20000005</v>
      </c>
      <c r="AH277" s="4">
        <f>IFERROR(Base[[#This Row],['[SC']Prestations]]/Base[[#This Row],['[SC']Patients_en_emploi]],0)</f>
        <v>744.32308423258144</v>
      </c>
      <c r="AI277" s="4">
        <v>51.7</v>
      </c>
      <c r="AJ2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7" s="4">
        <f>Base[[#This Row],['[SC']'[Travail']Coûts_évités]]/Base[[#This Row],[Population_emploi]]</f>
        <v>13.174963593964936</v>
      </c>
      <c r="AL277" s="4">
        <f>Base[[#This Row],[Coût_société]]*10^9*Base[[#This Row],[Risque]]*Base[[#This Row],[Prévalence]]*Base[[#This Row],[Part_coûts_salarié]]/Base[[#This Row],[Population_emploi]]</f>
        <v>5.2571354442725662</v>
      </c>
      <c r="AM277" s="4">
        <f>IF(Base[[#This Row],[Pathologie]]&lt;&gt;"Dépendance",0,14909.24243952)</f>
        <v>0</v>
      </c>
      <c r="AN277" s="4">
        <f>IF(Base[[#This Row],[Pathologie]]&lt;&gt;"Dépendance",0,1316000)</f>
        <v>0</v>
      </c>
      <c r="AO277" s="4">
        <f>IF(Base[[#This Row],[Pathologie]]&lt;&gt;"Dépendance",0,Base[[#This Row],['[SC']Coût_personne_dépendante]]*Base[[#This Row],['[SC']Nb_personnes_dépendantes]])</f>
        <v>0</v>
      </c>
      <c r="AP277" s="4">
        <f>IF(Base[[#This Row],[Pathologie]]&lt;&gt;"Dépendance",0,Base[[#This Row],['[SC']Coût_total_dépendance]]/Base[[#This Row],[Population_totale]])</f>
        <v>0</v>
      </c>
      <c r="AQ277" s="4">
        <f>IF(Base[[#This Row],[Pathologie]]&lt;&gt;"Dépendance",0,4.5)</f>
        <v>0</v>
      </c>
      <c r="AR277" s="4">
        <v>0.83987615528424797</v>
      </c>
      <c r="AS277" s="4">
        <f>Base[[#This Row],[Espérance_vie]]+Base[[#This Row],['[SC']Hausse_esp_de_vie]]-Base[[#This Row],['[SC']Durée_moyenne_dépendance_avt]]+Base[[#This Row],[Risque]]</f>
        <v>83.619260337478195</v>
      </c>
      <c r="AT2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7" s="4">
        <v>62.9</v>
      </c>
      <c r="AW277" s="4">
        <f t="shared" si="0"/>
        <v>336905600000</v>
      </c>
      <c r="AX277" s="4">
        <v>15049171</v>
      </c>
      <c r="AY277" s="4">
        <f>Base[[#This Row],['[SC']Budget_total_retraites]]/Base[[#This Row],['[SC']Nombre_de_retraités]]</f>
        <v>22386.987296509556</v>
      </c>
      <c r="AZ277" s="4">
        <f>Base[[#This Row],['[SC']Budget_par_retraité]]*Base[[#This Row],['[SC']Nb_personnes_dépendantes]]</f>
        <v>0</v>
      </c>
      <c r="BA277" s="4">
        <f>Base[[#This Row],['[SC']'[Dépendance']Coût_retraite_personnes_dépendantes]]/Base[[#This Row],[Population_totale]]</f>
        <v>0</v>
      </c>
      <c r="BB2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7" s="4">
        <f>Base[[#This Row],['[SC']'[Dépendance']Gains]]-Base[[#This Row],['[SC']'[Dépendance']Coûts]]</f>
        <v>0</v>
      </c>
      <c r="BD277" s="4">
        <f>IF(Base[[#This Row],[Pathologie]]&lt;&gt;"Mort prématurée",0,Base[[#This Row],[Risque]]*Base[[#This Row],[Prévalence]]*Base[[#This Row],[Population_totale]])</f>
        <v>0</v>
      </c>
      <c r="BE277" s="4">
        <v>52.74</v>
      </c>
      <c r="BF277" s="4">
        <f>Base[[#This Row],['[SC']Âge_moyen_retraite]]-Base[[#This Row],['[SC']'[Mort_prématurée']Âge_moyen_mort précoce]]</f>
        <v>10.159999999999997</v>
      </c>
      <c r="BG277" s="4">
        <f>Base[[#This Row],[Espérance_vie]]+Base[[#This Row],['[SC']Hausse_esp_de_vie]]-Base[[#This Row],['[SC']Âge_moyen_retraite]]</f>
        <v>20.236955218602098</v>
      </c>
      <c r="BH277" s="4">
        <v>106583.42676924677</v>
      </c>
      <c r="BI277" s="4">
        <v>97601.789429271477</v>
      </c>
      <c r="BJ277" s="4">
        <v>302038.31496633729</v>
      </c>
      <c r="BK277" s="4">
        <v>117293.58934859755</v>
      </c>
      <c r="BL277" s="4">
        <v>1523999.9999999995</v>
      </c>
      <c r="BM2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7" s="4">
        <v>294804.96027377353</v>
      </c>
      <c r="BO2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7" s="4">
        <f>(Base[[#This Row],['[SC']'[Mort_prématurée']Gains]]-Base[[#This Row],['[SC']'[Mort_prématurée']Coûts]])/Base[[#This Row],[Population_totale]]</f>
        <v>0</v>
      </c>
      <c r="BQ277" s="4">
        <f>IF(Base[[#This Row],[Pathologie]]&lt;&gt;"Mort prématurée",0,Base[[#This Row],[Risque]])</f>
        <v>0</v>
      </c>
      <c r="BR277" s="4">
        <v>2680</v>
      </c>
      <c r="BS2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7" s="4">
        <f>Base[[#This Row],[Prévalence_prod]]*(1-Base[[#This Row],[Risque]])*Base[[#This Row],[Durée_arrêt]]*Base[[#This Row],[Population_emploi]]</f>
        <v>5484051.6007263586</v>
      </c>
      <c r="BV277" s="4">
        <f>Base[[#This Row],['[Prod']'[Absentéisme']Total_jours_absence_avant]]-Base[[#This Row],['[Prod']'[Absentéisme']Total_jours_absence_après]]</f>
        <v>5109160.3484060708</v>
      </c>
      <c r="BW277" s="4">
        <f>IF(AND(Base[[#This Row],[Pathologie]]&lt;&gt;"Dépendance",Base[[#This Row],[Pathologie]]&lt;&gt;"Mort prématurée",Base[[#This Row],[Pathologie]]&lt;&gt;"Migraine"),0.0619,0)</f>
        <v>6.1899999999999997E-2</v>
      </c>
      <c r="BX277" s="4">
        <v>254</v>
      </c>
      <c r="BY277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7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7" s="4">
        <f>Base[[#This Row],[Prévalence_prod]]*Base[[#This Row],[Présentéisme]]*Base[[#This Row],['[Prod']Jours_ouvrés]]</f>
        <v>1.0626852000000002</v>
      </c>
      <c r="CB277" s="4">
        <f>Base[[#This Row],[Prévalence_prod]]*(1-Base[[#This Row],[Risque]])*Base[[#This Row],[Présentéisme]]*Base[[#This Row],['[Prod']Jours_ouvrés]]</f>
        <v>0.5501466882861249</v>
      </c>
      <c r="CC277" s="4">
        <f>Base[[#This Row],['[Prod']'[Présentéisme']Jours_avant]]-Base[[#This Row],['[Prod']'[Présentéisme']Jours_après]]</f>
        <v>0.51253851171387532</v>
      </c>
      <c r="CD277" s="4">
        <f>Base[[#This Row],['[Prod']'[Présentéisme']Jours_gagnés]]/Base[[#This Row],['[Prod']Jours_ouvrés]]</f>
        <v>2.01786815635384E-3</v>
      </c>
      <c r="CE277">
        <v>7.5880726467531134E-2</v>
      </c>
      <c r="CF277">
        <v>1.989821358241517E-2</v>
      </c>
      <c r="CG277" s="4">
        <v>11</v>
      </c>
      <c r="CH277" s="4">
        <v>0.96913802401210614</v>
      </c>
      <c r="CI277" s="4">
        <v>0.10293966445307301</v>
      </c>
      <c r="CJ277" s="4">
        <f>IF(Base[[#This Row],[Secteur]]&lt;&gt;"Moyenne",Base[[#This Row],['[Prod']'[Turnover']DMC_initiale]]*(1+Base[[#This Row],['[Prod']'[Turnover']Ecart_accidents]]*Base[[#This Row],['[Prod']Impact_motifs_turnover]]),CJ260*CI260+CJ261*CI261+CJ262*CI262+CJ263*CI263+CJ264*CI264+CJ265*CI265+CJ266*CI266+CJ267*CI267+CJ268*CI268+CJ269*CI269+CJ270*CI270+CJ271*CI271+CJ272*CI272+CJ273*CI273+CJ274*CI274+CJ275*CI275+CJ276*CI276)</f>
        <v>11.212125269318959</v>
      </c>
      <c r="CK277" s="4">
        <f>1/Base[[#This Row],['[Prod']'[Turnover']DMC_initiale]]</f>
        <v>9.0909090909090912E-2</v>
      </c>
      <c r="CL277" s="4">
        <f>1/Base[[#This Row],['[Prod']'[Turnover']DMC_finale]]</f>
        <v>8.9189156915363429E-2</v>
      </c>
    </row>
    <row r="278" spans="2:90" x14ac:dyDescent="0.25">
      <c r="B278" s="4" t="s">
        <v>324</v>
      </c>
      <c r="C278">
        <v>15</v>
      </c>
      <c r="D278" t="s">
        <v>83</v>
      </c>
      <c r="E278" t="s">
        <v>4</v>
      </c>
      <c r="F278" s="3">
        <v>0.48230511887610295</v>
      </c>
      <c r="G278" s="3">
        <v>3.6700000000000003E-2</v>
      </c>
      <c r="H278" s="3">
        <v>3.6700000000000003E-2</v>
      </c>
      <c r="I278" s="3">
        <v>0.114</v>
      </c>
      <c r="J278" s="3">
        <v>10.311441509770701</v>
      </c>
      <c r="K278" s="3">
        <v>7.0000000000000007E-2</v>
      </c>
      <c r="L278" s="2">
        <f>Base[[#This Row],[Coût]]*Base[[#This Row],[Part_ménages_dépenses_santé]]</f>
        <v>0.72180090568394906</v>
      </c>
      <c r="M278" s="2">
        <v>0.99731334462301791</v>
      </c>
      <c r="N278" s="6">
        <v>27700000</v>
      </c>
      <c r="O278" s="7">
        <f>Base[[#This Row],[Coût_salarié]]*10^9*Base[[#This Row],[Risque]]*Base[[#This Row],[Prévalence]]*Base[[#This Row],[Part_coûts_salarié]]/Base[[#This Row],[Population_emploi]]</f>
        <v>0.45999935137384956</v>
      </c>
      <c r="P278">
        <v>50</v>
      </c>
      <c r="Q278">
        <v>50</v>
      </c>
      <c r="R278" s="2">
        <v>9.9999999999999978E-2</v>
      </c>
      <c r="S278" s="2">
        <v>0.33340000000000003</v>
      </c>
      <c r="T278" s="4">
        <v>3.6700000000000003E-2</v>
      </c>
      <c r="U278" s="4">
        <f>IF(Bases_annexes!$F$5=0,16.6587111018772,0.77*Bases_annexes!$F$5/(IF(OR(ISBLANK('Données_d''entrée'!$E$44),'Données_d''entrée'!$E$44=0),35,'Données_d''entrée'!$E$44)*52))</f>
        <v>16.658711101877199</v>
      </c>
      <c r="V278" s="4">
        <v>10.42033853287208</v>
      </c>
      <c r="W2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8" s="4">
        <v>234.5</v>
      </c>
      <c r="Y278" s="4">
        <f>(Base[[#This Row],['[Maladies']Coûts_évités_par_salarié]]+Base[[#This Row],['[Travail']Coûts_évités_par_salarié]])/Base[[#This Row],[Budget_santé_salarié]]</f>
        <v>3.4899239407378845E-2</v>
      </c>
      <c r="Z278" s="4">
        <v>0.8</v>
      </c>
      <c r="AA278" s="4">
        <f>Base[[#This Row],[Coût]]*Base[[#This Row],[Part_société_dépenses_santé]]</f>
        <v>8.2491532078165601</v>
      </c>
      <c r="AB278" s="4">
        <v>67635124</v>
      </c>
      <c r="AC278" s="4">
        <v>82.297079063317852</v>
      </c>
      <c r="AD278" s="4">
        <v>3.6700000000000003E-2</v>
      </c>
      <c r="AE278" s="4">
        <f>Base[[#This Row],['[SC']Prévalence_travail]]*Base[[#This Row],[Population_emploi]]</f>
        <v>1016590.0000000001</v>
      </c>
      <c r="AF278" s="4">
        <f>Base[[#This Row],[Risque]]*Base[[#This Row],['[SC']Patients_en_emploi]]</f>
        <v>490306.56079825753</v>
      </c>
      <c r="AG278" s="4">
        <v>756671404.20000005</v>
      </c>
      <c r="AH278" s="4">
        <f>IFERROR(Base[[#This Row],['[SC']Prestations]]/Base[[#This Row],['[SC']Patients_en_emploi]],0)</f>
        <v>744.32308423258144</v>
      </c>
      <c r="AI278" s="4">
        <v>51.7</v>
      </c>
      <c r="AJ2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8" s="4">
        <f>Base[[#This Row],['[SC']'[Travail']Coûts_évités]]/Base[[#This Row],[Population_emploi]]</f>
        <v>13.174963593964936</v>
      </c>
      <c r="AL278" s="4">
        <f>Base[[#This Row],[Coût_société]]*10^9*Base[[#This Row],[Risque]]*Base[[#This Row],[Prévalence]]*Base[[#This Row],[Part_coûts_salarié]]/Base[[#This Row],[Population_emploi]]</f>
        <v>5.2571354442725662</v>
      </c>
      <c r="AM278" s="4">
        <f>IF(Base[[#This Row],[Pathologie]]&lt;&gt;"Dépendance",0,14909.24243952)</f>
        <v>0</v>
      </c>
      <c r="AN278" s="4">
        <f>IF(Base[[#This Row],[Pathologie]]&lt;&gt;"Dépendance",0,1316000)</f>
        <v>0</v>
      </c>
      <c r="AO278" s="4">
        <f>IF(Base[[#This Row],[Pathologie]]&lt;&gt;"Dépendance",0,Base[[#This Row],['[SC']Coût_personne_dépendante]]*Base[[#This Row],['[SC']Nb_personnes_dépendantes]])</f>
        <v>0</v>
      </c>
      <c r="AP278" s="4">
        <f>IF(Base[[#This Row],[Pathologie]]&lt;&gt;"Dépendance",0,Base[[#This Row],['[SC']Coût_total_dépendance]]/Base[[#This Row],[Population_totale]])</f>
        <v>0</v>
      </c>
      <c r="AQ278" s="4">
        <f>IF(Base[[#This Row],[Pathologie]]&lt;&gt;"Dépendance",0,4.5)</f>
        <v>0</v>
      </c>
      <c r="AR278" s="4">
        <v>0.83987615528424797</v>
      </c>
      <c r="AS278" s="4">
        <f>Base[[#This Row],[Espérance_vie]]+Base[[#This Row],['[SC']Hausse_esp_de_vie]]-Base[[#This Row],['[SC']Durée_moyenne_dépendance_avt]]+Base[[#This Row],[Risque]]</f>
        <v>83.619260337478195</v>
      </c>
      <c r="AT2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8" s="4">
        <v>62.9</v>
      </c>
      <c r="AW278" s="4">
        <f t="shared" si="0"/>
        <v>336905600000</v>
      </c>
      <c r="AX278" s="4">
        <v>15049171</v>
      </c>
      <c r="AY278" s="4">
        <f>Base[[#This Row],['[SC']Budget_total_retraites]]/Base[[#This Row],['[SC']Nombre_de_retraités]]</f>
        <v>22386.987296509556</v>
      </c>
      <c r="AZ278" s="4">
        <f>Base[[#This Row],['[SC']Budget_par_retraité]]*Base[[#This Row],['[SC']Nb_personnes_dépendantes]]</f>
        <v>0</v>
      </c>
      <c r="BA278" s="4">
        <f>Base[[#This Row],['[SC']'[Dépendance']Coût_retraite_personnes_dépendantes]]/Base[[#This Row],[Population_totale]]</f>
        <v>0</v>
      </c>
      <c r="BB2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8" s="4">
        <f>Base[[#This Row],['[SC']'[Dépendance']Gains]]-Base[[#This Row],['[SC']'[Dépendance']Coûts]]</f>
        <v>0</v>
      </c>
      <c r="BD278" s="4">
        <f>IF(Base[[#This Row],[Pathologie]]&lt;&gt;"Mort prématurée",0,Base[[#This Row],[Risque]]*Base[[#This Row],[Prévalence]]*Base[[#This Row],[Population_totale]])</f>
        <v>0</v>
      </c>
      <c r="BE278" s="4">
        <v>52.74</v>
      </c>
      <c r="BF278" s="4">
        <f>Base[[#This Row],['[SC']Âge_moyen_retraite]]-Base[[#This Row],['[SC']'[Mort_prématurée']Âge_moyen_mort précoce]]</f>
        <v>10.159999999999997</v>
      </c>
      <c r="BG278" s="4">
        <f>Base[[#This Row],[Espérance_vie]]+Base[[#This Row],['[SC']Hausse_esp_de_vie]]-Base[[#This Row],['[SC']Âge_moyen_retraite]]</f>
        <v>20.236955218602098</v>
      </c>
      <c r="BH278" s="4">
        <v>106583.42676924677</v>
      </c>
      <c r="BI278" s="4">
        <v>97601.789429271477</v>
      </c>
      <c r="BJ278" s="4">
        <v>302038.31496633729</v>
      </c>
      <c r="BK278" s="4">
        <v>117293.58934859755</v>
      </c>
      <c r="BL278" s="4">
        <v>1523999.9999999995</v>
      </c>
      <c r="BM2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8" s="4">
        <v>294804.96027377353</v>
      </c>
      <c r="BO2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8" s="4">
        <f>(Base[[#This Row],['[SC']'[Mort_prématurée']Gains]]-Base[[#This Row],['[SC']'[Mort_prématurée']Coûts]])/Base[[#This Row],[Population_totale]]</f>
        <v>0</v>
      </c>
      <c r="BQ278" s="4">
        <f>IF(Base[[#This Row],[Pathologie]]&lt;&gt;"Mort prématurée",0,Base[[#This Row],[Risque]])</f>
        <v>0</v>
      </c>
      <c r="BR278" s="4">
        <v>2680</v>
      </c>
      <c r="BS2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8" s="4">
        <f>Base[[#This Row],[Prévalence_prod]]*(1-Base[[#This Row],[Risque]])*Base[[#This Row],[Durée_arrêt]]*Base[[#This Row],[Population_emploi]]</f>
        <v>5484051.6007263586</v>
      </c>
      <c r="BV278" s="4">
        <f>Base[[#This Row],['[Prod']'[Absentéisme']Total_jours_absence_avant]]-Base[[#This Row],['[Prod']'[Absentéisme']Total_jours_absence_après]]</f>
        <v>5109160.3484060708</v>
      </c>
      <c r="BW278" s="4">
        <f>IF(AND(Base[[#This Row],[Pathologie]]&lt;&gt;"Dépendance",Base[[#This Row],[Pathologie]]&lt;&gt;"Mort prématurée",Base[[#This Row],[Pathologie]]&lt;&gt;"Migraine"),0.0619,0)</f>
        <v>6.1899999999999997E-2</v>
      </c>
      <c r="BX278" s="4">
        <v>254</v>
      </c>
      <c r="BY278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8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8" s="4">
        <f>Base[[#This Row],[Prévalence_prod]]*Base[[#This Row],[Présentéisme]]*Base[[#This Row],['[Prod']Jours_ouvrés]]</f>
        <v>1.0626852000000002</v>
      </c>
      <c r="CB278" s="4">
        <f>Base[[#This Row],[Prévalence_prod]]*(1-Base[[#This Row],[Risque]])*Base[[#This Row],[Présentéisme]]*Base[[#This Row],['[Prod']Jours_ouvrés]]</f>
        <v>0.5501466882861249</v>
      </c>
      <c r="CC278" s="4">
        <f>Base[[#This Row],['[Prod']'[Présentéisme']Jours_avant]]-Base[[#This Row],['[Prod']'[Présentéisme']Jours_après]]</f>
        <v>0.51253851171387532</v>
      </c>
      <c r="CD278" s="4">
        <f>Base[[#This Row],['[Prod']'[Présentéisme']Jours_gagnés]]/Base[[#This Row],['[Prod']Jours_ouvrés]]</f>
        <v>2.01786815635384E-3</v>
      </c>
      <c r="CE278">
        <v>7.5880726467531134E-2</v>
      </c>
      <c r="CF278">
        <v>1.989821358241517E-2</v>
      </c>
      <c r="CG278" s="4">
        <v>11</v>
      </c>
      <c r="CH278" s="4">
        <v>1.3987208237662601</v>
      </c>
      <c r="CI278" s="4">
        <v>2.1768516166491274E-2</v>
      </c>
      <c r="CJ278" s="4">
        <f>IF(Base[[#This Row],[Secteur]]&lt;&gt;"Moyenne",Base[[#This Row],['[Prod']'[Turnover']DMC_initiale]]*(1+Base[[#This Row],['[Prod']'[Turnover']Ecart_accidents]]*Base[[#This Row],['[Prod']Impact_motifs_turnover]]),CJ261*CI261+CJ262*CI262+CJ263*CI263+CJ264*CI264+CJ265*CI265+CJ266*CI266+CJ267*CI267+CJ268*CI268+CJ269*CI269+CJ270*CI270+CJ271*CI271+CJ272*CI272+CJ273*CI273+CJ274*CI274+CJ275*CI275+CJ276*CI276+CJ277*CI277)</f>
        <v>11.306152502628199</v>
      </c>
      <c r="CK278" s="4">
        <f>1/Base[[#This Row],['[Prod']'[Turnover']DMC_initiale]]</f>
        <v>9.0909090909090912E-2</v>
      </c>
      <c r="CL278" s="4">
        <f>1/Base[[#This Row],['[Prod']'[Turnover']DMC_finale]]</f>
        <v>8.8447418320913546E-2</v>
      </c>
    </row>
    <row r="279" spans="2:90" x14ac:dyDescent="0.25">
      <c r="B279" s="4" t="s">
        <v>325</v>
      </c>
      <c r="C279">
        <v>15</v>
      </c>
      <c r="D279" t="s">
        <v>83</v>
      </c>
      <c r="E279" t="s">
        <v>4</v>
      </c>
      <c r="F279" s="3">
        <v>0.48230511887610295</v>
      </c>
      <c r="G279" s="3">
        <v>3.6700000000000003E-2</v>
      </c>
      <c r="H279" s="3">
        <v>3.6700000000000003E-2</v>
      </c>
      <c r="I279" s="3">
        <v>0.114</v>
      </c>
      <c r="J279" s="3">
        <v>10.311441509770701</v>
      </c>
      <c r="K279" s="3">
        <v>7.0000000000000007E-2</v>
      </c>
      <c r="L279" s="2">
        <f>Base[[#This Row],[Coût]]*Base[[#This Row],[Part_ménages_dépenses_santé]]</f>
        <v>0.72180090568394906</v>
      </c>
      <c r="M279" s="2">
        <v>0.99731334462301791</v>
      </c>
      <c r="N279" s="6">
        <v>27700000</v>
      </c>
      <c r="O279" s="7">
        <f>Base[[#This Row],[Coût_salarié]]*10^9*Base[[#This Row],[Risque]]*Base[[#This Row],[Prévalence]]*Base[[#This Row],[Part_coûts_salarié]]/Base[[#This Row],[Population_emploi]]</f>
        <v>0.45999935137384956</v>
      </c>
      <c r="P279">
        <v>50</v>
      </c>
      <c r="Q279">
        <v>50</v>
      </c>
      <c r="R279" s="2">
        <v>9.9999999999999978E-2</v>
      </c>
      <c r="S279" s="2">
        <v>0.33340000000000003</v>
      </c>
      <c r="T279" s="4">
        <v>3.6700000000000003E-2</v>
      </c>
      <c r="U279" s="4">
        <f>IF(Bases_annexes!$F$5=0,16.6587111018772,0.77*Bases_annexes!$F$5/(IF(OR(ISBLANK('Données_d''entrée'!$E$44),'Données_d''entrée'!$E$44=0),35,'Données_d''entrée'!$E$44)*52))</f>
        <v>16.658711101877199</v>
      </c>
      <c r="V279" s="4">
        <v>10.42033853287208</v>
      </c>
      <c r="W2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79" s="4">
        <v>234.5</v>
      </c>
      <c r="Y279" s="4">
        <f>(Base[[#This Row],['[Maladies']Coûts_évités_par_salarié]]+Base[[#This Row],['[Travail']Coûts_évités_par_salarié]])/Base[[#This Row],[Budget_santé_salarié]]</f>
        <v>3.4899239407378845E-2</v>
      </c>
      <c r="Z279" s="4">
        <v>0.8</v>
      </c>
      <c r="AA279" s="4">
        <f>Base[[#This Row],[Coût]]*Base[[#This Row],[Part_société_dépenses_santé]]</f>
        <v>8.2491532078165601</v>
      </c>
      <c r="AB279" s="4">
        <v>67635124</v>
      </c>
      <c r="AC279" s="4">
        <v>82.297079063317852</v>
      </c>
      <c r="AD279" s="4">
        <v>3.6700000000000003E-2</v>
      </c>
      <c r="AE279" s="4">
        <f>Base[[#This Row],['[SC']Prévalence_travail]]*Base[[#This Row],[Population_emploi]]</f>
        <v>1016590.0000000001</v>
      </c>
      <c r="AF279" s="4">
        <f>Base[[#This Row],[Risque]]*Base[[#This Row],['[SC']Patients_en_emploi]]</f>
        <v>490306.56079825753</v>
      </c>
      <c r="AG279" s="4">
        <v>756671404.20000005</v>
      </c>
      <c r="AH279" s="4">
        <f>IFERROR(Base[[#This Row],['[SC']Prestations]]/Base[[#This Row],['[SC']Patients_en_emploi]],0)</f>
        <v>744.32308423258144</v>
      </c>
      <c r="AI279" s="4">
        <v>51.7</v>
      </c>
      <c r="AJ2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79" s="4">
        <f>Base[[#This Row],['[SC']'[Travail']Coûts_évités]]/Base[[#This Row],[Population_emploi]]</f>
        <v>13.174963593964936</v>
      </c>
      <c r="AL279" s="4">
        <f>Base[[#This Row],[Coût_société]]*10^9*Base[[#This Row],[Risque]]*Base[[#This Row],[Prévalence]]*Base[[#This Row],[Part_coûts_salarié]]/Base[[#This Row],[Population_emploi]]</f>
        <v>5.2571354442725662</v>
      </c>
      <c r="AM279" s="4">
        <f>IF(Base[[#This Row],[Pathologie]]&lt;&gt;"Dépendance",0,14909.24243952)</f>
        <v>0</v>
      </c>
      <c r="AN279" s="4">
        <f>IF(Base[[#This Row],[Pathologie]]&lt;&gt;"Dépendance",0,1316000)</f>
        <v>0</v>
      </c>
      <c r="AO279" s="4">
        <f>IF(Base[[#This Row],[Pathologie]]&lt;&gt;"Dépendance",0,Base[[#This Row],['[SC']Coût_personne_dépendante]]*Base[[#This Row],['[SC']Nb_personnes_dépendantes]])</f>
        <v>0</v>
      </c>
      <c r="AP279" s="4">
        <f>IF(Base[[#This Row],[Pathologie]]&lt;&gt;"Dépendance",0,Base[[#This Row],['[SC']Coût_total_dépendance]]/Base[[#This Row],[Population_totale]])</f>
        <v>0</v>
      </c>
      <c r="AQ279" s="4">
        <f>IF(Base[[#This Row],[Pathologie]]&lt;&gt;"Dépendance",0,4.5)</f>
        <v>0</v>
      </c>
      <c r="AR279" s="4">
        <v>0.83987615528424797</v>
      </c>
      <c r="AS279" s="4">
        <f>Base[[#This Row],[Espérance_vie]]+Base[[#This Row],['[SC']Hausse_esp_de_vie]]-Base[[#This Row],['[SC']Durée_moyenne_dépendance_avt]]+Base[[#This Row],[Risque]]</f>
        <v>83.619260337478195</v>
      </c>
      <c r="AT2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79" s="4">
        <v>62.9</v>
      </c>
      <c r="AW279" s="4">
        <f t="shared" si="0"/>
        <v>336905600000</v>
      </c>
      <c r="AX279" s="4">
        <v>15049171</v>
      </c>
      <c r="AY279" s="4">
        <f>Base[[#This Row],['[SC']Budget_total_retraites]]/Base[[#This Row],['[SC']Nombre_de_retraités]]</f>
        <v>22386.987296509556</v>
      </c>
      <c r="AZ279" s="4">
        <f>Base[[#This Row],['[SC']Budget_par_retraité]]*Base[[#This Row],['[SC']Nb_personnes_dépendantes]]</f>
        <v>0</v>
      </c>
      <c r="BA279" s="4">
        <f>Base[[#This Row],['[SC']'[Dépendance']Coût_retraite_personnes_dépendantes]]/Base[[#This Row],[Population_totale]]</f>
        <v>0</v>
      </c>
      <c r="BB2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79" s="4">
        <f>Base[[#This Row],['[SC']'[Dépendance']Gains]]-Base[[#This Row],['[SC']'[Dépendance']Coûts]]</f>
        <v>0</v>
      </c>
      <c r="BD279" s="4">
        <f>IF(Base[[#This Row],[Pathologie]]&lt;&gt;"Mort prématurée",0,Base[[#This Row],[Risque]]*Base[[#This Row],[Prévalence]]*Base[[#This Row],[Population_totale]])</f>
        <v>0</v>
      </c>
      <c r="BE279" s="4">
        <v>52.74</v>
      </c>
      <c r="BF279" s="4">
        <f>Base[[#This Row],['[SC']Âge_moyen_retraite]]-Base[[#This Row],['[SC']'[Mort_prématurée']Âge_moyen_mort précoce]]</f>
        <v>10.159999999999997</v>
      </c>
      <c r="BG279" s="4">
        <f>Base[[#This Row],[Espérance_vie]]+Base[[#This Row],['[SC']Hausse_esp_de_vie]]-Base[[#This Row],['[SC']Âge_moyen_retraite]]</f>
        <v>20.236955218602098</v>
      </c>
      <c r="BH279" s="4">
        <v>106583.42676924677</v>
      </c>
      <c r="BI279" s="4">
        <v>97601.789429271477</v>
      </c>
      <c r="BJ279" s="4">
        <v>302038.31496633729</v>
      </c>
      <c r="BK279" s="4">
        <v>117293.58934859755</v>
      </c>
      <c r="BL279" s="4">
        <v>1523999.9999999995</v>
      </c>
      <c r="BM2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79" s="4">
        <v>294804.96027377353</v>
      </c>
      <c r="BO2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79" s="4">
        <f>(Base[[#This Row],['[SC']'[Mort_prématurée']Gains]]-Base[[#This Row],['[SC']'[Mort_prématurée']Coûts]])/Base[[#This Row],[Population_totale]]</f>
        <v>0</v>
      </c>
      <c r="BQ279" s="4">
        <f>IF(Base[[#This Row],[Pathologie]]&lt;&gt;"Mort prématurée",0,Base[[#This Row],[Risque]])</f>
        <v>0</v>
      </c>
      <c r="BR279" s="4">
        <v>2680</v>
      </c>
      <c r="BS2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79" s="4">
        <f>Base[[#This Row],[Prévalence_prod]]*(1-Base[[#This Row],[Risque]])*Base[[#This Row],[Durée_arrêt]]*Base[[#This Row],[Population_emploi]]</f>
        <v>5484051.6007263586</v>
      </c>
      <c r="BV279" s="4">
        <f>Base[[#This Row],['[Prod']'[Absentéisme']Total_jours_absence_avant]]-Base[[#This Row],['[Prod']'[Absentéisme']Total_jours_absence_après]]</f>
        <v>5109160.3484060708</v>
      </c>
      <c r="BW279" s="4">
        <f>IF(AND(Base[[#This Row],[Pathologie]]&lt;&gt;"Dépendance",Base[[#This Row],[Pathologie]]&lt;&gt;"Mort prématurée",Base[[#This Row],[Pathologie]]&lt;&gt;"Migraine"),0.0619,0)</f>
        <v>6.1899999999999997E-2</v>
      </c>
      <c r="BX279" s="4">
        <v>254</v>
      </c>
      <c r="BY27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79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79" s="4">
        <f>Base[[#This Row],[Prévalence_prod]]*Base[[#This Row],[Présentéisme]]*Base[[#This Row],['[Prod']Jours_ouvrés]]</f>
        <v>1.0626852000000002</v>
      </c>
      <c r="CB279" s="4">
        <f>Base[[#This Row],[Prévalence_prod]]*(1-Base[[#This Row],[Risque]])*Base[[#This Row],[Présentéisme]]*Base[[#This Row],['[Prod']Jours_ouvrés]]</f>
        <v>0.5501466882861249</v>
      </c>
      <c r="CC279" s="4">
        <f>Base[[#This Row],['[Prod']'[Présentéisme']Jours_avant]]-Base[[#This Row],['[Prod']'[Présentéisme']Jours_après]]</f>
        <v>0.51253851171387532</v>
      </c>
      <c r="CD279" s="4">
        <f>Base[[#This Row],['[Prod']'[Présentéisme']Jours_gagnés]]/Base[[#This Row],['[Prod']Jours_ouvrés]]</f>
        <v>2.01786815635384E-3</v>
      </c>
      <c r="CE279">
        <v>7.5880726467531134E-2</v>
      </c>
      <c r="CF279">
        <v>1.989821358241517E-2</v>
      </c>
      <c r="CG279" s="4">
        <v>11</v>
      </c>
      <c r="CH279" s="4">
        <v>1.1624525375985588</v>
      </c>
      <c r="CI279" s="4">
        <v>3.7953151649308701E-2</v>
      </c>
      <c r="CJ279" s="4">
        <f>IF(Base[[#This Row],[Secteur]]&lt;&gt;"Moyenne",Base[[#This Row],['[Prod']'[Turnover']DMC_initiale]]*(1+Base[[#This Row],['[Prod']'[Turnover']Ecart_accidents]]*Base[[#This Row],['[Prod']Impact_motifs_turnover]]),CJ262*CI262+CJ263*CI263+CJ264*CI264+CJ265*CI265+CJ266*CI266+CJ267*CI267+CJ268*CI268+CJ269*CI269+CJ270*CI270+CJ271*CI271+CJ272*CI272+CJ273*CI273+CJ274*CI274+CJ275*CI275+CJ276*CI276+CJ277*CI277+CJ278*CI278)</f>
        <v>11.254438017598122</v>
      </c>
      <c r="CK279" s="4">
        <f>1/Base[[#This Row],['[Prod']'[Turnover']DMC_initiale]]</f>
        <v>9.0909090909090912E-2</v>
      </c>
      <c r="CL279" s="4">
        <f>1/Base[[#This Row],['[Prod']'[Turnover']DMC_finale]]</f>
        <v>8.885383689850522E-2</v>
      </c>
    </row>
    <row r="280" spans="2:90" x14ac:dyDescent="0.25">
      <c r="B280" s="4" t="s">
        <v>326</v>
      </c>
      <c r="C280">
        <v>15</v>
      </c>
      <c r="D280" t="s">
        <v>83</v>
      </c>
      <c r="E280" t="s">
        <v>4</v>
      </c>
      <c r="F280" s="3">
        <v>0.48230511887610295</v>
      </c>
      <c r="G280" s="3">
        <v>3.6700000000000003E-2</v>
      </c>
      <c r="H280" s="3">
        <v>3.6700000000000003E-2</v>
      </c>
      <c r="I280" s="3">
        <v>0.114</v>
      </c>
      <c r="J280" s="3">
        <v>10.311441509770701</v>
      </c>
      <c r="K280" s="3">
        <v>7.0000000000000007E-2</v>
      </c>
      <c r="L280" s="2">
        <f>Base[[#This Row],[Coût]]*Base[[#This Row],[Part_ménages_dépenses_santé]]</f>
        <v>0.72180090568394906</v>
      </c>
      <c r="M280" s="2">
        <v>0.99731334462301791</v>
      </c>
      <c r="N280" s="6">
        <v>27700000</v>
      </c>
      <c r="O280" s="7">
        <f>Base[[#This Row],[Coût_salarié]]*10^9*Base[[#This Row],[Risque]]*Base[[#This Row],[Prévalence]]*Base[[#This Row],[Part_coûts_salarié]]/Base[[#This Row],[Population_emploi]]</f>
        <v>0.45999935137384956</v>
      </c>
      <c r="P280">
        <v>50</v>
      </c>
      <c r="Q280">
        <v>50</v>
      </c>
      <c r="R280" s="2">
        <v>9.9999999999999978E-2</v>
      </c>
      <c r="S280" s="2">
        <v>0.33340000000000003</v>
      </c>
      <c r="T280" s="4">
        <v>3.6700000000000003E-2</v>
      </c>
      <c r="U280" s="4">
        <f>IF(Bases_annexes!$F$5=0,16.6587111018772,0.77*Bases_annexes!$F$5/(IF(OR(ISBLANK('Données_d''entrée'!$E$44),'Données_d''entrée'!$E$44=0),35,'Données_d''entrée'!$E$44)*52))</f>
        <v>16.658711101877199</v>
      </c>
      <c r="V280" s="4">
        <v>10.42033853287208</v>
      </c>
      <c r="W2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0" s="4">
        <v>234.5</v>
      </c>
      <c r="Y280" s="4">
        <f>(Base[[#This Row],['[Maladies']Coûts_évités_par_salarié]]+Base[[#This Row],['[Travail']Coûts_évités_par_salarié]])/Base[[#This Row],[Budget_santé_salarié]]</f>
        <v>3.4899239407378845E-2</v>
      </c>
      <c r="Z280" s="4">
        <v>0.8</v>
      </c>
      <c r="AA280" s="4">
        <f>Base[[#This Row],[Coût]]*Base[[#This Row],[Part_société_dépenses_santé]]</f>
        <v>8.2491532078165601</v>
      </c>
      <c r="AB280" s="4">
        <v>67635124</v>
      </c>
      <c r="AC280" s="4">
        <v>82.297079063317852</v>
      </c>
      <c r="AD280" s="4">
        <v>3.6700000000000003E-2</v>
      </c>
      <c r="AE280" s="4">
        <f>Base[[#This Row],['[SC']Prévalence_travail]]*Base[[#This Row],[Population_emploi]]</f>
        <v>1016590.0000000001</v>
      </c>
      <c r="AF280" s="4">
        <f>Base[[#This Row],[Risque]]*Base[[#This Row],['[SC']Patients_en_emploi]]</f>
        <v>490306.56079825753</v>
      </c>
      <c r="AG280" s="4">
        <v>756671404.20000005</v>
      </c>
      <c r="AH280" s="4">
        <f>IFERROR(Base[[#This Row],['[SC']Prestations]]/Base[[#This Row],['[SC']Patients_en_emploi]],0)</f>
        <v>744.32308423258144</v>
      </c>
      <c r="AI280" s="4">
        <v>51.7</v>
      </c>
      <c r="AJ2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0" s="4">
        <f>Base[[#This Row],['[SC']'[Travail']Coûts_évités]]/Base[[#This Row],[Population_emploi]]</f>
        <v>13.174963593964936</v>
      </c>
      <c r="AL280" s="4">
        <f>Base[[#This Row],[Coût_société]]*10^9*Base[[#This Row],[Risque]]*Base[[#This Row],[Prévalence]]*Base[[#This Row],[Part_coûts_salarié]]/Base[[#This Row],[Population_emploi]]</f>
        <v>5.2571354442725662</v>
      </c>
      <c r="AM280" s="4">
        <f>IF(Base[[#This Row],[Pathologie]]&lt;&gt;"Dépendance",0,14909.24243952)</f>
        <v>0</v>
      </c>
      <c r="AN280" s="4">
        <f>IF(Base[[#This Row],[Pathologie]]&lt;&gt;"Dépendance",0,1316000)</f>
        <v>0</v>
      </c>
      <c r="AO280" s="4">
        <f>IF(Base[[#This Row],[Pathologie]]&lt;&gt;"Dépendance",0,Base[[#This Row],['[SC']Coût_personne_dépendante]]*Base[[#This Row],['[SC']Nb_personnes_dépendantes]])</f>
        <v>0</v>
      </c>
      <c r="AP280" s="4">
        <f>IF(Base[[#This Row],[Pathologie]]&lt;&gt;"Dépendance",0,Base[[#This Row],['[SC']Coût_total_dépendance]]/Base[[#This Row],[Population_totale]])</f>
        <v>0</v>
      </c>
      <c r="AQ280" s="4">
        <f>IF(Base[[#This Row],[Pathologie]]&lt;&gt;"Dépendance",0,4.5)</f>
        <v>0</v>
      </c>
      <c r="AR280" s="4">
        <v>0.83987615528424797</v>
      </c>
      <c r="AS280" s="4">
        <f>Base[[#This Row],[Espérance_vie]]+Base[[#This Row],['[SC']Hausse_esp_de_vie]]-Base[[#This Row],['[SC']Durée_moyenne_dépendance_avt]]+Base[[#This Row],[Risque]]</f>
        <v>83.619260337478195</v>
      </c>
      <c r="AT2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0" s="4">
        <v>62.9</v>
      </c>
      <c r="AW280" s="4">
        <f t="shared" si="0"/>
        <v>336905600000</v>
      </c>
      <c r="AX280" s="4">
        <v>15049171</v>
      </c>
      <c r="AY280" s="4">
        <f>Base[[#This Row],['[SC']Budget_total_retraites]]/Base[[#This Row],['[SC']Nombre_de_retraités]]</f>
        <v>22386.987296509556</v>
      </c>
      <c r="AZ280" s="4">
        <f>Base[[#This Row],['[SC']Budget_par_retraité]]*Base[[#This Row],['[SC']Nb_personnes_dépendantes]]</f>
        <v>0</v>
      </c>
      <c r="BA280" s="4">
        <f>Base[[#This Row],['[SC']'[Dépendance']Coût_retraite_personnes_dépendantes]]/Base[[#This Row],[Population_totale]]</f>
        <v>0</v>
      </c>
      <c r="BB2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0" s="4">
        <f>Base[[#This Row],['[SC']'[Dépendance']Gains]]-Base[[#This Row],['[SC']'[Dépendance']Coûts]]</f>
        <v>0</v>
      </c>
      <c r="BD280" s="4">
        <f>IF(Base[[#This Row],[Pathologie]]&lt;&gt;"Mort prématurée",0,Base[[#This Row],[Risque]]*Base[[#This Row],[Prévalence]]*Base[[#This Row],[Population_totale]])</f>
        <v>0</v>
      </c>
      <c r="BE280" s="4">
        <v>52.74</v>
      </c>
      <c r="BF280" s="4">
        <f>Base[[#This Row],['[SC']Âge_moyen_retraite]]-Base[[#This Row],['[SC']'[Mort_prématurée']Âge_moyen_mort précoce]]</f>
        <v>10.159999999999997</v>
      </c>
      <c r="BG280" s="4">
        <f>Base[[#This Row],[Espérance_vie]]+Base[[#This Row],['[SC']Hausse_esp_de_vie]]-Base[[#This Row],['[SC']Âge_moyen_retraite]]</f>
        <v>20.236955218602098</v>
      </c>
      <c r="BH280" s="4">
        <v>106583.42676924677</v>
      </c>
      <c r="BI280" s="4">
        <v>97601.789429271477</v>
      </c>
      <c r="BJ280" s="4">
        <v>302038.31496633729</v>
      </c>
      <c r="BK280" s="4">
        <v>117293.58934859755</v>
      </c>
      <c r="BL280" s="4">
        <v>1523999.9999999995</v>
      </c>
      <c r="BM2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0" s="4">
        <v>294804.96027377353</v>
      </c>
      <c r="BO2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0" s="4">
        <f>(Base[[#This Row],['[SC']'[Mort_prématurée']Gains]]-Base[[#This Row],['[SC']'[Mort_prématurée']Coûts]])/Base[[#This Row],[Population_totale]]</f>
        <v>0</v>
      </c>
      <c r="BQ280" s="4">
        <f>IF(Base[[#This Row],[Pathologie]]&lt;&gt;"Mort prématurée",0,Base[[#This Row],[Risque]])</f>
        <v>0</v>
      </c>
      <c r="BR280" s="4">
        <v>2680</v>
      </c>
      <c r="BS2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0" s="4">
        <f>Base[[#This Row],[Prévalence_prod]]*(1-Base[[#This Row],[Risque]])*Base[[#This Row],[Durée_arrêt]]*Base[[#This Row],[Population_emploi]]</f>
        <v>5484051.6007263586</v>
      </c>
      <c r="BV280" s="4">
        <f>Base[[#This Row],['[Prod']'[Absentéisme']Total_jours_absence_avant]]-Base[[#This Row],['[Prod']'[Absentéisme']Total_jours_absence_après]]</f>
        <v>5109160.3484060708</v>
      </c>
      <c r="BW280" s="4">
        <f>IF(AND(Base[[#This Row],[Pathologie]]&lt;&gt;"Dépendance",Base[[#This Row],[Pathologie]]&lt;&gt;"Mort prématurée",Base[[#This Row],[Pathologie]]&lt;&gt;"Migraine"),0.0619,0)</f>
        <v>6.1899999999999997E-2</v>
      </c>
      <c r="BX280" s="4">
        <v>254</v>
      </c>
      <c r="BY28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0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0" s="4">
        <f>Base[[#This Row],[Prévalence_prod]]*Base[[#This Row],[Présentéisme]]*Base[[#This Row],['[Prod']Jours_ouvrés]]</f>
        <v>1.0626852000000002</v>
      </c>
      <c r="CB280" s="4">
        <f>Base[[#This Row],[Prévalence_prod]]*(1-Base[[#This Row],[Risque]])*Base[[#This Row],[Présentéisme]]*Base[[#This Row],['[Prod']Jours_ouvrés]]</f>
        <v>0.5501466882861249</v>
      </c>
      <c r="CC280" s="4">
        <f>Base[[#This Row],['[Prod']'[Présentéisme']Jours_avant]]-Base[[#This Row],['[Prod']'[Présentéisme']Jours_après]]</f>
        <v>0.51253851171387532</v>
      </c>
      <c r="CD280" s="4">
        <f>Base[[#This Row],['[Prod']'[Présentéisme']Jours_gagnés]]/Base[[#This Row],['[Prod']Jours_ouvrés]]</f>
        <v>2.01786815635384E-3</v>
      </c>
      <c r="CE280">
        <v>7.5880726467531134E-2</v>
      </c>
      <c r="CF280">
        <v>1.989821358241517E-2</v>
      </c>
      <c r="CG280" s="4">
        <v>11</v>
      </c>
      <c r="CH280" s="4">
        <v>0.19346787829229528</v>
      </c>
      <c r="CI280" s="4">
        <v>2.8126549817953091E-2</v>
      </c>
      <c r="CJ280" s="4">
        <f>IF(Base[[#This Row],[Secteur]]&lt;&gt;"Moyenne",Base[[#This Row],['[Prod']'[Turnover']DMC_initiale]]*(1+Base[[#This Row],['[Prod']'[Turnover']Ecart_accidents]]*Base[[#This Row],['[Prod']Impact_motifs_turnover]]),CJ263*CI263+CJ264*CI264+CJ265*CI265+CJ266*CI266+CJ267*CI267+CJ268*CI268+CJ269*CI269+CJ270*CI270+CJ271*CI271+CJ272*CI272+CJ273*CI273+CJ274*CI274+CJ275*CI275+CJ276*CI276+CJ277*CI277+CJ278*CI278+CJ279*CI279)</f>
        <v>11.042346316799566</v>
      </c>
      <c r="CK280" s="4">
        <f>1/Base[[#This Row],['[Prod']'[Turnover']DMC_initiale]]</f>
        <v>9.0909090909090912E-2</v>
      </c>
      <c r="CL280" s="4">
        <f>1/Base[[#This Row],['[Prod']'[Turnover']DMC_finale]]</f>
        <v>9.0560463447756881E-2</v>
      </c>
    </row>
    <row r="281" spans="2:90" x14ac:dyDescent="0.25">
      <c r="B281" s="4" t="s">
        <v>327</v>
      </c>
      <c r="C281">
        <v>15</v>
      </c>
      <c r="D281" t="s">
        <v>83</v>
      </c>
      <c r="E281" t="s">
        <v>4</v>
      </c>
      <c r="F281" s="3">
        <v>0.48230511887610295</v>
      </c>
      <c r="G281" s="3">
        <v>3.6700000000000003E-2</v>
      </c>
      <c r="H281" s="3">
        <v>3.6700000000000003E-2</v>
      </c>
      <c r="I281" s="3">
        <v>0.114</v>
      </c>
      <c r="J281" s="3">
        <v>10.311441509770701</v>
      </c>
      <c r="K281" s="3">
        <v>7.0000000000000007E-2</v>
      </c>
      <c r="L281" s="2">
        <f>Base[[#This Row],[Coût]]*Base[[#This Row],[Part_ménages_dépenses_santé]]</f>
        <v>0.72180090568394906</v>
      </c>
      <c r="M281" s="2">
        <v>0.99731334462301791</v>
      </c>
      <c r="N281" s="6">
        <v>27700000</v>
      </c>
      <c r="O281" s="7">
        <f>Base[[#This Row],[Coût_salarié]]*10^9*Base[[#This Row],[Risque]]*Base[[#This Row],[Prévalence]]*Base[[#This Row],[Part_coûts_salarié]]/Base[[#This Row],[Population_emploi]]</f>
        <v>0.45999935137384956</v>
      </c>
      <c r="P281">
        <v>50</v>
      </c>
      <c r="Q281">
        <v>50</v>
      </c>
      <c r="R281" s="2">
        <v>9.9999999999999978E-2</v>
      </c>
      <c r="S281" s="2">
        <v>0.33340000000000003</v>
      </c>
      <c r="T281" s="4">
        <v>3.6700000000000003E-2</v>
      </c>
      <c r="U281" s="4">
        <f>IF(Bases_annexes!$F$5=0,16.6587111018772,0.77*Bases_annexes!$F$5/(IF(OR(ISBLANK('Données_d''entrée'!$E$44),'Données_d''entrée'!$E$44=0),35,'Données_d''entrée'!$E$44)*52))</f>
        <v>16.658711101877199</v>
      </c>
      <c r="V281" s="4">
        <v>10.42033853287208</v>
      </c>
      <c r="W2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1" s="4">
        <v>234.5</v>
      </c>
      <c r="Y281" s="4">
        <f>(Base[[#This Row],['[Maladies']Coûts_évités_par_salarié]]+Base[[#This Row],['[Travail']Coûts_évités_par_salarié]])/Base[[#This Row],[Budget_santé_salarié]]</f>
        <v>3.4899239407378845E-2</v>
      </c>
      <c r="Z281" s="4">
        <v>0.8</v>
      </c>
      <c r="AA281" s="4">
        <f>Base[[#This Row],[Coût]]*Base[[#This Row],[Part_société_dépenses_santé]]</f>
        <v>8.2491532078165601</v>
      </c>
      <c r="AB281" s="4">
        <v>67635124</v>
      </c>
      <c r="AC281" s="4">
        <v>82.297079063317852</v>
      </c>
      <c r="AD281" s="4">
        <v>3.6700000000000003E-2</v>
      </c>
      <c r="AE281" s="4">
        <f>Base[[#This Row],['[SC']Prévalence_travail]]*Base[[#This Row],[Population_emploi]]</f>
        <v>1016590.0000000001</v>
      </c>
      <c r="AF281" s="4">
        <f>Base[[#This Row],[Risque]]*Base[[#This Row],['[SC']Patients_en_emploi]]</f>
        <v>490306.56079825753</v>
      </c>
      <c r="AG281" s="4">
        <v>756671404.20000005</v>
      </c>
      <c r="AH281" s="4">
        <f>IFERROR(Base[[#This Row],['[SC']Prestations]]/Base[[#This Row],['[SC']Patients_en_emploi]],0)</f>
        <v>744.32308423258144</v>
      </c>
      <c r="AI281" s="4">
        <v>51.7</v>
      </c>
      <c r="AJ2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1" s="4">
        <f>Base[[#This Row],['[SC']'[Travail']Coûts_évités]]/Base[[#This Row],[Population_emploi]]</f>
        <v>13.174963593964936</v>
      </c>
      <c r="AL281" s="4">
        <f>Base[[#This Row],[Coût_société]]*10^9*Base[[#This Row],[Risque]]*Base[[#This Row],[Prévalence]]*Base[[#This Row],[Part_coûts_salarié]]/Base[[#This Row],[Population_emploi]]</f>
        <v>5.2571354442725662</v>
      </c>
      <c r="AM281" s="4">
        <f>IF(Base[[#This Row],[Pathologie]]&lt;&gt;"Dépendance",0,14909.24243952)</f>
        <v>0</v>
      </c>
      <c r="AN281" s="4">
        <f>IF(Base[[#This Row],[Pathologie]]&lt;&gt;"Dépendance",0,1316000)</f>
        <v>0</v>
      </c>
      <c r="AO281" s="4">
        <f>IF(Base[[#This Row],[Pathologie]]&lt;&gt;"Dépendance",0,Base[[#This Row],['[SC']Coût_personne_dépendante]]*Base[[#This Row],['[SC']Nb_personnes_dépendantes]])</f>
        <v>0</v>
      </c>
      <c r="AP281" s="4">
        <f>IF(Base[[#This Row],[Pathologie]]&lt;&gt;"Dépendance",0,Base[[#This Row],['[SC']Coût_total_dépendance]]/Base[[#This Row],[Population_totale]])</f>
        <v>0</v>
      </c>
      <c r="AQ281" s="4">
        <f>IF(Base[[#This Row],[Pathologie]]&lt;&gt;"Dépendance",0,4.5)</f>
        <v>0</v>
      </c>
      <c r="AR281" s="4">
        <v>0.83987615528424797</v>
      </c>
      <c r="AS281" s="4">
        <f>Base[[#This Row],[Espérance_vie]]+Base[[#This Row],['[SC']Hausse_esp_de_vie]]-Base[[#This Row],['[SC']Durée_moyenne_dépendance_avt]]+Base[[#This Row],[Risque]]</f>
        <v>83.619260337478195</v>
      </c>
      <c r="AT2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1" s="4">
        <v>62.9</v>
      </c>
      <c r="AW281" s="4">
        <f t="shared" si="0"/>
        <v>336905600000</v>
      </c>
      <c r="AX281" s="4">
        <v>15049171</v>
      </c>
      <c r="AY281" s="4">
        <f>Base[[#This Row],['[SC']Budget_total_retraites]]/Base[[#This Row],['[SC']Nombre_de_retraités]]</f>
        <v>22386.987296509556</v>
      </c>
      <c r="AZ281" s="4">
        <f>Base[[#This Row],['[SC']Budget_par_retraité]]*Base[[#This Row],['[SC']Nb_personnes_dépendantes]]</f>
        <v>0</v>
      </c>
      <c r="BA281" s="4">
        <f>Base[[#This Row],['[SC']'[Dépendance']Coût_retraite_personnes_dépendantes]]/Base[[#This Row],[Population_totale]]</f>
        <v>0</v>
      </c>
      <c r="BB2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1" s="4">
        <f>Base[[#This Row],['[SC']'[Dépendance']Gains]]-Base[[#This Row],['[SC']'[Dépendance']Coûts]]</f>
        <v>0</v>
      </c>
      <c r="BD281" s="4">
        <f>IF(Base[[#This Row],[Pathologie]]&lt;&gt;"Mort prématurée",0,Base[[#This Row],[Risque]]*Base[[#This Row],[Prévalence]]*Base[[#This Row],[Population_totale]])</f>
        <v>0</v>
      </c>
      <c r="BE281" s="4">
        <v>52.74</v>
      </c>
      <c r="BF281" s="4">
        <f>Base[[#This Row],['[SC']Âge_moyen_retraite]]-Base[[#This Row],['[SC']'[Mort_prématurée']Âge_moyen_mort précoce]]</f>
        <v>10.159999999999997</v>
      </c>
      <c r="BG281" s="4">
        <f>Base[[#This Row],[Espérance_vie]]+Base[[#This Row],['[SC']Hausse_esp_de_vie]]-Base[[#This Row],['[SC']Âge_moyen_retraite]]</f>
        <v>20.236955218602098</v>
      </c>
      <c r="BH281" s="4">
        <v>106583.42676924677</v>
      </c>
      <c r="BI281" s="4">
        <v>97601.789429271477</v>
      </c>
      <c r="BJ281" s="4">
        <v>302038.31496633729</v>
      </c>
      <c r="BK281" s="4">
        <v>117293.58934859755</v>
      </c>
      <c r="BL281" s="4">
        <v>1523999.9999999995</v>
      </c>
      <c r="BM2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1" s="4">
        <v>294804.96027377353</v>
      </c>
      <c r="BO2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1" s="4">
        <f>(Base[[#This Row],['[SC']'[Mort_prématurée']Gains]]-Base[[#This Row],['[SC']'[Mort_prématurée']Coûts]])/Base[[#This Row],[Population_totale]]</f>
        <v>0</v>
      </c>
      <c r="BQ281" s="4">
        <f>IF(Base[[#This Row],[Pathologie]]&lt;&gt;"Mort prématurée",0,Base[[#This Row],[Risque]])</f>
        <v>0</v>
      </c>
      <c r="BR281" s="4">
        <v>2680</v>
      </c>
      <c r="BS2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1" s="4">
        <f>Base[[#This Row],[Prévalence_prod]]*(1-Base[[#This Row],[Risque]])*Base[[#This Row],[Durée_arrêt]]*Base[[#This Row],[Population_emploi]]</f>
        <v>5484051.6007263586</v>
      </c>
      <c r="BV281" s="4">
        <f>Base[[#This Row],['[Prod']'[Absentéisme']Total_jours_absence_avant]]-Base[[#This Row],['[Prod']'[Absentéisme']Total_jours_absence_après]]</f>
        <v>5109160.3484060708</v>
      </c>
      <c r="BW281" s="4">
        <f>IF(AND(Base[[#This Row],[Pathologie]]&lt;&gt;"Dépendance",Base[[#This Row],[Pathologie]]&lt;&gt;"Mort prématurée",Base[[#This Row],[Pathologie]]&lt;&gt;"Migraine"),0.0619,0)</f>
        <v>6.1899999999999997E-2</v>
      </c>
      <c r="BX281" s="4">
        <v>254</v>
      </c>
      <c r="BY281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1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1" s="4">
        <f>Base[[#This Row],[Prévalence_prod]]*Base[[#This Row],[Présentéisme]]*Base[[#This Row],['[Prod']Jours_ouvrés]]</f>
        <v>1.0626852000000002</v>
      </c>
      <c r="CB281" s="4">
        <f>Base[[#This Row],[Prévalence_prod]]*(1-Base[[#This Row],[Risque]])*Base[[#This Row],[Présentéisme]]*Base[[#This Row],['[Prod']Jours_ouvrés]]</f>
        <v>0.5501466882861249</v>
      </c>
      <c r="CC281" s="4">
        <f>Base[[#This Row],['[Prod']'[Présentéisme']Jours_avant]]-Base[[#This Row],['[Prod']'[Présentéisme']Jours_après]]</f>
        <v>0.51253851171387532</v>
      </c>
      <c r="CD281" s="4">
        <f>Base[[#This Row],['[Prod']'[Présentéisme']Jours_gagnés]]/Base[[#This Row],['[Prod']Jours_ouvrés]]</f>
        <v>2.01786815635384E-3</v>
      </c>
      <c r="CE281">
        <v>7.5880726467531134E-2</v>
      </c>
      <c r="CF281">
        <v>1.989821358241517E-2</v>
      </c>
      <c r="CG281" s="4">
        <v>11</v>
      </c>
      <c r="CH281" s="4">
        <v>0.13729577077682142</v>
      </c>
      <c r="CI281" s="4">
        <v>1.373516710817578E-2</v>
      </c>
      <c r="CJ281" s="4">
        <f>IF(Base[[#This Row],[Secteur]]&lt;&gt;"Moyenne",Base[[#This Row],['[Prod']'[Turnover']DMC_initiale]]*(1+Base[[#This Row],['[Prod']'[Turnover']Ecart_accidents]]*Base[[#This Row],['[Prod']Impact_motifs_turnover]]),CJ264*CI264+CJ265*CI265+CJ266*CI266+CJ267*CI267+CJ268*CI268+CJ269*CI269+CJ270*CI270+CJ271*CI271+CJ272*CI272+CJ273*CI273+CJ274*CI274+CJ275*CI275+CJ276*CI276+CJ277*CI277+CJ278*CI278+CJ279*CI279+CJ280*CI280)</f>
        <v>11.030051346279674</v>
      </c>
      <c r="CK281" s="4">
        <f>1/Base[[#This Row],['[Prod']'[Turnover']DMC_initiale]]</f>
        <v>9.0909090909090912E-2</v>
      </c>
      <c r="CL281" s="4">
        <f>1/Base[[#This Row],['[Prod']'[Turnover']DMC_finale]]</f>
        <v>9.0661409326738093E-2</v>
      </c>
    </row>
    <row r="282" spans="2:90" x14ac:dyDescent="0.25">
      <c r="B282" s="4" t="s">
        <v>328</v>
      </c>
      <c r="C282">
        <v>15</v>
      </c>
      <c r="D282" t="s">
        <v>83</v>
      </c>
      <c r="E282" t="s">
        <v>4</v>
      </c>
      <c r="F282" s="3">
        <v>0.48230511887610295</v>
      </c>
      <c r="G282" s="3">
        <v>3.6700000000000003E-2</v>
      </c>
      <c r="H282" s="3">
        <v>3.6700000000000003E-2</v>
      </c>
      <c r="I282" s="3">
        <v>0.114</v>
      </c>
      <c r="J282" s="3">
        <v>10.311441509770701</v>
      </c>
      <c r="K282" s="3">
        <v>7.0000000000000007E-2</v>
      </c>
      <c r="L282" s="2">
        <f>Base[[#This Row],[Coût]]*Base[[#This Row],[Part_ménages_dépenses_santé]]</f>
        <v>0.72180090568394906</v>
      </c>
      <c r="M282" s="2">
        <v>0.99731334462301791</v>
      </c>
      <c r="N282" s="6">
        <v>27700000</v>
      </c>
      <c r="O282" s="7">
        <f>Base[[#This Row],[Coût_salarié]]*10^9*Base[[#This Row],[Risque]]*Base[[#This Row],[Prévalence]]*Base[[#This Row],[Part_coûts_salarié]]/Base[[#This Row],[Population_emploi]]</f>
        <v>0.45999935137384956</v>
      </c>
      <c r="P282">
        <v>50</v>
      </c>
      <c r="Q282">
        <v>50</v>
      </c>
      <c r="R282" s="2">
        <v>9.9999999999999978E-2</v>
      </c>
      <c r="S282" s="2">
        <v>0.33340000000000003</v>
      </c>
      <c r="T282" s="4">
        <v>3.6700000000000003E-2</v>
      </c>
      <c r="U282" s="4">
        <f>IF(Bases_annexes!$F$5=0,16.6587111018772,0.77*Bases_annexes!$F$5/(IF(OR(ISBLANK('Données_d''entrée'!$E$44),'Données_d''entrée'!$E$44=0),35,'Données_d''entrée'!$E$44)*52))</f>
        <v>16.658711101877199</v>
      </c>
      <c r="V282" s="4">
        <v>10.42033853287208</v>
      </c>
      <c r="W2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2" s="4">
        <v>234.5</v>
      </c>
      <c r="Y282" s="4">
        <f>(Base[[#This Row],['[Maladies']Coûts_évités_par_salarié]]+Base[[#This Row],['[Travail']Coûts_évités_par_salarié]])/Base[[#This Row],[Budget_santé_salarié]]</f>
        <v>3.4899239407378845E-2</v>
      </c>
      <c r="Z282" s="4">
        <v>0.8</v>
      </c>
      <c r="AA282" s="4">
        <f>Base[[#This Row],[Coût]]*Base[[#This Row],[Part_société_dépenses_santé]]</f>
        <v>8.2491532078165601</v>
      </c>
      <c r="AB282" s="4">
        <v>67635124</v>
      </c>
      <c r="AC282" s="4">
        <v>82.297079063317852</v>
      </c>
      <c r="AD282" s="4">
        <v>3.6700000000000003E-2</v>
      </c>
      <c r="AE282" s="4">
        <f>Base[[#This Row],['[SC']Prévalence_travail]]*Base[[#This Row],[Population_emploi]]</f>
        <v>1016590.0000000001</v>
      </c>
      <c r="AF282" s="4">
        <f>Base[[#This Row],[Risque]]*Base[[#This Row],['[SC']Patients_en_emploi]]</f>
        <v>490306.56079825753</v>
      </c>
      <c r="AG282" s="4">
        <v>756671404.20000005</v>
      </c>
      <c r="AH282" s="4">
        <f>IFERROR(Base[[#This Row],['[SC']Prestations]]/Base[[#This Row],['[SC']Patients_en_emploi]],0)</f>
        <v>744.32308423258144</v>
      </c>
      <c r="AI282" s="4">
        <v>51.7</v>
      </c>
      <c r="AJ2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2" s="4">
        <f>Base[[#This Row],['[SC']'[Travail']Coûts_évités]]/Base[[#This Row],[Population_emploi]]</f>
        <v>13.174963593964936</v>
      </c>
      <c r="AL282" s="4">
        <f>Base[[#This Row],[Coût_société]]*10^9*Base[[#This Row],[Risque]]*Base[[#This Row],[Prévalence]]*Base[[#This Row],[Part_coûts_salarié]]/Base[[#This Row],[Population_emploi]]</f>
        <v>5.2571354442725662</v>
      </c>
      <c r="AM282" s="4">
        <f>IF(Base[[#This Row],[Pathologie]]&lt;&gt;"Dépendance",0,14909.24243952)</f>
        <v>0</v>
      </c>
      <c r="AN282" s="4">
        <f>IF(Base[[#This Row],[Pathologie]]&lt;&gt;"Dépendance",0,1316000)</f>
        <v>0</v>
      </c>
      <c r="AO282" s="4">
        <f>IF(Base[[#This Row],[Pathologie]]&lt;&gt;"Dépendance",0,Base[[#This Row],['[SC']Coût_personne_dépendante]]*Base[[#This Row],['[SC']Nb_personnes_dépendantes]])</f>
        <v>0</v>
      </c>
      <c r="AP282" s="4">
        <f>IF(Base[[#This Row],[Pathologie]]&lt;&gt;"Dépendance",0,Base[[#This Row],['[SC']Coût_total_dépendance]]/Base[[#This Row],[Population_totale]])</f>
        <v>0</v>
      </c>
      <c r="AQ282" s="4">
        <f>IF(Base[[#This Row],[Pathologie]]&lt;&gt;"Dépendance",0,4.5)</f>
        <v>0</v>
      </c>
      <c r="AR282" s="4">
        <v>0.83987615528424797</v>
      </c>
      <c r="AS282" s="4">
        <f>Base[[#This Row],[Espérance_vie]]+Base[[#This Row],['[SC']Hausse_esp_de_vie]]-Base[[#This Row],['[SC']Durée_moyenne_dépendance_avt]]+Base[[#This Row],[Risque]]</f>
        <v>83.619260337478195</v>
      </c>
      <c r="AT2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2" s="4">
        <v>62.9</v>
      </c>
      <c r="AW282" s="4">
        <f t="shared" si="0"/>
        <v>336905600000</v>
      </c>
      <c r="AX282" s="4">
        <v>15049171</v>
      </c>
      <c r="AY282" s="4">
        <f>Base[[#This Row],['[SC']Budget_total_retraites]]/Base[[#This Row],['[SC']Nombre_de_retraités]]</f>
        <v>22386.987296509556</v>
      </c>
      <c r="AZ282" s="4">
        <f>Base[[#This Row],['[SC']Budget_par_retraité]]*Base[[#This Row],['[SC']Nb_personnes_dépendantes]]</f>
        <v>0</v>
      </c>
      <c r="BA282" s="4">
        <f>Base[[#This Row],['[SC']'[Dépendance']Coût_retraite_personnes_dépendantes]]/Base[[#This Row],[Population_totale]]</f>
        <v>0</v>
      </c>
      <c r="BB2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2" s="4">
        <f>Base[[#This Row],['[SC']'[Dépendance']Gains]]-Base[[#This Row],['[SC']'[Dépendance']Coûts]]</f>
        <v>0</v>
      </c>
      <c r="BD282" s="4">
        <f>IF(Base[[#This Row],[Pathologie]]&lt;&gt;"Mort prématurée",0,Base[[#This Row],[Risque]]*Base[[#This Row],[Prévalence]]*Base[[#This Row],[Population_totale]])</f>
        <v>0</v>
      </c>
      <c r="BE282" s="4">
        <v>52.74</v>
      </c>
      <c r="BF282" s="4">
        <f>Base[[#This Row],['[SC']Âge_moyen_retraite]]-Base[[#This Row],['[SC']'[Mort_prématurée']Âge_moyen_mort précoce]]</f>
        <v>10.159999999999997</v>
      </c>
      <c r="BG282" s="4">
        <f>Base[[#This Row],[Espérance_vie]]+Base[[#This Row],['[SC']Hausse_esp_de_vie]]-Base[[#This Row],['[SC']Âge_moyen_retraite]]</f>
        <v>20.236955218602098</v>
      </c>
      <c r="BH282" s="4">
        <v>106583.42676924677</v>
      </c>
      <c r="BI282" s="4">
        <v>97601.789429271477</v>
      </c>
      <c r="BJ282" s="4">
        <v>302038.31496633729</v>
      </c>
      <c r="BK282" s="4">
        <v>117293.58934859755</v>
      </c>
      <c r="BL282" s="4">
        <v>1523999.9999999995</v>
      </c>
      <c r="BM2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2" s="4">
        <v>294804.96027377353</v>
      </c>
      <c r="BO2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2" s="4">
        <f>(Base[[#This Row],['[SC']'[Mort_prématurée']Gains]]-Base[[#This Row],['[SC']'[Mort_prématurée']Coûts]])/Base[[#This Row],[Population_totale]]</f>
        <v>0</v>
      </c>
      <c r="BQ282" s="4">
        <f>IF(Base[[#This Row],[Pathologie]]&lt;&gt;"Mort prématurée",0,Base[[#This Row],[Risque]])</f>
        <v>0</v>
      </c>
      <c r="BR282" s="4">
        <v>2680</v>
      </c>
      <c r="BS2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2" s="4">
        <f>Base[[#This Row],[Prévalence_prod]]*(1-Base[[#This Row],[Risque]])*Base[[#This Row],[Durée_arrêt]]*Base[[#This Row],[Population_emploi]]</f>
        <v>5484051.6007263586</v>
      </c>
      <c r="BV282" s="4">
        <f>Base[[#This Row],['[Prod']'[Absentéisme']Total_jours_absence_avant]]-Base[[#This Row],['[Prod']'[Absentéisme']Total_jours_absence_après]]</f>
        <v>5109160.3484060708</v>
      </c>
      <c r="BW282" s="4">
        <f>IF(AND(Base[[#This Row],[Pathologie]]&lt;&gt;"Dépendance",Base[[#This Row],[Pathologie]]&lt;&gt;"Mort prématurée",Base[[#This Row],[Pathologie]]&lt;&gt;"Migraine"),0.0619,0)</f>
        <v>6.1899999999999997E-2</v>
      </c>
      <c r="BX282" s="4">
        <v>254</v>
      </c>
      <c r="BY282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2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2" s="4">
        <f>Base[[#This Row],[Prévalence_prod]]*Base[[#This Row],[Présentéisme]]*Base[[#This Row],['[Prod']Jours_ouvrés]]</f>
        <v>1.0626852000000002</v>
      </c>
      <c r="CB282" s="4">
        <f>Base[[#This Row],[Prévalence_prod]]*(1-Base[[#This Row],[Risque]])*Base[[#This Row],[Présentéisme]]*Base[[#This Row],['[Prod']Jours_ouvrés]]</f>
        <v>0.5501466882861249</v>
      </c>
      <c r="CC282" s="4">
        <f>Base[[#This Row],['[Prod']'[Présentéisme']Jours_avant]]-Base[[#This Row],['[Prod']'[Présentéisme']Jours_après]]</f>
        <v>0.51253851171387532</v>
      </c>
      <c r="CD282" s="4">
        <f>Base[[#This Row],['[Prod']'[Présentéisme']Jours_gagnés]]/Base[[#This Row],['[Prod']Jours_ouvrés]]</f>
        <v>2.01786815635384E-3</v>
      </c>
      <c r="CE282">
        <v>7.5880726467531134E-2</v>
      </c>
      <c r="CF282">
        <v>1.989821358241517E-2</v>
      </c>
      <c r="CG282" s="4">
        <v>11</v>
      </c>
      <c r="CH282" s="4">
        <v>0.60922528771817497</v>
      </c>
      <c r="CI282" s="4">
        <v>3.8601807163334179E-3</v>
      </c>
      <c r="CJ282" s="4">
        <f>IF(Base[[#This Row],[Secteur]]&lt;&gt;"Moyenne",Base[[#This Row],['[Prod']'[Turnover']DMC_initiale]]*(1+Base[[#This Row],['[Prod']'[Turnover']Ecart_accidents]]*Base[[#This Row],['[Prod']Impact_motifs_turnover]]),CJ265*CI265+CJ266*CI266+CJ267*CI267+CJ268*CI268+CJ269*CI269+CJ270*CI270+CJ271*CI271+CJ272*CI272+CJ273*CI273+CJ274*CI274+CJ275*CI275+CJ276*CI276+CJ277*CI277+CJ278*CI278+CJ279*CI279+CJ280*CI280+CJ281*CI281)</f>
        <v>11.133347443843071</v>
      </c>
      <c r="CK282" s="4">
        <f>1/Base[[#This Row],['[Prod']'[Turnover']DMC_initiale]]</f>
        <v>9.0909090909090912E-2</v>
      </c>
      <c r="CL282" s="4">
        <f>1/Base[[#This Row],['[Prod']'[Turnover']DMC_finale]]</f>
        <v>8.9820245442265148E-2</v>
      </c>
    </row>
    <row r="283" spans="2:90" x14ac:dyDescent="0.25">
      <c r="B283" s="4" t="s">
        <v>329</v>
      </c>
      <c r="C283">
        <v>15</v>
      </c>
      <c r="D283" t="s">
        <v>83</v>
      </c>
      <c r="E283" t="s">
        <v>4</v>
      </c>
      <c r="F283" s="3">
        <v>0.48230511887610295</v>
      </c>
      <c r="G283" s="3">
        <v>3.6700000000000003E-2</v>
      </c>
      <c r="H283" s="3">
        <v>3.6700000000000003E-2</v>
      </c>
      <c r="I283" s="3">
        <v>0.114</v>
      </c>
      <c r="J283" s="3">
        <v>10.311441509770701</v>
      </c>
      <c r="K283" s="3">
        <v>7.0000000000000007E-2</v>
      </c>
      <c r="L283" s="2">
        <f>Base[[#This Row],[Coût]]*Base[[#This Row],[Part_ménages_dépenses_santé]]</f>
        <v>0.72180090568394906</v>
      </c>
      <c r="M283" s="2">
        <v>0.99731334462301791</v>
      </c>
      <c r="N283" s="6">
        <v>27700000</v>
      </c>
      <c r="O283" s="7">
        <f>Base[[#This Row],[Coût_salarié]]*10^9*Base[[#This Row],[Risque]]*Base[[#This Row],[Prévalence]]*Base[[#This Row],[Part_coûts_salarié]]/Base[[#This Row],[Population_emploi]]</f>
        <v>0.45999935137384956</v>
      </c>
      <c r="P283">
        <v>50</v>
      </c>
      <c r="Q283">
        <v>50</v>
      </c>
      <c r="R283" s="2">
        <v>9.9999999999999978E-2</v>
      </c>
      <c r="S283" s="2">
        <v>0.33340000000000003</v>
      </c>
      <c r="T283" s="4">
        <v>3.6700000000000003E-2</v>
      </c>
      <c r="U283" s="4">
        <f>IF(Bases_annexes!$F$5=0,16.6587111018772,0.77*Bases_annexes!$F$5/(IF(OR(ISBLANK('Données_d''entrée'!$E$44),'Données_d''entrée'!$E$44=0),35,'Données_d''entrée'!$E$44)*52))</f>
        <v>16.658711101877199</v>
      </c>
      <c r="V283" s="4">
        <v>10.42033853287208</v>
      </c>
      <c r="W2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3" s="4">
        <v>234.5</v>
      </c>
      <c r="Y283" s="4">
        <f>(Base[[#This Row],['[Maladies']Coûts_évités_par_salarié]]+Base[[#This Row],['[Travail']Coûts_évités_par_salarié]])/Base[[#This Row],[Budget_santé_salarié]]</f>
        <v>3.4899239407378845E-2</v>
      </c>
      <c r="Z283" s="4">
        <v>0.8</v>
      </c>
      <c r="AA283" s="4">
        <f>Base[[#This Row],[Coût]]*Base[[#This Row],[Part_société_dépenses_santé]]</f>
        <v>8.2491532078165601</v>
      </c>
      <c r="AB283" s="4">
        <v>67635124</v>
      </c>
      <c r="AC283" s="4">
        <v>82.297079063317852</v>
      </c>
      <c r="AD283" s="4">
        <v>3.6700000000000003E-2</v>
      </c>
      <c r="AE283" s="4">
        <f>Base[[#This Row],['[SC']Prévalence_travail]]*Base[[#This Row],[Population_emploi]]</f>
        <v>1016590.0000000001</v>
      </c>
      <c r="AF283" s="4">
        <f>Base[[#This Row],[Risque]]*Base[[#This Row],['[SC']Patients_en_emploi]]</f>
        <v>490306.56079825753</v>
      </c>
      <c r="AG283" s="4">
        <v>756671404.20000005</v>
      </c>
      <c r="AH283" s="4">
        <f>IFERROR(Base[[#This Row],['[SC']Prestations]]/Base[[#This Row],['[SC']Patients_en_emploi]],0)</f>
        <v>744.32308423258144</v>
      </c>
      <c r="AI283" s="4">
        <v>51.7</v>
      </c>
      <c r="AJ2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3" s="4">
        <f>Base[[#This Row],['[SC']'[Travail']Coûts_évités]]/Base[[#This Row],[Population_emploi]]</f>
        <v>13.174963593964936</v>
      </c>
      <c r="AL283" s="4">
        <f>Base[[#This Row],[Coût_société]]*10^9*Base[[#This Row],[Risque]]*Base[[#This Row],[Prévalence]]*Base[[#This Row],[Part_coûts_salarié]]/Base[[#This Row],[Population_emploi]]</f>
        <v>5.2571354442725662</v>
      </c>
      <c r="AM283" s="4">
        <f>IF(Base[[#This Row],[Pathologie]]&lt;&gt;"Dépendance",0,14909.24243952)</f>
        <v>0</v>
      </c>
      <c r="AN283" s="4">
        <f>IF(Base[[#This Row],[Pathologie]]&lt;&gt;"Dépendance",0,1316000)</f>
        <v>0</v>
      </c>
      <c r="AO283" s="4">
        <f>IF(Base[[#This Row],[Pathologie]]&lt;&gt;"Dépendance",0,Base[[#This Row],['[SC']Coût_personne_dépendante]]*Base[[#This Row],['[SC']Nb_personnes_dépendantes]])</f>
        <v>0</v>
      </c>
      <c r="AP283" s="4">
        <f>IF(Base[[#This Row],[Pathologie]]&lt;&gt;"Dépendance",0,Base[[#This Row],['[SC']Coût_total_dépendance]]/Base[[#This Row],[Population_totale]])</f>
        <v>0</v>
      </c>
      <c r="AQ283" s="4">
        <f>IF(Base[[#This Row],[Pathologie]]&lt;&gt;"Dépendance",0,4.5)</f>
        <v>0</v>
      </c>
      <c r="AR283" s="4">
        <v>0.83987615528424797</v>
      </c>
      <c r="AS283" s="4">
        <f>Base[[#This Row],[Espérance_vie]]+Base[[#This Row],['[SC']Hausse_esp_de_vie]]-Base[[#This Row],['[SC']Durée_moyenne_dépendance_avt]]+Base[[#This Row],[Risque]]</f>
        <v>83.619260337478195</v>
      </c>
      <c r="AT2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3" s="4">
        <v>62.9</v>
      </c>
      <c r="AW283" s="4">
        <f t="shared" si="0"/>
        <v>336905600000</v>
      </c>
      <c r="AX283" s="4">
        <v>15049171</v>
      </c>
      <c r="AY283" s="4">
        <f>Base[[#This Row],['[SC']Budget_total_retraites]]/Base[[#This Row],['[SC']Nombre_de_retraités]]</f>
        <v>22386.987296509556</v>
      </c>
      <c r="AZ283" s="4">
        <f>Base[[#This Row],['[SC']Budget_par_retraité]]*Base[[#This Row],['[SC']Nb_personnes_dépendantes]]</f>
        <v>0</v>
      </c>
      <c r="BA283" s="4">
        <f>Base[[#This Row],['[SC']'[Dépendance']Coût_retraite_personnes_dépendantes]]/Base[[#This Row],[Population_totale]]</f>
        <v>0</v>
      </c>
      <c r="BB2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3" s="4">
        <f>Base[[#This Row],['[SC']'[Dépendance']Gains]]-Base[[#This Row],['[SC']'[Dépendance']Coûts]]</f>
        <v>0</v>
      </c>
      <c r="BD283" s="4">
        <f>IF(Base[[#This Row],[Pathologie]]&lt;&gt;"Mort prématurée",0,Base[[#This Row],[Risque]]*Base[[#This Row],[Prévalence]]*Base[[#This Row],[Population_totale]])</f>
        <v>0</v>
      </c>
      <c r="BE283" s="4">
        <v>52.74</v>
      </c>
      <c r="BF283" s="4">
        <f>Base[[#This Row],['[SC']Âge_moyen_retraite]]-Base[[#This Row],['[SC']'[Mort_prématurée']Âge_moyen_mort précoce]]</f>
        <v>10.159999999999997</v>
      </c>
      <c r="BG283" s="4">
        <f>Base[[#This Row],[Espérance_vie]]+Base[[#This Row],['[SC']Hausse_esp_de_vie]]-Base[[#This Row],['[SC']Âge_moyen_retraite]]</f>
        <v>20.236955218602098</v>
      </c>
      <c r="BH283" s="4">
        <v>106583.42676924677</v>
      </c>
      <c r="BI283" s="4">
        <v>97601.789429271477</v>
      </c>
      <c r="BJ283" s="4">
        <v>302038.31496633729</v>
      </c>
      <c r="BK283" s="4">
        <v>117293.58934859755</v>
      </c>
      <c r="BL283" s="4">
        <v>1523999.9999999995</v>
      </c>
      <c r="BM2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3" s="4">
        <v>294804.96027377353</v>
      </c>
      <c r="BO2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3" s="4">
        <f>(Base[[#This Row],['[SC']'[Mort_prématurée']Gains]]-Base[[#This Row],['[SC']'[Mort_prématurée']Coûts]])/Base[[#This Row],[Population_totale]]</f>
        <v>0</v>
      </c>
      <c r="BQ283" s="4">
        <f>IF(Base[[#This Row],[Pathologie]]&lt;&gt;"Mort prématurée",0,Base[[#This Row],[Risque]])</f>
        <v>0</v>
      </c>
      <c r="BR283" s="4">
        <v>2680</v>
      </c>
      <c r="BS2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3" s="4">
        <f>Base[[#This Row],[Prévalence_prod]]*(1-Base[[#This Row],[Risque]])*Base[[#This Row],[Durée_arrêt]]*Base[[#This Row],[Population_emploi]]</f>
        <v>5484051.6007263586</v>
      </c>
      <c r="BV283" s="4">
        <f>Base[[#This Row],['[Prod']'[Absentéisme']Total_jours_absence_avant]]-Base[[#This Row],['[Prod']'[Absentéisme']Total_jours_absence_après]]</f>
        <v>5109160.3484060708</v>
      </c>
      <c r="BW283" s="4">
        <f>IF(AND(Base[[#This Row],[Pathologie]]&lt;&gt;"Dépendance",Base[[#This Row],[Pathologie]]&lt;&gt;"Mort prématurée",Base[[#This Row],[Pathologie]]&lt;&gt;"Migraine"),0.0619,0)</f>
        <v>6.1899999999999997E-2</v>
      </c>
      <c r="BX283" s="4">
        <v>254</v>
      </c>
      <c r="BY283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3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3" s="4">
        <f>Base[[#This Row],[Prévalence_prod]]*Base[[#This Row],[Présentéisme]]*Base[[#This Row],['[Prod']Jours_ouvrés]]</f>
        <v>1.0626852000000002</v>
      </c>
      <c r="CB283" s="4">
        <f>Base[[#This Row],[Prévalence_prod]]*(1-Base[[#This Row],[Risque]])*Base[[#This Row],[Présentéisme]]*Base[[#This Row],['[Prod']Jours_ouvrés]]</f>
        <v>0.5501466882861249</v>
      </c>
      <c r="CC283" s="4">
        <f>Base[[#This Row],['[Prod']'[Présentéisme']Jours_avant]]-Base[[#This Row],['[Prod']'[Présentéisme']Jours_après]]</f>
        <v>0.51253851171387532</v>
      </c>
      <c r="CD283" s="4">
        <f>Base[[#This Row],['[Prod']'[Présentéisme']Jours_gagnés]]/Base[[#This Row],['[Prod']Jours_ouvrés]]</f>
        <v>2.01786815635384E-3</v>
      </c>
      <c r="CE283">
        <v>7.5880726467531134E-2</v>
      </c>
      <c r="CF283">
        <v>1.989821358241517E-2</v>
      </c>
      <c r="CG283" s="4">
        <v>11</v>
      </c>
      <c r="CH283" s="4">
        <v>0.78414927716175975</v>
      </c>
      <c r="CI283" s="4">
        <v>0.12835819090128339</v>
      </c>
      <c r="CJ283" s="4">
        <f>IF(Base[[#This Row],[Secteur]]&lt;&gt;"Moyenne",Base[[#This Row],['[Prod']'[Turnover']DMC_initiale]]*(1+Base[[#This Row],['[Prod']'[Turnover']Ecart_accidents]]*Base[[#This Row],['[Prod']Impact_motifs_turnover]]),CJ266*CI266+CJ267*CI267+CJ268*CI268+CJ269*CI269+CJ270*CI270+CJ271*CI271+CJ272*CI272+CJ273*CI273+CJ274*CI274+CJ275*CI275+CJ276*CI276+CJ277*CI277+CJ278*CI278+CJ279*CI279+CJ280*CI280+CJ281*CI281+CJ282*CI282)</f>
        <v>11.171634867772074</v>
      </c>
      <c r="CK283" s="4">
        <f>1/Base[[#This Row],['[Prod']'[Turnover']DMC_initiale]]</f>
        <v>9.0909090909090912E-2</v>
      </c>
      <c r="CL283" s="4">
        <f>1/Base[[#This Row],['[Prod']'[Turnover']DMC_finale]]</f>
        <v>8.9512413521927708E-2</v>
      </c>
    </row>
    <row r="284" spans="2:90" x14ac:dyDescent="0.25">
      <c r="B284" s="4" t="s">
        <v>330</v>
      </c>
      <c r="C284">
        <v>15</v>
      </c>
      <c r="D284" t="s">
        <v>83</v>
      </c>
      <c r="E284" t="s">
        <v>4</v>
      </c>
      <c r="F284" s="3">
        <v>0.48230511887610295</v>
      </c>
      <c r="G284" s="3">
        <v>3.6700000000000003E-2</v>
      </c>
      <c r="H284" s="3">
        <v>3.6700000000000003E-2</v>
      </c>
      <c r="I284" s="3">
        <v>0.114</v>
      </c>
      <c r="J284" s="3">
        <v>10.311441509770701</v>
      </c>
      <c r="K284" s="3">
        <v>7.0000000000000007E-2</v>
      </c>
      <c r="L284" s="2">
        <f>Base[[#This Row],[Coût]]*Base[[#This Row],[Part_ménages_dépenses_santé]]</f>
        <v>0.72180090568394906</v>
      </c>
      <c r="M284" s="2">
        <v>0.99731334462301791</v>
      </c>
      <c r="N284" s="6">
        <v>27700000</v>
      </c>
      <c r="O284" s="7">
        <f>Base[[#This Row],[Coût_salarié]]*10^9*Base[[#This Row],[Risque]]*Base[[#This Row],[Prévalence]]*Base[[#This Row],[Part_coûts_salarié]]/Base[[#This Row],[Population_emploi]]</f>
        <v>0.45999935137384956</v>
      </c>
      <c r="P284">
        <v>50</v>
      </c>
      <c r="Q284">
        <v>50</v>
      </c>
      <c r="R284" s="2">
        <v>9.9999999999999978E-2</v>
      </c>
      <c r="S284" s="2">
        <v>0.33340000000000003</v>
      </c>
      <c r="T284" s="4">
        <v>3.6700000000000003E-2</v>
      </c>
      <c r="U284" s="4">
        <f>IF(Bases_annexes!$F$5=0,16.6587111018772,0.77*Bases_annexes!$F$5/(IF(OR(ISBLANK('Données_d''entrée'!$E$44),'Données_d''entrée'!$E$44=0),35,'Données_d''entrée'!$E$44)*52))</f>
        <v>16.658711101877199</v>
      </c>
      <c r="V284" s="4">
        <v>10.42033853287208</v>
      </c>
      <c r="W2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4" s="4">
        <v>234.5</v>
      </c>
      <c r="Y284" s="4">
        <f>(Base[[#This Row],['[Maladies']Coûts_évités_par_salarié]]+Base[[#This Row],['[Travail']Coûts_évités_par_salarié]])/Base[[#This Row],[Budget_santé_salarié]]</f>
        <v>3.4899239407378845E-2</v>
      </c>
      <c r="Z284" s="4">
        <v>0.8</v>
      </c>
      <c r="AA284" s="4">
        <f>Base[[#This Row],[Coût]]*Base[[#This Row],[Part_société_dépenses_santé]]</f>
        <v>8.2491532078165601</v>
      </c>
      <c r="AB284" s="4">
        <v>67635124</v>
      </c>
      <c r="AC284" s="4">
        <v>82.297079063317852</v>
      </c>
      <c r="AD284" s="4">
        <v>3.6700000000000003E-2</v>
      </c>
      <c r="AE284" s="4">
        <f>Base[[#This Row],['[SC']Prévalence_travail]]*Base[[#This Row],[Population_emploi]]</f>
        <v>1016590.0000000001</v>
      </c>
      <c r="AF284" s="4">
        <f>Base[[#This Row],[Risque]]*Base[[#This Row],['[SC']Patients_en_emploi]]</f>
        <v>490306.56079825753</v>
      </c>
      <c r="AG284" s="4">
        <v>756671404.20000005</v>
      </c>
      <c r="AH284" s="4">
        <f>IFERROR(Base[[#This Row],['[SC']Prestations]]/Base[[#This Row],['[SC']Patients_en_emploi]],0)</f>
        <v>744.32308423258144</v>
      </c>
      <c r="AI284" s="4">
        <v>51.7</v>
      </c>
      <c r="AJ2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4" s="4">
        <f>Base[[#This Row],['[SC']'[Travail']Coûts_évités]]/Base[[#This Row],[Population_emploi]]</f>
        <v>13.174963593964936</v>
      </c>
      <c r="AL284" s="4">
        <f>Base[[#This Row],[Coût_société]]*10^9*Base[[#This Row],[Risque]]*Base[[#This Row],[Prévalence]]*Base[[#This Row],[Part_coûts_salarié]]/Base[[#This Row],[Population_emploi]]</f>
        <v>5.2571354442725662</v>
      </c>
      <c r="AM284" s="4">
        <f>IF(Base[[#This Row],[Pathologie]]&lt;&gt;"Dépendance",0,14909.24243952)</f>
        <v>0</v>
      </c>
      <c r="AN284" s="4">
        <f>IF(Base[[#This Row],[Pathologie]]&lt;&gt;"Dépendance",0,1316000)</f>
        <v>0</v>
      </c>
      <c r="AO284" s="4">
        <f>IF(Base[[#This Row],[Pathologie]]&lt;&gt;"Dépendance",0,Base[[#This Row],['[SC']Coût_personne_dépendante]]*Base[[#This Row],['[SC']Nb_personnes_dépendantes]])</f>
        <v>0</v>
      </c>
      <c r="AP284" s="4">
        <f>IF(Base[[#This Row],[Pathologie]]&lt;&gt;"Dépendance",0,Base[[#This Row],['[SC']Coût_total_dépendance]]/Base[[#This Row],[Population_totale]])</f>
        <v>0</v>
      </c>
      <c r="AQ284" s="4">
        <f>IF(Base[[#This Row],[Pathologie]]&lt;&gt;"Dépendance",0,4.5)</f>
        <v>0</v>
      </c>
      <c r="AR284" s="4">
        <v>0.83987615528424797</v>
      </c>
      <c r="AS284" s="4">
        <f>Base[[#This Row],[Espérance_vie]]+Base[[#This Row],['[SC']Hausse_esp_de_vie]]-Base[[#This Row],['[SC']Durée_moyenne_dépendance_avt]]+Base[[#This Row],[Risque]]</f>
        <v>83.619260337478195</v>
      </c>
      <c r="AT2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4" s="4">
        <v>62.9</v>
      </c>
      <c r="AW284" s="4">
        <f t="shared" si="0"/>
        <v>336905600000</v>
      </c>
      <c r="AX284" s="4">
        <v>15049171</v>
      </c>
      <c r="AY284" s="4">
        <f>Base[[#This Row],['[SC']Budget_total_retraites]]/Base[[#This Row],['[SC']Nombre_de_retraités]]</f>
        <v>22386.987296509556</v>
      </c>
      <c r="AZ284" s="4">
        <f>Base[[#This Row],['[SC']Budget_par_retraité]]*Base[[#This Row],['[SC']Nb_personnes_dépendantes]]</f>
        <v>0</v>
      </c>
      <c r="BA284" s="4">
        <f>Base[[#This Row],['[SC']'[Dépendance']Coût_retraite_personnes_dépendantes]]/Base[[#This Row],[Population_totale]]</f>
        <v>0</v>
      </c>
      <c r="BB2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4" s="4">
        <f>Base[[#This Row],['[SC']'[Dépendance']Gains]]-Base[[#This Row],['[SC']'[Dépendance']Coûts]]</f>
        <v>0</v>
      </c>
      <c r="BD284" s="4">
        <f>IF(Base[[#This Row],[Pathologie]]&lt;&gt;"Mort prématurée",0,Base[[#This Row],[Risque]]*Base[[#This Row],[Prévalence]]*Base[[#This Row],[Population_totale]])</f>
        <v>0</v>
      </c>
      <c r="BE284" s="4">
        <v>52.74</v>
      </c>
      <c r="BF284" s="4">
        <f>Base[[#This Row],['[SC']Âge_moyen_retraite]]-Base[[#This Row],['[SC']'[Mort_prématurée']Âge_moyen_mort précoce]]</f>
        <v>10.159999999999997</v>
      </c>
      <c r="BG284" s="4">
        <f>Base[[#This Row],[Espérance_vie]]+Base[[#This Row],['[SC']Hausse_esp_de_vie]]-Base[[#This Row],['[SC']Âge_moyen_retraite]]</f>
        <v>20.236955218602098</v>
      </c>
      <c r="BH284" s="4">
        <v>106583.42676924677</v>
      </c>
      <c r="BI284" s="4">
        <v>97601.789429271477</v>
      </c>
      <c r="BJ284" s="4">
        <v>302038.31496633729</v>
      </c>
      <c r="BK284" s="4">
        <v>117293.58934859755</v>
      </c>
      <c r="BL284" s="4">
        <v>1523999.9999999995</v>
      </c>
      <c r="BM2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4" s="4">
        <v>294804.96027377353</v>
      </c>
      <c r="BO2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4" s="4">
        <f>(Base[[#This Row],['[SC']'[Mort_prématurée']Gains]]-Base[[#This Row],['[SC']'[Mort_prématurée']Coûts]])/Base[[#This Row],[Population_totale]]</f>
        <v>0</v>
      </c>
      <c r="BQ284" s="4">
        <f>IF(Base[[#This Row],[Pathologie]]&lt;&gt;"Mort prématurée",0,Base[[#This Row],[Risque]])</f>
        <v>0</v>
      </c>
      <c r="BR284" s="4">
        <v>2680</v>
      </c>
      <c r="BS2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4" s="4">
        <f>Base[[#This Row],[Prévalence_prod]]*(1-Base[[#This Row],[Risque]])*Base[[#This Row],[Durée_arrêt]]*Base[[#This Row],[Population_emploi]]</f>
        <v>5484051.6007263586</v>
      </c>
      <c r="BV284" s="4">
        <f>Base[[#This Row],['[Prod']'[Absentéisme']Total_jours_absence_avant]]-Base[[#This Row],['[Prod']'[Absentéisme']Total_jours_absence_après]]</f>
        <v>5109160.3484060708</v>
      </c>
      <c r="BW284" s="4">
        <f>IF(AND(Base[[#This Row],[Pathologie]]&lt;&gt;"Dépendance",Base[[#This Row],[Pathologie]]&lt;&gt;"Mort prématurée",Base[[#This Row],[Pathologie]]&lt;&gt;"Migraine"),0.0619,0)</f>
        <v>6.1899999999999997E-2</v>
      </c>
      <c r="BX284" s="4">
        <v>254</v>
      </c>
      <c r="BY284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4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4" s="4">
        <f>Base[[#This Row],[Prévalence_prod]]*Base[[#This Row],[Présentéisme]]*Base[[#This Row],['[Prod']Jours_ouvrés]]</f>
        <v>1.0626852000000002</v>
      </c>
      <c r="CB284" s="4">
        <f>Base[[#This Row],[Prévalence_prod]]*(1-Base[[#This Row],[Risque]])*Base[[#This Row],[Présentéisme]]*Base[[#This Row],['[Prod']Jours_ouvrés]]</f>
        <v>0.5501466882861249</v>
      </c>
      <c r="CC284" s="4">
        <f>Base[[#This Row],['[Prod']'[Présentéisme']Jours_avant]]-Base[[#This Row],['[Prod']'[Présentéisme']Jours_après]]</f>
        <v>0.51253851171387532</v>
      </c>
      <c r="CD284" s="4">
        <f>Base[[#This Row],['[Prod']'[Présentéisme']Jours_gagnés]]/Base[[#This Row],['[Prod']Jours_ouvrés]]</f>
        <v>2.01786815635384E-3</v>
      </c>
      <c r="CE284">
        <v>7.5880726467531134E-2</v>
      </c>
      <c r="CF284">
        <v>1.989821358241517E-2</v>
      </c>
      <c r="CG284" s="4">
        <v>11</v>
      </c>
      <c r="CH284" s="4">
        <v>0.99648427619813984</v>
      </c>
      <c r="CI284" s="4">
        <v>0.42377466100567313</v>
      </c>
      <c r="CJ284" s="4">
        <f>IF(Base[[#This Row],[Secteur]]&lt;&gt;"Moyenne",Base[[#This Row],['[Prod']'[Turnover']DMC_initiale]]*(1+Base[[#This Row],['[Prod']'[Turnover']Ecart_accidents]]*Base[[#This Row],['[Prod']Impact_motifs_turnover]]),CJ267*CI267+CJ268*CI268+CJ269*CI269+CJ270*CI270+CJ271*CI271+CJ272*CI272+CJ273*CI273+CJ274*CI274+CJ275*CI275+CJ276*CI276+CJ277*CI277+CJ278*CI278+CJ279*CI279+CJ280*CI280+CJ281*CI281+CJ282*CI282+CJ283*CI283)</f>
        <v>11.218110826552397</v>
      </c>
      <c r="CK284" s="4">
        <f>1/Base[[#This Row],['[Prod']'[Turnover']DMC_initiale]]</f>
        <v>9.0909090909090912E-2</v>
      </c>
      <c r="CL284" s="4">
        <f>1/Base[[#This Row],['[Prod']'[Turnover']DMC_finale]]</f>
        <v>8.9141568973723953E-2</v>
      </c>
    </row>
    <row r="285" spans="2:90" x14ac:dyDescent="0.25">
      <c r="B285" s="4" t="s">
        <v>331</v>
      </c>
      <c r="C285">
        <v>15</v>
      </c>
      <c r="D285" t="s">
        <v>83</v>
      </c>
      <c r="E285" t="s">
        <v>4</v>
      </c>
      <c r="F285" s="3">
        <v>0.48230511887610295</v>
      </c>
      <c r="G285" s="3">
        <v>3.6700000000000003E-2</v>
      </c>
      <c r="H285" s="3">
        <v>3.6700000000000003E-2</v>
      </c>
      <c r="I285" s="3">
        <v>0.114</v>
      </c>
      <c r="J285" s="3">
        <v>10.311441509770701</v>
      </c>
      <c r="K285" s="3">
        <v>7.0000000000000007E-2</v>
      </c>
      <c r="L285" s="2">
        <f>Base[[#This Row],[Coût]]*Base[[#This Row],[Part_ménages_dépenses_santé]]</f>
        <v>0.72180090568394906</v>
      </c>
      <c r="M285" s="2">
        <v>0.99731334462301791</v>
      </c>
      <c r="N285" s="6">
        <v>27700000</v>
      </c>
      <c r="O285" s="7">
        <f>Base[[#This Row],[Coût_salarié]]*10^9*Base[[#This Row],[Risque]]*Base[[#This Row],[Prévalence]]*Base[[#This Row],[Part_coûts_salarié]]/Base[[#This Row],[Population_emploi]]</f>
        <v>0.45999935137384956</v>
      </c>
      <c r="P285">
        <v>50</v>
      </c>
      <c r="Q285">
        <v>50</v>
      </c>
      <c r="R285" s="2">
        <v>9.9999999999999978E-2</v>
      </c>
      <c r="S285" s="2">
        <v>0.33340000000000003</v>
      </c>
      <c r="T285" s="4">
        <v>3.6700000000000003E-2</v>
      </c>
      <c r="U285" s="4">
        <f>IF(Bases_annexes!$F$5=0,16.6587111018772,0.77*Bases_annexes!$F$5/(IF(OR(ISBLANK('Données_d''entrée'!$E$44),'Données_d''entrée'!$E$44=0),35,'Données_d''entrée'!$E$44)*52))</f>
        <v>16.658711101877199</v>
      </c>
      <c r="V285" s="4">
        <v>10.42033853287208</v>
      </c>
      <c r="W2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5" s="4">
        <v>234.5</v>
      </c>
      <c r="Y285" s="4">
        <f>(Base[[#This Row],['[Maladies']Coûts_évités_par_salarié]]+Base[[#This Row],['[Travail']Coûts_évités_par_salarié]])/Base[[#This Row],[Budget_santé_salarié]]</f>
        <v>3.4899239407378845E-2</v>
      </c>
      <c r="Z285" s="4">
        <v>0.8</v>
      </c>
      <c r="AA285" s="4">
        <f>Base[[#This Row],[Coût]]*Base[[#This Row],[Part_société_dépenses_santé]]</f>
        <v>8.2491532078165601</v>
      </c>
      <c r="AB285" s="4">
        <v>67635124</v>
      </c>
      <c r="AC285" s="4">
        <v>82.297079063317852</v>
      </c>
      <c r="AD285" s="4">
        <v>3.6700000000000003E-2</v>
      </c>
      <c r="AE285" s="4">
        <f>Base[[#This Row],['[SC']Prévalence_travail]]*Base[[#This Row],[Population_emploi]]</f>
        <v>1016590.0000000001</v>
      </c>
      <c r="AF285" s="4">
        <f>Base[[#This Row],[Risque]]*Base[[#This Row],['[SC']Patients_en_emploi]]</f>
        <v>490306.56079825753</v>
      </c>
      <c r="AG285" s="4">
        <v>756671404.20000005</v>
      </c>
      <c r="AH285" s="4">
        <f>IFERROR(Base[[#This Row],['[SC']Prestations]]/Base[[#This Row],['[SC']Patients_en_emploi]],0)</f>
        <v>744.32308423258144</v>
      </c>
      <c r="AI285" s="4">
        <v>51.7</v>
      </c>
      <c r="AJ2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5" s="4">
        <f>Base[[#This Row],['[SC']'[Travail']Coûts_évités]]/Base[[#This Row],[Population_emploi]]</f>
        <v>13.174963593964936</v>
      </c>
      <c r="AL285" s="4">
        <f>Base[[#This Row],[Coût_société]]*10^9*Base[[#This Row],[Risque]]*Base[[#This Row],[Prévalence]]*Base[[#This Row],[Part_coûts_salarié]]/Base[[#This Row],[Population_emploi]]</f>
        <v>5.2571354442725662</v>
      </c>
      <c r="AM285" s="4">
        <f>IF(Base[[#This Row],[Pathologie]]&lt;&gt;"Dépendance",0,14909.24243952)</f>
        <v>0</v>
      </c>
      <c r="AN285" s="4">
        <f>IF(Base[[#This Row],[Pathologie]]&lt;&gt;"Dépendance",0,1316000)</f>
        <v>0</v>
      </c>
      <c r="AO285" s="4">
        <f>IF(Base[[#This Row],[Pathologie]]&lt;&gt;"Dépendance",0,Base[[#This Row],['[SC']Coût_personne_dépendante]]*Base[[#This Row],['[SC']Nb_personnes_dépendantes]])</f>
        <v>0</v>
      </c>
      <c r="AP285" s="4">
        <f>IF(Base[[#This Row],[Pathologie]]&lt;&gt;"Dépendance",0,Base[[#This Row],['[SC']Coût_total_dépendance]]/Base[[#This Row],[Population_totale]])</f>
        <v>0</v>
      </c>
      <c r="AQ285" s="4">
        <f>IF(Base[[#This Row],[Pathologie]]&lt;&gt;"Dépendance",0,4.5)</f>
        <v>0</v>
      </c>
      <c r="AR285" s="4">
        <v>0.83987615528424797</v>
      </c>
      <c r="AS285" s="4">
        <f>Base[[#This Row],[Espérance_vie]]+Base[[#This Row],['[SC']Hausse_esp_de_vie]]-Base[[#This Row],['[SC']Durée_moyenne_dépendance_avt]]+Base[[#This Row],[Risque]]</f>
        <v>83.619260337478195</v>
      </c>
      <c r="AT2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5" s="4">
        <v>62.9</v>
      </c>
      <c r="AW285" s="4">
        <f t="shared" si="0"/>
        <v>336905600000</v>
      </c>
      <c r="AX285" s="4">
        <v>15049171</v>
      </c>
      <c r="AY285" s="4">
        <f>Base[[#This Row],['[SC']Budget_total_retraites]]/Base[[#This Row],['[SC']Nombre_de_retraités]]</f>
        <v>22386.987296509556</v>
      </c>
      <c r="AZ285" s="4">
        <f>Base[[#This Row],['[SC']Budget_par_retraité]]*Base[[#This Row],['[SC']Nb_personnes_dépendantes]]</f>
        <v>0</v>
      </c>
      <c r="BA285" s="4">
        <f>Base[[#This Row],['[SC']'[Dépendance']Coût_retraite_personnes_dépendantes]]/Base[[#This Row],[Population_totale]]</f>
        <v>0</v>
      </c>
      <c r="BB2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5" s="4">
        <f>Base[[#This Row],['[SC']'[Dépendance']Gains]]-Base[[#This Row],['[SC']'[Dépendance']Coûts]]</f>
        <v>0</v>
      </c>
      <c r="BD285" s="4">
        <f>IF(Base[[#This Row],[Pathologie]]&lt;&gt;"Mort prématurée",0,Base[[#This Row],[Risque]]*Base[[#This Row],[Prévalence]]*Base[[#This Row],[Population_totale]])</f>
        <v>0</v>
      </c>
      <c r="BE285" s="4">
        <v>52.74</v>
      </c>
      <c r="BF285" s="4">
        <f>Base[[#This Row],['[SC']Âge_moyen_retraite]]-Base[[#This Row],['[SC']'[Mort_prématurée']Âge_moyen_mort précoce]]</f>
        <v>10.159999999999997</v>
      </c>
      <c r="BG285" s="4">
        <f>Base[[#This Row],[Espérance_vie]]+Base[[#This Row],['[SC']Hausse_esp_de_vie]]-Base[[#This Row],['[SC']Âge_moyen_retraite]]</f>
        <v>20.236955218602098</v>
      </c>
      <c r="BH285" s="4">
        <v>106583.42676924677</v>
      </c>
      <c r="BI285" s="4">
        <v>97601.789429271477</v>
      </c>
      <c r="BJ285" s="4">
        <v>302038.31496633729</v>
      </c>
      <c r="BK285" s="4">
        <v>117293.58934859755</v>
      </c>
      <c r="BL285" s="4">
        <v>1523999.9999999995</v>
      </c>
      <c r="BM2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5" s="4">
        <v>294804.96027377353</v>
      </c>
      <c r="BO2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5" s="4">
        <f>(Base[[#This Row],['[SC']'[Mort_prématurée']Gains]]-Base[[#This Row],['[SC']'[Mort_prématurée']Coûts]])/Base[[#This Row],[Population_totale]]</f>
        <v>0</v>
      </c>
      <c r="BQ285" s="4">
        <f>IF(Base[[#This Row],[Pathologie]]&lt;&gt;"Mort prématurée",0,Base[[#This Row],[Risque]])</f>
        <v>0</v>
      </c>
      <c r="BR285" s="4">
        <v>2680</v>
      </c>
      <c r="BS2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5" s="4">
        <f>Base[[#This Row],[Prévalence_prod]]*(1-Base[[#This Row],[Risque]])*Base[[#This Row],[Durée_arrêt]]*Base[[#This Row],[Population_emploi]]</f>
        <v>5484051.6007263586</v>
      </c>
      <c r="BV285" s="4">
        <f>Base[[#This Row],['[Prod']'[Absentéisme']Total_jours_absence_avant]]-Base[[#This Row],['[Prod']'[Absentéisme']Total_jours_absence_après]]</f>
        <v>5109160.3484060708</v>
      </c>
      <c r="BW285" s="4">
        <f>IF(AND(Base[[#This Row],[Pathologie]]&lt;&gt;"Dépendance",Base[[#This Row],[Pathologie]]&lt;&gt;"Mort prématurée",Base[[#This Row],[Pathologie]]&lt;&gt;"Migraine"),0.0619,0)</f>
        <v>6.1899999999999997E-2</v>
      </c>
      <c r="BX285" s="4">
        <v>254</v>
      </c>
      <c r="BY28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5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5" s="4">
        <f>Base[[#This Row],[Prévalence_prod]]*Base[[#This Row],[Présentéisme]]*Base[[#This Row],['[Prod']Jours_ouvrés]]</f>
        <v>1.0626852000000002</v>
      </c>
      <c r="CB285" s="4">
        <f>Base[[#This Row],[Prévalence_prod]]*(1-Base[[#This Row],[Risque]])*Base[[#This Row],[Présentéisme]]*Base[[#This Row],['[Prod']Jours_ouvrés]]</f>
        <v>0.5501466882861249</v>
      </c>
      <c r="CC285" s="4">
        <f>Base[[#This Row],['[Prod']'[Présentéisme']Jours_avant]]-Base[[#This Row],['[Prod']'[Présentéisme']Jours_après]]</f>
        <v>0.51253851171387532</v>
      </c>
      <c r="CD285" s="4">
        <f>Base[[#This Row],['[Prod']'[Présentéisme']Jours_gagnés]]/Base[[#This Row],['[Prod']Jours_ouvrés]]</f>
        <v>2.01786815635384E-3</v>
      </c>
      <c r="CE285">
        <v>7.5880726467531134E-2</v>
      </c>
      <c r="CF285">
        <v>1.989821358241517E-2</v>
      </c>
      <c r="CG285" s="4">
        <v>11</v>
      </c>
      <c r="CH285" s="4">
        <v>1.1593596509901765</v>
      </c>
      <c r="CI285" s="4">
        <v>4.0741311947357597E-2</v>
      </c>
      <c r="CJ285" s="4">
        <f>IF(Base[[#This Row],[Secteur]]&lt;&gt;"Moyenne",Base[[#This Row],['[Prod']'[Turnover']DMC_initiale]]*(1+Base[[#This Row],['[Prod']'[Turnover']Ecart_accidents]]*Base[[#This Row],['[Prod']Impact_motifs_turnover]]),CJ268*CI268+CJ269*CI269+CJ270*CI270+CJ271*CI271+CJ272*CI272+CJ273*CI273+CJ274*CI274+CJ275*CI275+CJ276*CI276+CJ277*CI277+CJ278*CI278+CJ279*CI279+CJ280*CI280+CJ281*CI281+CJ282*CI282+CJ283*CI283+CJ284*CI284)</f>
        <v>11.253761045496606</v>
      </c>
      <c r="CK285" s="4">
        <f>1/Base[[#This Row],['[Prod']'[Turnover']DMC_initiale]]</f>
        <v>9.0909090909090912E-2</v>
      </c>
      <c r="CL285" s="4">
        <f>1/Base[[#This Row],['[Prod']'[Turnover']DMC_finale]]</f>
        <v>8.8859181917690336E-2</v>
      </c>
    </row>
    <row r="286" spans="2:90" x14ac:dyDescent="0.25">
      <c r="B286" s="4" t="s">
        <v>332</v>
      </c>
      <c r="C286">
        <v>15</v>
      </c>
      <c r="D286" t="s">
        <v>83</v>
      </c>
      <c r="E286" t="s">
        <v>4</v>
      </c>
      <c r="F286" s="3">
        <v>0.48230511887610295</v>
      </c>
      <c r="G286" s="3">
        <v>3.6700000000000003E-2</v>
      </c>
      <c r="H286" s="3">
        <v>3.6700000000000003E-2</v>
      </c>
      <c r="I286" s="3">
        <v>0.114</v>
      </c>
      <c r="J286" s="3">
        <v>10.311441509770701</v>
      </c>
      <c r="K286" s="3">
        <v>7.0000000000000007E-2</v>
      </c>
      <c r="L286" s="2">
        <f>Base[[#This Row],[Coût]]*Base[[#This Row],[Part_ménages_dépenses_santé]]</f>
        <v>0.72180090568394906</v>
      </c>
      <c r="M286" s="2">
        <v>0.99731334462301791</v>
      </c>
      <c r="N286" s="6">
        <v>27700000</v>
      </c>
      <c r="O286" s="7">
        <f>Base[[#This Row],[Coût_salarié]]*10^9*Base[[#This Row],[Risque]]*Base[[#This Row],[Prévalence]]*Base[[#This Row],[Part_coûts_salarié]]/Base[[#This Row],[Population_emploi]]</f>
        <v>0.45999935137384956</v>
      </c>
      <c r="P286">
        <v>50</v>
      </c>
      <c r="Q286">
        <v>50</v>
      </c>
      <c r="R286" s="2">
        <v>9.9999999999999978E-2</v>
      </c>
      <c r="S286" s="2">
        <v>0.33340000000000003</v>
      </c>
      <c r="T286" s="4">
        <v>3.6700000000000003E-2</v>
      </c>
      <c r="U286" s="4">
        <f>IF(Bases_annexes!$F$5=0,16.6587111018772,0.77*Bases_annexes!$F$5/(IF(OR(ISBLANK('Données_d''entrée'!$E$44),'Données_d''entrée'!$E$44=0),35,'Données_d''entrée'!$E$44)*52))</f>
        <v>16.658711101877199</v>
      </c>
      <c r="V286" s="4">
        <v>10.42033853287208</v>
      </c>
      <c r="W2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7.7238722896564909</v>
      </c>
      <c r="X286" s="4">
        <v>234.5</v>
      </c>
      <c r="Y286" s="4">
        <f>(Base[[#This Row],['[Maladies']Coûts_évités_par_salarié]]+Base[[#This Row],['[Travail']Coûts_évités_par_salarié]])/Base[[#This Row],[Budget_santé_salarié]]</f>
        <v>3.4899239407378845E-2</v>
      </c>
      <c r="Z286" s="4">
        <v>0.8</v>
      </c>
      <c r="AA286" s="4">
        <f>Base[[#This Row],[Coût]]*Base[[#This Row],[Part_société_dépenses_santé]]</f>
        <v>8.2491532078165601</v>
      </c>
      <c r="AB286" s="4">
        <v>67635124</v>
      </c>
      <c r="AC286" s="4">
        <v>82.297079063317852</v>
      </c>
      <c r="AD286" s="4">
        <v>3.6700000000000003E-2</v>
      </c>
      <c r="AE286" s="4">
        <f>Base[[#This Row],['[SC']Prévalence_travail]]*Base[[#This Row],[Population_emploi]]</f>
        <v>1016590.0000000001</v>
      </c>
      <c r="AF286" s="4">
        <f>Base[[#This Row],[Risque]]*Base[[#This Row],['[SC']Patients_en_emploi]]</f>
        <v>490306.56079825753</v>
      </c>
      <c r="AG286" s="4">
        <v>756671404.20000005</v>
      </c>
      <c r="AH286" s="4">
        <f>IFERROR(Base[[#This Row],['[SC']Prestations]]/Base[[#This Row],['[SC']Patients_en_emploi]],0)</f>
        <v>744.32308423258144</v>
      </c>
      <c r="AI286" s="4">
        <v>51.7</v>
      </c>
      <c r="AJ2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364946491.55282873</v>
      </c>
      <c r="AK286" s="4">
        <f>Base[[#This Row],['[SC']'[Travail']Coûts_évités]]/Base[[#This Row],[Population_emploi]]</f>
        <v>13.174963593964936</v>
      </c>
      <c r="AL286" s="4">
        <f>Base[[#This Row],[Coût_société]]*10^9*Base[[#This Row],[Risque]]*Base[[#This Row],[Prévalence]]*Base[[#This Row],[Part_coûts_salarié]]/Base[[#This Row],[Population_emploi]]</f>
        <v>5.2571354442725662</v>
      </c>
      <c r="AM286" s="4">
        <f>IF(Base[[#This Row],[Pathologie]]&lt;&gt;"Dépendance",0,14909.24243952)</f>
        <v>0</v>
      </c>
      <c r="AN286" s="4">
        <f>IF(Base[[#This Row],[Pathologie]]&lt;&gt;"Dépendance",0,1316000)</f>
        <v>0</v>
      </c>
      <c r="AO286" s="4">
        <f>IF(Base[[#This Row],[Pathologie]]&lt;&gt;"Dépendance",0,Base[[#This Row],['[SC']Coût_personne_dépendante]]*Base[[#This Row],['[SC']Nb_personnes_dépendantes]])</f>
        <v>0</v>
      </c>
      <c r="AP286" s="4">
        <f>IF(Base[[#This Row],[Pathologie]]&lt;&gt;"Dépendance",0,Base[[#This Row],['[SC']Coût_total_dépendance]]/Base[[#This Row],[Population_totale]])</f>
        <v>0</v>
      </c>
      <c r="AQ286" s="4">
        <f>IF(Base[[#This Row],[Pathologie]]&lt;&gt;"Dépendance",0,4.5)</f>
        <v>0</v>
      </c>
      <c r="AR286" s="4">
        <v>0.83987615528424797</v>
      </c>
      <c r="AS286" s="4">
        <f>Base[[#This Row],[Espérance_vie]]+Base[[#This Row],['[SC']Hausse_esp_de_vie]]-Base[[#This Row],['[SC']Durée_moyenne_dépendance_avt]]+Base[[#This Row],[Risque]]</f>
        <v>83.619260337478195</v>
      </c>
      <c r="AT2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6" s="4">
        <v>62.9</v>
      </c>
      <c r="AW286" s="4">
        <f t="shared" si="0"/>
        <v>336905600000</v>
      </c>
      <c r="AX286" s="4">
        <v>15049171</v>
      </c>
      <c r="AY286" s="4">
        <f>Base[[#This Row],['[SC']Budget_total_retraites]]/Base[[#This Row],['[SC']Nombre_de_retraités]]</f>
        <v>22386.987296509556</v>
      </c>
      <c r="AZ286" s="4">
        <f>Base[[#This Row],['[SC']Budget_par_retraité]]*Base[[#This Row],['[SC']Nb_personnes_dépendantes]]</f>
        <v>0</v>
      </c>
      <c r="BA286" s="4">
        <f>Base[[#This Row],['[SC']'[Dépendance']Coût_retraite_personnes_dépendantes]]/Base[[#This Row],[Population_totale]]</f>
        <v>0</v>
      </c>
      <c r="BB2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6" s="4">
        <f>Base[[#This Row],['[SC']'[Dépendance']Gains]]-Base[[#This Row],['[SC']'[Dépendance']Coûts]]</f>
        <v>0</v>
      </c>
      <c r="BD286" s="4">
        <f>IF(Base[[#This Row],[Pathologie]]&lt;&gt;"Mort prématurée",0,Base[[#This Row],[Risque]]*Base[[#This Row],[Prévalence]]*Base[[#This Row],[Population_totale]])</f>
        <v>0</v>
      </c>
      <c r="BE286" s="4">
        <v>52.74</v>
      </c>
      <c r="BF286" s="4">
        <f>Base[[#This Row],['[SC']Âge_moyen_retraite]]-Base[[#This Row],['[SC']'[Mort_prématurée']Âge_moyen_mort précoce]]</f>
        <v>10.159999999999997</v>
      </c>
      <c r="BG286" s="4">
        <f>Base[[#This Row],[Espérance_vie]]+Base[[#This Row],['[SC']Hausse_esp_de_vie]]-Base[[#This Row],['[SC']Âge_moyen_retraite]]</f>
        <v>20.236955218602098</v>
      </c>
      <c r="BH286" s="4">
        <v>106583.42676924677</v>
      </c>
      <c r="BI286" s="4">
        <v>97601.789429271477</v>
      </c>
      <c r="BJ286" s="4">
        <v>302038.31496633729</v>
      </c>
      <c r="BK286" s="4">
        <v>117293.58934859755</v>
      </c>
      <c r="BL286" s="4">
        <v>1523999.9999999995</v>
      </c>
      <c r="BM2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6" s="4">
        <v>294804.96027377353</v>
      </c>
      <c r="BO2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6" s="4">
        <f>(Base[[#This Row],['[SC']'[Mort_prématurée']Gains]]-Base[[#This Row],['[SC']'[Mort_prématurée']Coûts]])/Base[[#This Row],[Population_totale]]</f>
        <v>0</v>
      </c>
      <c r="BQ286" s="4">
        <f>IF(Base[[#This Row],[Pathologie]]&lt;&gt;"Mort prématurée",0,Base[[#This Row],[Risque]])</f>
        <v>0</v>
      </c>
      <c r="BR286" s="4">
        <v>2680</v>
      </c>
      <c r="BS2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6.8776488948647397E-3</v>
      </c>
      <c r="BT2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286" s="4">
        <f>Base[[#This Row],[Prévalence_prod]]*(1-Base[[#This Row],[Risque]])*Base[[#This Row],[Durée_arrêt]]*Base[[#This Row],[Population_emploi]]</f>
        <v>5484051.6007263586</v>
      </c>
      <c r="BV286" s="4">
        <f>Base[[#This Row],['[Prod']'[Absentéisme']Total_jours_absence_avant]]-Base[[#This Row],['[Prod']'[Absentéisme']Total_jours_absence_après]]</f>
        <v>5109160.3484060708</v>
      </c>
      <c r="BW286" s="4">
        <f>IF(AND(Base[[#This Row],[Pathologie]]&lt;&gt;"Dépendance",Base[[#This Row],[Pathologie]]&lt;&gt;"Mort prématurée",Base[[#This Row],[Pathologie]]&lt;&gt;"Migraine"),0.0619,0)</f>
        <v>6.1899999999999997E-2</v>
      </c>
      <c r="BX286" s="4">
        <v>254</v>
      </c>
      <c r="BY28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286" s="4">
        <f>(Base[[#This Row],['[Prod']'[Absentéisme']Jours_théoriques]]-Base[[#This Row],['[Prod']'[Absentéisme']Total_jours_absence_évités]])/(Base[[#This Row],[Population_emploi]]*Base[[#This Row],['[Prod']Jours_ouvrés]])</f>
        <v>2.3807582179448871E-3</v>
      </c>
      <c r="CA286" s="4">
        <f>Base[[#This Row],[Prévalence_prod]]*Base[[#This Row],[Présentéisme]]*Base[[#This Row],['[Prod']Jours_ouvrés]]</f>
        <v>1.0626852000000002</v>
      </c>
      <c r="CB286" s="4">
        <f>Base[[#This Row],[Prévalence_prod]]*(1-Base[[#This Row],[Risque]])*Base[[#This Row],[Présentéisme]]*Base[[#This Row],['[Prod']Jours_ouvrés]]</f>
        <v>0.5501466882861249</v>
      </c>
      <c r="CC286" s="4">
        <f>Base[[#This Row],['[Prod']'[Présentéisme']Jours_avant]]-Base[[#This Row],['[Prod']'[Présentéisme']Jours_après]]</f>
        <v>0.51253851171387532</v>
      </c>
      <c r="CD286" s="4">
        <f>Base[[#This Row],['[Prod']'[Présentéisme']Jours_gagnés]]/Base[[#This Row],['[Prod']Jours_ouvrés]]</f>
        <v>2.01786815635384E-3</v>
      </c>
      <c r="CE286">
        <v>7.5880726467531134E-2</v>
      </c>
      <c r="CF286">
        <v>1.989821358241517E-2</v>
      </c>
      <c r="CG286" s="4">
        <v>11</v>
      </c>
      <c r="CH286" s="4">
        <v>0.85076983926913452</v>
      </c>
      <c r="CI286" s="4">
        <v>0</v>
      </c>
      <c r="CJ286" s="4">
        <f>IF(Base[[#This Row],[Secteur]]&lt;&gt;"Moyenne",Base[[#This Row],['[Prod']'[Turnover']DMC_initiale]]*(1+Base[[#This Row],['[Prod']'[Turnover']Ecart_accidents]]*Base[[#This Row],['[Prod']Impact_motifs_turnover]]),CJ269*CI269+CJ270*CI270+CJ271*CI271+CJ272*CI272+CJ273*CI273+CJ274*CI274+CJ275*CI275+CJ276*CI276+CJ277*CI277+CJ278*CI278+CJ279*CI279+CJ280*CI280+CJ281*CI281+CJ282*CI282+CJ283*CI283+CJ284*CI284+CJ285*CI285)</f>
        <v>11.186216799683796</v>
      </c>
      <c r="CK286" s="4">
        <f>1/Base[[#This Row],['[Prod']'[Turnover']DMC_initiale]]</f>
        <v>9.0909090909090912E-2</v>
      </c>
      <c r="CL286" s="4">
        <f>1/Base[[#This Row],['[Prod']'[Turnover']DMC_finale]]</f>
        <v>8.9395728502979416E-2</v>
      </c>
    </row>
    <row r="287" spans="2:90" x14ac:dyDescent="0.25">
      <c r="B287" s="4" t="s">
        <v>315</v>
      </c>
      <c r="C287">
        <v>15</v>
      </c>
      <c r="D287" t="s">
        <v>83</v>
      </c>
      <c r="E287" t="s">
        <v>5</v>
      </c>
      <c r="F287" s="3">
        <v>0.36</v>
      </c>
      <c r="G287" s="3">
        <v>6.593568911523901E-4</v>
      </c>
      <c r="H287" s="3">
        <v>6.593568911523901E-4</v>
      </c>
      <c r="I287" s="3">
        <v>0</v>
      </c>
      <c r="J287" s="3">
        <v>4.7304000000000004</v>
      </c>
      <c r="K287" s="3">
        <v>7.0000000000000007E-2</v>
      </c>
      <c r="L287" s="2">
        <f>Base[[#This Row],[Coût]]*Base[[#This Row],[Part_ménages_dépenses_santé]]</f>
        <v>0.33112800000000003</v>
      </c>
      <c r="M287" s="2">
        <v>1</v>
      </c>
      <c r="N287" s="6">
        <v>27700000</v>
      </c>
      <c r="O287" s="7">
        <f>Base[[#This Row],[Coût_salarié]]*10^9*Base[[#This Row],[Risque]]*Base[[#This Row],[Prévalence]]*Base[[#This Row],[Part_coûts_salarié]]/Base[[#This Row],[Population_emploi]]</f>
        <v>2.8375216720311594E-3</v>
      </c>
      <c r="P287">
        <v>50</v>
      </c>
      <c r="Q287">
        <v>50</v>
      </c>
      <c r="R287" s="2">
        <v>9.9999999999999978E-2</v>
      </c>
      <c r="S287" s="2">
        <v>0.33340000000000003</v>
      </c>
      <c r="T287" s="4">
        <v>6.593568911523901E-4</v>
      </c>
      <c r="U287" s="4">
        <f>IF(Bases_annexes!$F$5=0,16.6587111018772,0.77*Bases_annexes!$F$5/(IF(OR(ISBLANK('Données_d''entrée'!$E$44),'Données_d''entrée'!$E$44=0),35,'Données_d''entrée'!$E$44)*52))</f>
        <v>16.658711101877199</v>
      </c>
      <c r="V287" s="4">
        <v>45.453421187287603</v>
      </c>
      <c r="W2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87" s="4">
        <v>234.5</v>
      </c>
      <c r="Y287" s="4">
        <f>(Base[[#This Row],['[Maladies']Coûts_évités_par_salarié]]+Base[[#This Row],['[Travail']Coûts_évités_par_salarié]])/Base[[#This Row],[Budget_santé_salarié]]</f>
        <v>8.6732166151851293E-4</v>
      </c>
      <c r="Z287" s="4">
        <v>0.8</v>
      </c>
      <c r="AA287" s="4">
        <f>Base[[#This Row],[Coût]]*Base[[#This Row],[Part_société_dépenses_santé]]</f>
        <v>3.7843200000000006</v>
      </c>
      <c r="AB287" s="4">
        <v>67635124</v>
      </c>
      <c r="AC287" s="4">
        <v>82.297079063317852</v>
      </c>
      <c r="AD287" s="4">
        <v>6.593568911523901E-4</v>
      </c>
      <c r="AE287" s="4">
        <f>Base[[#This Row],['[SC']Prévalence_travail]]*Base[[#This Row],[Population_emploi]]</f>
        <v>18264.185884921208</v>
      </c>
      <c r="AF287" s="4">
        <f>Base[[#This Row],[Risque]]*Base[[#This Row],['[SC']Patients_en_emploi]]</f>
        <v>6575.1069185716342</v>
      </c>
      <c r="AG287" s="4">
        <v>60180000</v>
      </c>
      <c r="AH287" s="4">
        <f>IFERROR(Base[[#This Row],['[SC']Prestations]]/Base[[#This Row],['[SC']Patients_en_emploi]],0)</f>
        <v>3294.9730351619019</v>
      </c>
      <c r="AI287" s="4">
        <v>51.7</v>
      </c>
      <c r="AJ2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87" s="4">
        <f>Base[[#This Row],['[SC']'[Travail']Coûts_évités]]/Base[[#This Row],[Population_emploi]]</f>
        <v>0.78212274368231038</v>
      </c>
      <c r="AL287" s="4">
        <f>Base[[#This Row],[Coût_société]]*10^9*Base[[#This Row],[Risque]]*Base[[#This Row],[Prévalence]]*Base[[#This Row],[Part_coûts_salarié]]/Base[[#This Row],[Population_emploi]]</f>
        <v>3.2428819108927538E-2</v>
      </c>
      <c r="AM287" s="4">
        <f>IF(Base[[#This Row],[Pathologie]]&lt;&gt;"Dépendance",0,14909.24243952)</f>
        <v>0</v>
      </c>
      <c r="AN287" s="4">
        <f>IF(Base[[#This Row],[Pathologie]]&lt;&gt;"Dépendance",0,1316000)</f>
        <v>0</v>
      </c>
      <c r="AO287" s="4">
        <f>IF(Base[[#This Row],[Pathologie]]&lt;&gt;"Dépendance",0,Base[[#This Row],['[SC']Coût_personne_dépendante]]*Base[[#This Row],['[SC']Nb_personnes_dépendantes]])</f>
        <v>0</v>
      </c>
      <c r="AP287" s="4">
        <f>IF(Base[[#This Row],[Pathologie]]&lt;&gt;"Dépendance",0,Base[[#This Row],['[SC']Coût_total_dépendance]]/Base[[#This Row],[Population_totale]])</f>
        <v>0</v>
      </c>
      <c r="AQ287" s="4">
        <f>IF(Base[[#This Row],[Pathologie]]&lt;&gt;"Dépendance",0,4.5)</f>
        <v>0</v>
      </c>
      <c r="AR287" s="4">
        <v>0.83987615528424797</v>
      </c>
      <c r="AS287" s="4">
        <f>Base[[#This Row],[Espérance_vie]]+Base[[#This Row],['[SC']Hausse_esp_de_vie]]-Base[[#This Row],['[SC']Durée_moyenne_dépendance_avt]]+Base[[#This Row],[Risque]]</f>
        <v>83.496955218602096</v>
      </c>
      <c r="AT2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7" s="4">
        <v>62.9</v>
      </c>
      <c r="AW287" s="4">
        <f t="shared" si="0"/>
        <v>336905600000</v>
      </c>
      <c r="AX287" s="4">
        <v>15049171</v>
      </c>
      <c r="AY287" s="4">
        <f>Base[[#This Row],['[SC']Budget_total_retraites]]/Base[[#This Row],['[SC']Nombre_de_retraités]]</f>
        <v>22386.987296509556</v>
      </c>
      <c r="AZ287" s="4">
        <f>Base[[#This Row],['[SC']Budget_par_retraité]]*Base[[#This Row],['[SC']Nb_personnes_dépendantes]]</f>
        <v>0</v>
      </c>
      <c r="BA287" s="4">
        <f>Base[[#This Row],['[SC']'[Dépendance']Coût_retraite_personnes_dépendantes]]/Base[[#This Row],[Population_totale]]</f>
        <v>0</v>
      </c>
      <c r="BB2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7" s="4">
        <f>Base[[#This Row],['[SC']'[Dépendance']Gains]]-Base[[#This Row],['[SC']'[Dépendance']Coûts]]</f>
        <v>0</v>
      </c>
      <c r="BD287" s="4">
        <f>IF(Base[[#This Row],[Pathologie]]&lt;&gt;"Mort prématurée",0,Base[[#This Row],[Risque]]*Base[[#This Row],[Prévalence]]*Base[[#This Row],[Population_totale]])</f>
        <v>0</v>
      </c>
      <c r="BE287" s="4">
        <v>52.74</v>
      </c>
      <c r="BF287" s="4">
        <f>Base[[#This Row],['[SC']Âge_moyen_retraite]]-Base[[#This Row],['[SC']'[Mort_prématurée']Âge_moyen_mort précoce]]</f>
        <v>10.159999999999997</v>
      </c>
      <c r="BG287" s="4">
        <f>Base[[#This Row],[Espérance_vie]]+Base[[#This Row],['[SC']Hausse_esp_de_vie]]-Base[[#This Row],['[SC']Âge_moyen_retraite]]</f>
        <v>20.236955218602098</v>
      </c>
      <c r="BH287" s="4">
        <v>106583.42676924677</v>
      </c>
      <c r="BI287" s="4">
        <v>97601.789429271477</v>
      </c>
      <c r="BJ287" s="4">
        <v>302038.31496633729</v>
      </c>
      <c r="BK287" s="4">
        <v>117293.58934859755</v>
      </c>
      <c r="BL287" s="4">
        <v>1523999.9999999995</v>
      </c>
      <c r="BM2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7" s="4">
        <v>294804.96027377353</v>
      </c>
      <c r="BO2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7" s="4">
        <f>(Base[[#This Row],['[SC']'[Mort_prématurée']Gains]]-Base[[#This Row],['[SC']'[Mort_prématurée']Coûts]])/Base[[#This Row],[Population_totale]]</f>
        <v>0</v>
      </c>
      <c r="BQ287" s="4">
        <f>IF(Base[[#This Row],[Pathologie]]&lt;&gt;"Mort prématurée",0,Base[[#This Row],[Risque]])</f>
        <v>0</v>
      </c>
      <c r="BR287" s="4">
        <v>2680</v>
      </c>
      <c r="BS2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87" s="4">
        <f>Base[[#This Row],[Prévalence_prod]]*(1-Base[[#This Row],[Risque]])*Base[[#This Row],[Durée_arrêt]]*Base[[#This Row],[Population_emploi]]</f>
        <v>531308.62954895152</v>
      </c>
      <c r="BV287" s="4">
        <f>Base[[#This Row],['[Prod']'[Absentéisme']Total_jours_absence_avant]]-Base[[#This Row],['[Prod']'[Absentéisme']Total_jours_absence_après]]</f>
        <v>298861.10412128514</v>
      </c>
      <c r="BW287" s="4">
        <f>IF(AND(Base[[#This Row],[Pathologie]]&lt;&gt;"Dépendance",Base[[#This Row],[Pathologie]]&lt;&gt;"Mort prématurée",Base[[#This Row],[Pathologie]]&lt;&gt;"Migraine"),0.0619,0)</f>
        <v>6.1899999999999997E-2</v>
      </c>
      <c r="BX287" s="4">
        <v>254</v>
      </c>
      <c r="BY28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87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87" s="4">
        <f>Base[[#This Row],[Prévalence_prod]]*Base[[#This Row],[Présentéisme]]*Base[[#This Row],['[Prod']Jours_ouvrés]]</f>
        <v>0</v>
      </c>
      <c r="CB287" s="4">
        <f>Base[[#This Row],[Prévalence_prod]]*(1-Base[[#This Row],[Risque]])*Base[[#This Row],[Présentéisme]]*Base[[#This Row],['[Prod']Jours_ouvrés]]</f>
        <v>0</v>
      </c>
      <c r="CC287" s="4">
        <f>Base[[#This Row],['[Prod']'[Présentéisme']Jours_avant]]-Base[[#This Row],['[Prod']'[Présentéisme']Jours_après]]</f>
        <v>0</v>
      </c>
      <c r="CD287" s="4">
        <f>Base[[#This Row],['[Prod']'[Présentéisme']Jours_gagnés]]/Base[[#This Row],['[Prod']Jours_ouvrés]]</f>
        <v>0</v>
      </c>
      <c r="CE287">
        <v>7.5880726467531134E-2</v>
      </c>
      <c r="CF287">
        <v>1.989821358241517E-2</v>
      </c>
      <c r="CG287" s="4">
        <v>11</v>
      </c>
      <c r="CH287" s="4">
        <v>1.3966184516047948</v>
      </c>
      <c r="CI287" s="4">
        <v>1.4392894727292521E-2</v>
      </c>
      <c r="CJ287" s="4">
        <f>IF(Base[[#This Row],[Secteur]]&lt;&gt;"Moyenne",Base[[#This Row],['[Prod']'[Turnover']DMC_initiale]]*(1+Base[[#This Row],['[Prod']'[Turnover']Ecart_accidents]]*Base[[#This Row],['[Prod']Impact_motifs_turnover]]),CJ270*CI270+CJ271*CI271+CJ272*CI272+CJ273*CI273+CJ274*CI274+CJ275*CI275+CJ276*CI276+CJ277*CI277+CJ278*CI278+CJ279*CI279+CJ280*CI280+CJ281*CI281+CJ282*CI282+CJ283*CI283+CJ284*CI284+CJ285*CI285+CJ286*CI286)</f>
        <v>11.305692334674916</v>
      </c>
      <c r="CK287" s="4">
        <f>1/Base[[#This Row],['[Prod']'[Turnover']DMC_initiale]]</f>
        <v>9.0909090909090912E-2</v>
      </c>
      <c r="CL287" s="4">
        <f>1/Base[[#This Row],['[Prod']'[Turnover']DMC_finale]]</f>
        <v>8.8451018336397527E-2</v>
      </c>
    </row>
    <row r="288" spans="2:90" x14ac:dyDescent="0.25">
      <c r="B288" s="4" t="s">
        <v>316</v>
      </c>
      <c r="C288">
        <v>15</v>
      </c>
      <c r="D288" t="s">
        <v>83</v>
      </c>
      <c r="E288" t="s">
        <v>5</v>
      </c>
      <c r="F288" s="3">
        <v>0.36</v>
      </c>
      <c r="G288" s="3">
        <v>6.593568911523901E-4</v>
      </c>
      <c r="H288" s="3">
        <v>6.593568911523901E-4</v>
      </c>
      <c r="I288" s="3">
        <v>0</v>
      </c>
      <c r="J288" s="3">
        <v>4.7304000000000004</v>
      </c>
      <c r="K288" s="3">
        <v>7.0000000000000007E-2</v>
      </c>
      <c r="L288" s="2">
        <f>Base[[#This Row],[Coût]]*Base[[#This Row],[Part_ménages_dépenses_santé]]</f>
        <v>0.33112800000000003</v>
      </c>
      <c r="M288" s="2">
        <v>1</v>
      </c>
      <c r="N288" s="6">
        <v>27700000</v>
      </c>
      <c r="O288" s="7">
        <f>Base[[#This Row],[Coût_salarié]]*10^9*Base[[#This Row],[Risque]]*Base[[#This Row],[Prévalence]]*Base[[#This Row],[Part_coûts_salarié]]/Base[[#This Row],[Population_emploi]]</f>
        <v>2.8375216720311594E-3</v>
      </c>
      <c r="P288">
        <v>50</v>
      </c>
      <c r="Q288">
        <v>50</v>
      </c>
      <c r="R288" s="2">
        <v>9.9999999999999978E-2</v>
      </c>
      <c r="S288" s="2">
        <v>0.33340000000000003</v>
      </c>
      <c r="T288" s="4">
        <v>6.593568911523901E-4</v>
      </c>
      <c r="U288" s="4">
        <f>IF(Bases_annexes!$F$5=0,16.6587111018772,0.77*Bases_annexes!$F$5/(IF(OR(ISBLANK('Données_d''entrée'!$E$44),'Données_d''entrée'!$E$44=0),35,'Données_d''entrée'!$E$44)*52))</f>
        <v>16.658711101877199</v>
      </c>
      <c r="V288" s="4">
        <v>45.453421187287603</v>
      </c>
      <c r="W2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88" s="4">
        <v>234.5</v>
      </c>
      <c r="Y288" s="4">
        <f>(Base[[#This Row],['[Maladies']Coûts_évités_par_salarié]]+Base[[#This Row],['[Travail']Coûts_évités_par_salarié]])/Base[[#This Row],[Budget_santé_salarié]]</f>
        <v>8.6732166151851293E-4</v>
      </c>
      <c r="Z288" s="4">
        <v>0.8</v>
      </c>
      <c r="AA288" s="4">
        <f>Base[[#This Row],[Coût]]*Base[[#This Row],[Part_société_dépenses_santé]]</f>
        <v>3.7843200000000006</v>
      </c>
      <c r="AB288" s="4">
        <v>67635124</v>
      </c>
      <c r="AC288" s="4">
        <v>82.297079063317852</v>
      </c>
      <c r="AD288" s="4">
        <v>6.593568911523901E-4</v>
      </c>
      <c r="AE288" s="4">
        <f>Base[[#This Row],['[SC']Prévalence_travail]]*Base[[#This Row],[Population_emploi]]</f>
        <v>18264.185884921208</v>
      </c>
      <c r="AF288" s="4">
        <f>Base[[#This Row],[Risque]]*Base[[#This Row],['[SC']Patients_en_emploi]]</f>
        <v>6575.1069185716342</v>
      </c>
      <c r="AG288" s="4">
        <v>60180000</v>
      </c>
      <c r="AH288" s="4">
        <f>IFERROR(Base[[#This Row],['[SC']Prestations]]/Base[[#This Row],['[SC']Patients_en_emploi]],0)</f>
        <v>3294.9730351619019</v>
      </c>
      <c r="AI288" s="4">
        <v>51.7</v>
      </c>
      <c r="AJ2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88" s="4">
        <f>Base[[#This Row],['[SC']'[Travail']Coûts_évités]]/Base[[#This Row],[Population_emploi]]</f>
        <v>0.78212274368231038</v>
      </c>
      <c r="AL288" s="4">
        <f>Base[[#This Row],[Coût_société]]*10^9*Base[[#This Row],[Risque]]*Base[[#This Row],[Prévalence]]*Base[[#This Row],[Part_coûts_salarié]]/Base[[#This Row],[Population_emploi]]</f>
        <v>3.2428819108927538E-2</v>
      </c>
      <c r="AM288" s="4">
        <f>IF(Base[[#This Row],[Pathologie]]&lt;&gt;"Dépendance",0,14909.24243952)</f>
        <v>0</v>
      </c>
      <c r="AN288" s="4">
        <f>IF(Base[[#This Row],[Pathologie]]&lt;&gt;"Dépendance",0,1316000)</f>
        <v>0</v>
      </c>
      <c r="AO288" s="4">
        <f>IF(Base[[#This Row],[Pathologie]]&lt;&gt;"Dépendance",0,Base[[#This Row],['[SC']Coût_personne_dépendante]]*Base[[#This Row],['[SC']Nb_personnes_dépendantes]])</f>
        <v>0</v>
      </c>
      <c r="AP288" s="4">
        <f>IF(Base[[#This Row],[Pathologie]]&lt;&gt;"Dépendance",0,Base[[#This Row],['[SC']Coût_total_dépendance]]/Base[[#This Row],[Population_totale]])</f>
        <v>0</v>
      </c>
      <c r="AQ288" s="4">
        <f>IF(Base[[#This Row],[Pathologie]]&lt;&gt;"Dépendance",0,4.5)</f>
        <v>0</v>
      </c>
      <c r="AR288" s="4">
        <v>0.83987615528424797</v>
      </c>
      <c r="AS288" s="4">
        <f>Base[[#This Row],[Espérance_vie]]+Base[[#This Row],['[SC']Hausse_esp_de_vie]]-Base[[#This Row],['[SC']Durée_moyenne_dépendance_avt]]+Base[[#This Row],[Risque]]</f>
        <v>83.496955218602096</v>
      </c>
      <c r="AT2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8" s="4">
        <v>62.9</v>
      </c>
      <c r="AW288" s="4">
        <f t="shared" si="0"/>
        <v>336905600000</v>
      </c>
      <c r="AX288" s="4">
        <v>15049171</v>
      </c>
      <c r="AY288" s="4">
        <f>Base[[#This Row],['[SC']Budget_total_retraites]]/Base[[#This Row],['[SC']Nombre_de_retraités]]</f>
        <v>22386.987296509556</v>
      </c>
      <c r="AZ288" s="4">
        <f>Base[[#This Row],['[SC']Budget_par_retraité]]*Base[[#This Row],['[SC']Nb_personnes_dépendantes]]</f>
        <v>0</v>
      </c>
      <c r="BA288" s="4">
        <f>Base[[#This Row],['[SC']'[Dépendance']Coût_retraite_personnes_dépendantes]]/Base[[#This Row],[Population_totale]]</f>
        <v>0</v>
      </c>
      <c r="BB2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8" s="4">
        <f>Base[[#This Row],['[SC']'[Dépendance']Gains]]-Base[[#This Row],['[SC']'[Dépendance']Coûts]]</f>
        <v>0</v>
      </c>
      <c r="BD288" s="4">
        <f>IF(Base[[#This Row],[Pathologie]]&lt;&gt;"Mort prématurée",0,Base[[#This Row],[Risque]]*Base[[#This Row],[Prévalence]]*Base[[#This Row],[Population_totale]])</f>
        <v>0</v>
      </c>
      <c r="BE288" s="4">
        <v>52.74</v>
      </c>
      <c r="BF288" s="4">
        <f>Base[[#This Row],['[SC']Âge_moyen_retraite]]-Base[[#This Row],['[SC']'[Mort_prématurée']Âge_moyen_mort précoce]]</f>
        <v>10.159999999999997</v>
      </c>
      <c r="BG288" s="4">
        <f>Base[[#This Row],[Espérance_vie]]+Base[[#This Row],['[SC']Hausse_esp_de_vie]]-Base[[#This Row],['[SC']Âge_moyen_retraite]]</f>
        <v>20.236955218602098</v>
      </c>
      <c r="BH288" s="4">
        <v>106583.42676924677</v>
      </c>
      <c r="BI288" s="4">
        <v>97601.789429271477</v>
      </c>
      <c r="BJ288" s="4">
        <v>302038.31496633729</v>
      </c>
      <c r="BK288" s="4">
        <v>117293.58934859755</v>
      </c>
      <c r="BL288" s="4">
        <v>1523999.9999999995</v>
      </c>
      <c r="BM2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8" s="4">
        <v>294804.96027377353</v>
      </c>
      <c r="BO2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8" s="4">
        <f>(Base[[#This Row],['[SC']'[Mort_prématurée']Gains]]-Base[[#This Row],['[SC']'[Mort_prématurée']Coûts]])/Base[[#This Row],[Population_totale]]</f>
        <v>0</v>
      </c>
      <c r="BQ288" s="4">
        <f>IF(Base[[#This Row],[Pathologie]]&lt;&gt;"Mort prématurée",0,Base[[#This Row],[Risque]])</f>
        <v>0</v>
      </c>
      <c r="BR288" s="4">
        <v>2680</v>
      </c>
      <c r="BS2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88" s="4">
        <f>Base[[#This Row],[Prévalence_prod]]*(1-Base[[#This Row],[Risque]])*Base[[#This Row],[Durée_arrêt]]*Base[[#This Row],[Population_emploi]]</f>
        <v>531308.62954895152</v>
      </c>
      <c r="BV288" s="4">
        <f>Base[[#This Row],['[Prod']'[Absentéisme']Total_jours_absence_avant]]-Base[[#This Row],['[Prod']'[Absentéisme']Total_jours_absence_après]]</f>
        <v>298861.10412128514</v>
      </c>
      <c r="BW288" s="4">
        <f>IF(AND(Base[[#This Row],[Pathologie]]&lt;&gt;"Dépendance",Base[[#This Row],[Pathologie]]&lt;&gt;"Mort prématurée",Base[[#This Row],[Pathologie]]&lt;&gt;"Migraine"),0.0619,0)</f>
        <v>6.1899999999999997E-2</v>
      </c>
      <c r="BX288" s="4">
        <v>254</v>
      </c>
      <c r="BY28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88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88" s="4">
        <f>Base[[#This Row],[Prévalence_prod]]*Base[[#This Row],[Présentéisme]]*Base[[#This Row],['[Prod']Jours_ouvrés]]</f>
        <v>0</v>
      </c>
      <c r="CB288" s="4">
        <f>Base[[#This Row],[Prévalence_prod]]*(1-Base[[#This Row],[Risque]])*Base[[#This Row],[Présentéisme]]*Base[[#This Row],['[Prod']Jours_ouvrés]]</f>
        <v>0</v>
      </c>
      <c r="CC288" s="4">
        <f>Base[[#This Row],['[Prod']'[Présentéisme']Jours_avant]]-Base[[#This Row],['[Prod']'[Présentéisme']Jours_après]]</f>
        <v>0</v>
      </c>
      <c r="CD288" s="4">
        <f>Base[[#This Row],['[Prod']'[Présentéisme']Jours_gagnés]]/Base[[#This Row],['[Prod']Jours_ouvrés]]</f>
        <v>0</v>
      </c>
      <c r="CE288">
        <v>7.5880726467531134E-2</v>
      </c>
      <c r="CF288">
        <v>1.989821358241517E-2</v>
      </c>
      <c r="CG288" s="4">
        <v>11</v>
      </c>
      <c r="CH288" s="4">
        <v>0.68054183762612652</v>
      </c>
      <c r="CI288" s="4">
        <v>1.2135452577082654E-2</v>
      </c>
      <c r="CJ288" s="4">
        <f>IF(Base[[#This Row],[Secteur]]&lt;&gt;"Moyenne",Base[[#This Row],['[Prod']'[Turnover']DMC_initiale]]*(1+Base[[#This Row],['[Prod']'[Turnover']Ecart_accidents]]*Base[[#This Row],['[Prod']Impact_motifs_turnover]]),CJ271*CI271+CJ272*CI272+CJ273*CI273+CJ274*CI274+CJ275*CI275+CJ276*CI276+CJ277*CI277+CJ278*CI278+CJ279*CI279+CJ280*CI280+CJ281*CI281+CJ282*CI282+CJ283*CI283+CJ284*CI284+CJ285*CI285+CJ286*CI286+CJ287*CI287)</f>
        <v>11.148957235205394</v>
      </c>
      <c r="CK288" s="4">
        <f>1/Base[[#This Row],['[Prod']'[Turnover']DMC_initiale]]</f>
        <v>9.0909090909090912E-2</v>
      </c>
      <c r="CL288" s="4">
        <f>1/Base[[#This Row],['[Prod']'[Turnover']DMC_finale]]</f>
        <v>8.9694487018236124E-2</v>
      </c>
    </row>
    <row r="289" spans="2:90" x14ac:dyDescent="0.25">
      <c r="B289" s="4" t="s">
        <v>317</v>
      </c>
      <c r="C289">
        <v>15</v>
      </c>
      <c r="D289" t="s">
        <v>83</v>
      </c>
      <c r="E289" t="s">
        <v>5</v>
      </c>
      <c r="F289" s="3">
        <v>0.36</v>
      </c>
      <c r="G289" s="3">
        <v>6.593568911523901E-4</v>
      </c>
      <c r="H289" s="3">
        <v>6.593568911523901E-4</v>
      </c>
      <c r="I289" s="3">
        <v>0</v>
      </c>
      <c r="J289" s="3">
        <v>4.7304000000000004</v>
      </c>
      <c r="K289" s="3">
        <v>7.0000000000000007E-2</v>
      </c>
      <c r="L289" s="2">
        <f>Base[[#This Row],[Coût]]*Base[[#This Row],[Part_ménages_dépenses_santé]]</f>
        <v>0.33112800000000003</v>
      </c>
      <c r="M289" s="2">
        <v>1</v>
      </c>
      <c r="N289" s="6">
        <v>27700000</v>
      </c>
      <c r="O289" s="7">
        <f>Base[[#This Row],[Coût_salarié]]*10^9*Base[[#This Row],[Risque]]*Base[[#This Row],[Prévalence]]*Base[[#This Row],[Part_coûts_salarié]]/Base[[#This Row],[Population_emploi]]</f>
        <v>2.8375216720311594E-3</v>
      </c>
      <c r="P289">
        <v>50</v>
      </c>
      <c r="Q289">
        <v>50</v>
      </c>
      <c r="R289" s="2">
        <v>9.9999999999999978E-2</v>
      </c>
      <c r="S289" s="2">
        <v>0.33340000000000003</v>
      </c>
      <c r="T289" s="4">
        <v>6.593568911523901E-4</v>
      </c>
      <c r="U289" s="4">
        <f>IF(Bases_annexes!$F$5=0,16.6587111018772,0.77*Bases_annexes!$F$5/(IF(OR(ISBLANK('Données_d''entrée'!$E$44),'Données_d''entrée'!$E$44=0),35,'Données_d''entrée'!$E$44)*52))</f>
        <v>16.658711101877199</v>
      </c>
      <c r="V289" s="4">
        <v>45.453421187287603</v>
      </c>
      <c r="W2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89" s="4">
        <v>234.5</v>
      </c>
      <c r="Y289" s="4">
        <f>(Base[[#This Row],['[Maladies']Coûts_évités_par_salarié]]+Base[[#This Row],['[Travail']Coûts_évités_par_salarié]])/Base[[#This Row],[Budget_santé_salarié]]</f>
        <v>8.6732166151851293E-4</v>
      </c>
      <c r="Z289" s="4">
        <v>0.8</v>
      </c>
      <c r="AA289" s="4">
        <f>Base[[#This Row],[Coût]]*Base[[#This Row],[Part_société_dépenses_santé]]</f>
        <v>3.7843200000000006</v>
      </c>
      <c r="AB289" s="4">
        <v>67635124</v>
      </c>
      <c r="AC289" s="4">
        <v>82.297079063317852</v>
      </c>
      <c r="AD289" s="4">
        <v>6.593568911523901E-4</v>
      </c>
      <c r="AE289" s="4">
        <f>Base[[#This Row],['[SC']Prévalence_travail]]*Base[[#This Row],[Population_emploi]]</f>
        <v>18264.185884921208</v>
      </c>
      <c r="AF289" s="4">
        <f>Base[[#This Row],[Risque]]*Base[[#This Row],['[SC']Patients_en_emploi]]</f>
        <v>6575.1069185716342</v>
      </c>
      <c r="AG289" s="4">
        <v>60180000</v>
      </c>
      <c r="AH289" s="4">
        <f>IFERROR(Base[[#This Row],['[SC']Prestations]]/Base[[#This Row],['[SC']Patients_en_emploi]],0)</f>
        <v>3294.9730351619019</v>
      </c>
      <c r="AI289" s="4">
        <v>51.7</v>
      </c>
      <c r="AJ2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89" s="4">
        <f>Base[[#This Row],['[SC']'[Travail']Coûts_évités]]/Base[[#This Row],[Population_emploi]]</f>
        <v>0.78212274368231038</v>
      </c>
      <c r="AL289" s="4">
        <f>Base[[#This Row],[Coût_société]]*10^9*Base[[#This Row],[Risque]]*Base[[#This Row],[Prévalence]]*Base[[#This Row],[Part_coûts_salarié]]/Base[[#This Row],[Population_emploi]]</f>
        <v>3.2428819108927538E-2</v>
      </c>
      <c r="AM289" s="4">
        <f>IF(Base[[#This Row],[Pathologie]]&lt;&gt;"Dépendance",0,14909.24243952)</f>
        <v>0</v>
      </c>
      <c r="AN289" s="4">
        <f>IF(Base[[#This Row],[Pathologie]]&lt;&gt;"Dépendance",0,1316000)</f>
        <v>0</v>
      </c>
      <c r="AO289" s="4">
        <f>IF(Base[[#This Row],[Pathologie]]&lt;&gt;"Dépendance",0,Base[[#This Row],['[SC']Coût_personne_dépendante]]*Base[[#This Row],['[SC']Nb_personnes_dépendantes]])</f>
        <v>0</v>
      </c>
      <c r="AP289" s="4">
        <f>IF(Base[[#This Row],[Pathologie]]&lt;&gt;"Dépendance",0,Base[[#This Row],['[SC']Coût_total_dépendance]]/Base[[#This Row],[Population_totale]])</f>
        <v>0</v>
      </c>
      <c r="AQ289" s="4">
        <f>IF(Base[[#This Row],[Pathologie]]&lt;&gt;"Dépendance",0,4.5)</f>
        <v>0</v>
      </c>
      <c r="AR289" s="4">
        <v>0.83987615528424797</v>
      </c>
      <c r="AS289" s="4">
        <f>Base[[#This Row],[Espérance_vie]]+Base[[#This Row],['[SC']Hausse_esp_de_vie]]-Base[[#This Row],['[SC']Durée_moyenne_dépendance_avt]]+Base[[#This Row],[Risque]]</f>
        <v>83.496955218602096</v>
      </c>
      <c r="AT2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89" s="4">
        <v>62.9</v>
      </c>
      <c r="AW289" s="4">
        <f t="shared" si="0"/>
        <v>336905600000</v>
      </c>
      <c r="AX289" s="4">
        <v>15049171</v>
      </c>
      <c r="AY289" s="4">
        <f>Base[[#This Row],['[SC']Budget_total_retraites]]/Base[[#This Row],['[SC']Nombre_de_retraités]]</f>
        <v>22386.987296509556</v>
      </c>
      <c r="AZ289" s="4">
        <f>Base[[#This Row],['[SC']Budget_par_retraité]]*Base[[#This Row],['[SC']Nb_personnes_dépendantes]]</f>
        <v>0</v>
      </c>
      <c r="BA289" s="4">
        <f>Base[[#This Row],['[SC']'[Dépendance']Coût_retraite_personnes_dépendantes]]/Base[[#This Row],[Population_totale]]</f>
        <v>0</v>
      </c>
      <c r="BB2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89" s="4">
        <f>Base[[#This Row],['[SC']'[Dépendance']Gains]]-Base[[#This Row],['[SC']'[Dépendance']Coûts]]</f>
        <v>0</v>
      </c>
      <c r="BD289" s="4">
        <f>IF(Base[[#This Row],[Pathologie]]&lt;&gt;"Mort prématurée",0,Base[[#This Row],[Risque]]*Base[[#This Row],[Prévalence]]*Base[[#This Row],[Population_totale]])</f>
        <v>0</v>
      </c>
      <c r="BE289" s="4">
        <v>52.74</v>
      </c>
      <c r="BF289" s="4">
        <f>Base[[#This Row],['[SC']Âge_moyen_retraite]]-Base[[#This Row],['[SC']'[Mort_prématurée']Âge_moyen_mort précoce]]</f>
        <v>10.159999999999997</v>
      </c>
      <c r="BG289" s="4">
        <f>Base[[#This Row],[Espérance_vie]]+Base[[#This Row],['[SC']Hausse_esp_de_vie]]-Base[[#This Row],['[SC']Âge_moyen_retraite]]</f>
        <v>20.236955218602098</v>
      </c>
      <c r="BH289" s="4">
        <v>106583.42676924677</v>
      </c>
      <c r="BI289" s="4">
        <v>97601.789429271477</v>
      </c>
      <c r="BJ289" s="4">
        <v>302038.31496633729</v>
      </c>
      <c r="BK289" s="4">
        <v>117293.58934859755</v>
      </c>
      <c r="BL289" s="4">
        <v>1523999.9999999995</v>
      </c>
      <c r="BM2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89" s="4">
        <v>294804.96027377353</v>
      </c>
      <c r="BO2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89" s="4">
        <f>(Base[[#This Row],['[SC']'[Mort_prématurée']Gains]]-Base[[#This Row],['[SC']'[Mort_prématurée']Coûts]])/Base[[#This Row],[Population_totale]]</f>
        <v>0</v>
      </c>
      <c r="BQ289" s="4">
        <f>IF(Base[[#This Row],[Pathologie]]&lt;&gt;"Mort prématurée",0,Base[[#This Row],[Risque]])</f>
        <v>0</v>
      </c>
      <c r="BR289" s="4">
        <v>2680</v>
      </c>
      <c r="BS2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89" s="4">
        <f>Base[[#This Row],[Prévalence_prod]]*(1-Base[[#This Row],[Risque]])*Base[[#This Row],[Durée_arrêt]]*Base[[#This Row],[Population_emploi]]</f>
        <v>531308.62954895152</v>
      </c>
      <c r="BV289" s="4">
        <f>Base[[#This Row],['[Prod']'[Absentéisme']Total_jours_absence_avant]]-Base[[#This Row],['[Prod']'[Absentéisme']Total_jours_absence_après]]</f>
        <v>298861.10412128514</v>
      </c>
      <c r="BW289" s="4">
        <f>IF(AND(Base[[#This Row],[Pathologie]]&lt;&gt;"Dépendance",Base[[#This Row],[Pathologie]]&lt;&gt;"Mort prématurée",Base[[#This Row],[Pathologie]]&lt;&gt;"Migraine"),0.0619,0)</f>
        <v>6.1899999999999997E-2</v>
      </c>
      <c r="BX289" s="4">
        <v>254</v>
      </c>
      <c r="BY289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89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89" s="4">
        <f>Base[[#This Row],[Prévalence_prod]]*Base[[#This Row],[Présentéisme]]*Base[[#This Row],['[Prod']Jours_ouvrés]]</f>
        <v>0</v>
      </c>
      <c r="CB289" s="4">
        <f>Base[[#This Row],[Prévalence_prod]]*(1-Base[[#This Row],[Risque]])*Base[[#This Row],[Présentéisme]]*Base[[#This Row],['[Prod']Jours_ouvrés]]</f>
        <v>0</v>
      </c>
      <c r="CC289" s="4">
        <f>Base[[#This Row],['[Prod']'[Présentéisme']Jours_avant]]-Base[[#This Row],['[Prod']'[Présentéisme']Jours_après]]</f>
        <v>0</v>
      </c>
      <c r="CD289" s="4">
        <f>Base[[#This Row],['[Prod']'[Présentéisme']Jours_gagnés]]/Base[[#This Row],['[Prod']Jours_ouvrés]]</f>
        <v>0</v>
      </c>
      <c r="CE289">
        <v>7.5880726467531134E-2</v>
      </c>
      <c r="CF289">
        <v>1.989821358241517E-2</v>
      </c>
      <c r="CG289" s="4">
        <v>11</v>
      </c>
      <c r="CH289" s="4">
        <v>0.31563677172153043</v>
      </c>
      <c r="CI289" s="4">
        <v>1.3003350630813707E-4</v>
      </c>
      <c r="CJ289" s="4">
        <f>IF(Base[[#This Row],[Secteur]]&lt;&gt;"Moyenne",Base[[#This Row],['[Prod']'[Turnover']DMC_initiale]]*(1+Base[[#This Row],['[Prod']'[Turnover']Ecart_accidents]]*Base[[#This Row],['[Prod']Impact_motifs_turnover]]),CJ272*CI272+CJ273*CI273+CJ274*CI274+CJ275*CI275+CJ276*CI276+CJ277*CI277+CJ278*CI278+CJ279*CI279+CJ280*CI280+CJ281*CI281+CJ282*CI282+CJ283*CI283+CJ284*CI284+CJ285*CI285+CJ286*CI286+CJ287*CI287+CJ288*CI288)</f>
        <v>11.069086686879968</v>
      </c>
      <c r="CK289" s="4">
        <f>1/Base[[#This Row],['[Prod']'[Turnover']DMC_initiale]]</f>
        <v>9.0909090909090912E-2</v>
      </c>
      <c r="CL289" s="4">
        <f>1/Base[[#This Row],['[Prod']'[Turnover']DMC_finale]]</f>
        <v>9.0341690176235209E-2</v>
      </c>
    </row>
    <row r="290" spans="2:90" x14ac:dyDescent="0.25">
      <c r="B290" s="4" t="s">
        <v>318</v>
      </c>
      <c r="C290">
        <v>15</v>
      </c>
      <c r="D290" t="s">
        <v>83</v>
      </c>
      <c r="E290" t="s">
        <v>5</v>
      </c>
      <c r="F290" s="3">
        <v>0.36</v>
      </c>
      <c r="G290" s="3">
        <v>6.593568911523901E-4</v>
      </c>
      <c r="H290" s="3">
        <v>6.593568911523901E-4</v>
      </c>
      <c r="I290" s="3">
        <v>0</v>
      </c>
      <c r="J290" s="3">
        <v>4.7304000000000004</v>
      </c>
      <c r="K290" s="3">
        <v>7.0000000000000007E-2</v>
      </c>
      <c r="L290" s="2">
        <f>Base[[#This Row],[Coût]]*Base[[#This Row],[Part_ménages_dépenses_santé]]</f>
        <v>0.33112800000000003</v>
      </c>
      <c r="M290" s="2">
        <v>1</v>
      </c>
      <c r="N290" s="6">
        <v>27700000</v>
      </c>
      <c r="O290" s="7">
        <f>Base[[#This Row],[Coût_salarié]]*10^9*Base[[#This Row],[Risque]]*Base[[#This Row],[Prévalence]]*Base[[#This Row],[Part_coûts_salarié]]/Base[[#This Row],[Population_emploi]]</f>
        <v>2.8375216720311594E-3</v>
      </c>
      <c r="P290">
        <v>50</v>
      </c>
      <c r="Q290">
        <v>50</v>
      </c>
      <c r="R290" s="2">
        <v>9.9999999999999978E-2</v>
      </c>
      <c r="S290" s="2">
        <v>0.33340000000000003</v>
      </c>
      <c r="T290" s="4">
        <v>6.593568911523901E-4</v>
      </c>
      <c r="U290" s="4">
        <f>IF(Bases_annexes!$F$5=0,16.6587111018772,0.77*Bases_annexes!$F$5/(IF(OR(ISBLANK('Données_d''entrée'!$E$44),'Données_d''entrée'!$E$44=0),35,'Données_d''entrée'!$E$44)*52))</f>
        <v>16.658711101877199</v>
      </c>
      <c r="V290" s="4">
        <v>45.453421187287603</v>
      </c>
      <c r="W2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0" s="4">
        <v>234.5</v>
      </c>
      <c r="Y290" s="4">
        <f>(Base[[#This Row],['[Maladies']Coûts_évités_par_salarié]]+Base[[#This Row],['[Travail']Coûts_évités_par_salarié]])/Base[[#This Row],[Budget_santé_salarié]]</f>
        <v>8.6732166151851293E-4</v>
      </c>
      <c r="Z290" s="4">
        <v>0.8</v>
      </c>
      <c r="AA290" s="4">
        <f>Base[[#This Row],[Coût]]*Base[[#This Row],[Part_société_dépenses_santé]]</f>
        <v>3.7843200000000006</v>
      </c>
      <c r="AB290" s="4">
        <v>67635124</v>
      </c>
      <c r="AC290" s="4">
        <v>82.297079063317852</v>
      </c>
      <c r="AD290" s="4">
        <v>6.593568911523901E-4</v>
      </c>
      <c r="AE290" s="4">
        <f>Base[[#This Row],['[SC']Prévalence_travail]]*Base[[#This Row],[Population_emploi]]</f>
        <v>18264.185884921208</v>
      </c>
      <c r="AF290" s="4">
        <f>Base[[#This Row],[Risque]]*Base[[#This Row],['[SC']Patients_en_emploi]]</f>
        <v>6575.1069185716342</v>
      </c>
      <c r="AG290" s="4">
        <v>60180000</v>
      </c>
      <c r="AH290" s="4">
        <f>IFERROR(Base[[#This Row],['[SC']Prestations]]/Base[[#This Row],['[SC']Patients_en_emploi]],0)</f>
        <v>3294.9730351619019</v>
      </c>
      <c r="AI290" s="4">
        <v>51.7</v>
      </c>
      <c r="AJ2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0" s="4">
        <f>Base[[#This Row],['[SC']'[Travail']Coûts_évités]]/Base[[#This Row],[Population_emploi]]</f>
        <v>0.78212274368231038</v>
      </c>
      <c r="AL290" s="4">
        <f>Base[[#This Row],[Coût_société]]*10^9*Base[[#This Row],[Risque]]*Base[[#This Row],[Prévalence]]*Base[[#This Row],[Part_coûts_salarié]]/Base[[#This Row],[Population_emploi]]</f>
        <v>3.2428819108927538E-2</v>
      </c>
      <c r="AM290" s="4">
        <f>IF(Base[[#This Row],[Pathologie]]&lt;&gt;"Dépendance",0,14909.24243952)</f>
        <v>0</v>
      </c>
      <c r="AN290" s="4">
        <f>IF(Base[[#This Row],[Pathologie]]&lt;&gt;"Dépendance",0,1316000)</f>
        <v>0</v>
      </c>
      <c r="AO290" s="4">
        <f>IF(Base[[#This Row],[Pathologie]]&lt;&gt;"Dépendance",0,Base[[#This Row],['[SC']Coût_personne_dépendante]]*Base[[#This Row],['[SC']Nb_personnes_dépendantes]])</f>
        <v>0</v>
      </c>
      <c r="AP290" s="4">
        <f>IF(Base[[#This Row],[Pathologie]]&lt;&gt;"Dépendance",0,Base[[#This Row],['[SC']Coût_total_dépendance]]/Base[[#This Row],[Population_totale]])</f>
        <v>0</v>
      </c>
      <c r="AQ290" s="4">
        <f>IF(Base[[#This Row],[Pathologie]]&lt;&gt;"Dépendance",0,4.5)</f>
        <v>0</v>
      </c>
      <c r="AR290" s="4">
        <v>0.83987615528424797</v>
      </c>
      <c r="AS290" s="4">
        <f>Base[[#This Row],[Espérance_vie]]+Base[[#This Row],['[SC']Hausse_esp_de_vie]]-Base[[#This Row],['[SC']Durée_moyenne_dépendance_avt]]+Base[[#This Row],[Risque]]</f>
        <v>83.496955218602096</v>
      </c>
      <c r="AT2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0" s="4">
        <v>62.9</v>
      </c>
      <c r="AW290" s="4">
        <f t="shared" si="0"/>
        <v>336905600000</v>
      </c>
      <c r="AX290" s="4">
        <v>15049171</v>
      </c>
      <c r="AY290" s="4">
        <f>Base[[#This Row],['[SC']Budget_total_retraites]]/Base[[#This Row],['[SC']Nombre_de_retraités]]</f>
        <v>22386.987296509556</v>
      </c>
      <c r="AZ290" s="4">
        <f>Base[[#This Row],['[SC']Budget_par_retraité]]*Base[[#This Row],['[SC']Nb_personnes_dépendantes]]</f>
        <v>0</v>
      </c>
      <c r="BA290" s="4">
        <f>Base[[#This Row],['[SC']'[Dépendance']Coût_retraite_personnes_dépendantes]]/Base[[#This Row],[Population_totale]]</f>
        <v>0</v>
      </c>
      <c r="BB2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0" s="4">
        <f>Base[[#This Row],['[SC']'[Dépendance']Gains]]-Base[[#This Row],['[SC']'[Dépendance']Coûts]]</f>
        <v>0</v>
      </c>
      <c r="BD290" s="4">
        <f>IF(Base[[#This Row],[Pathologie]]&lt;&gt;"Mort prématurée",0,Base[[#This Row],[Risque]]*Base[[#This Row],[Prévalence]]*Base[[#This Row],[Population_totale]])</f>
        <v>0</v>
      </c>
      <c r="BE290" s="4">
        <v>52.74</v>
      </c>
      <c r="BF290" s="4">
        <f>Base[[#This Row],['[SC']Âge_moyen_retraite]]-Base[[#This Row],['[SC']'[Mort_prématurée']Âge_moyen_mort précoce]]</f>
        <v>10.159999999999997</v>
      </c>
      <c r="BG290" s="4">
        <f>Base[[#This Row],[Espérance_vie]]+Base[[#This Row],['[SC']Hausse_esp_de_vie]]-Base[[#This Row],['[SC']Âge_moyen_retraite]]</f>
        <v>20.236955218602098</v>
      </c>
      <c r="BH290" s="4">
        <v>106583.42676924677</v>
      </c>
      <c r="BI290" s="4">
        <v>97601.789429271477</v>
      </c>
      <c r="BJ290" s="4">
        <v>302038.31496633729</v>
      </c>
      <c r="BK290" s="4">
        <v>117293.58934859755</v>
      </c>
      <c r="BL290" s="4">
        <v>1523999.9999999995</v>
      </c>
      <c r="BM2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0" s="4">
        <v>294804.96027377353</v>
      </c>
      <c r="BO2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0" s="4">
        <f>(Base[[#This Row],['[SC']'[Mort_prématurée']Gains]]-Base[[#This Row],['[SC']'[Mort_prématurée']Coûts]])/Base[[#This Row],[Population_totale]]</f>
        <v>0</v>
      </c>
      <c r="BQ290" s="4">
        <f>IF(Base[[#This Row],[Pathologie]]&lt;&gt;"Mort prématurée",0,Base[[#This Row],[Risque]])</f>
        <v>0</v>
      </c>
      <c r="BR290" s="4">
        <v>2680</v>
      </c>
      <c r="BS2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0" s="4">
        <f>Base[[#This Row],[Prévalence_prod]]*(1-Base[[#This Row],[Risque]])*Base[[#This Row],[Durée_arrêt]]*Base[[#This Row],[Population_emploi]]</f>
        <v>531308.62954895152</v>
      </c>
      <c r="BV290" s="4">
        <f>Base[[#This Row],['[Prod']'[Absentéisme']Total_jours_absence_avant]]-Base[[#This Row],['[Prod']'[Absentéisme']Total_jours_absence_après]]</f>
        <v>298861.10412128514</v>
      </c>
      <c r="BW290" s="4">
        <f>IF(AND(Base[[#This Row],[Pathologie]]&lt;&gt;"Dépendance",Base[[#This Row],[Pathologie]]&lt;&gt;"Mort prématurée",Base[[#This Row],[Pathologie]]&lt;&gt;"Migraine"),0.0619,0)</f>
        <v>6.1899999999999997E-2</v>
      </c>
      <c r="BX290" s="4">
        <v>254</v>
      </c>
      <c r="BY290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0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0" s="4">
        <f>Base[[#This Row],[Prévalence_prod]]*Base[[#This Row],[Présentéisme]]*Base[[#This Row],['[Prod']Jours_ouvrés]]</f>
        <v>0</v>
      </c>
      <c r="CB290" s="4">
        <f>Base[[#This Row],[Prévalence_prod]]*(1-Base[[#This Row],[Risque]])*Base[[#This Row],[Présentéisme]]*Base[[#This Row],['[Prod']Jours_ouvrés]]</f>
        <v>0</v>
      </c>
      <c r="CC290" s="4">
        <f>Base[[#This Row],['[Prod']'[Présentéisme']Jours_avant]]-Base[[#This Row],['[Prod']'[Présentéisme']Jours_après]]</f>
        <v>0</v>
      </c>
      <c r="CD290" s="4">
        <f>Base[[#This Row],['[Prod']'[Présentéisme']Jours_gagnés]]/Base[[#This Row],['[Prod']Jours_ouvrés]]</f>
        <v>0</v>
      </c>
      <c r="CE290">
        <v>7.5880726467531134E-2</v>
      </c>
      <c r="CF290">
        <v>1.989821358241517E-2</v>
      </c>
      <c r="CG290" s="4">
        <v>11</v>
      </c>
      <c r="CH290" s="4">
        <v>1.1688035738877327</v>
      </c>
      <c r="CI290" s="4">
        <v>9.6557438521367826E-3</v>
      </c>
      <c r="CJ290" s="4">
        <f>IF(Base[[#This Row],[Secteur]]&lt;&gt;"Moyenne",Base[[#This Row],['[Prod']'[Turnover']DMC_initiale]]*(1+Base[[#This Row],['[Prod']'[Turnover']Ecart_accidents]]*Base[[#This Row],['[Prod']Impact_motifs_turnover]]),CJ273*CI273+CJ274*CI274+CJ275*CI275+CJ276*CI276+CJ277*CI277+CJ278*CI278+CJ279*CI279+CJ280*CI280+CJ281*CI281+CJ282*CI282+CJ283*CI283+CJ284*CI284+CJ285*CI285+CJ286*CI286+CJ287*CI287+CJ288*CI288+CJ289*CI289)</f>
        <v>11.25582813464019</v>
      </c>
      <c r="CK290" s="4">
        <f>1/Base[[#This Row],['[Prod']'[Turnover']DMC_initiale]]</f>
        <v>9.0909090909090912E-2</v>
      </c>
      <c r="CL290" s="4">
        <f>1/Base[[#This Row],['[Prod']'[Turnover']DMC_finale]]</f>
        <v>8.8842863273868436E-2</v>
      </c>
    </row>
    <row r="291" spans="2:90" x14ac:dyDescent="0.25">
      <c r="B291" s="4" t="s">
        <v>319</v>
      </c>
      <c r="C291">
        <v>15</v>
      </c>
      <c r="D291" t="s">
        <v>83</v>
      </c>
      <c r="E291" t="s">
        <v>5</v>
      </c>
      <c r="F291" s="3">
        <v>0.36</v>
      </c>
      <c r="G291" s="3">
        <v>6.593568911523901E-4</v>
      </c>
      <c r="H291" s="3">
        <v>6.593568911523901E-4</v>
      </c>
      <c r="I291" s="3">
        <v>0</v>
      </c>
      <c r="J291" s="3">
        <v>4.7304000000000004</v>
      </c>
      <c r="K291" s="3">
        <v>7.0000000000000007E-2</v>
      </c>
      <c r="L291" s="2">
        <f>Base[[#This Row],[Coût]]*Base[[#This Row],[Part_ménages_dépenses_santé]]</f>
        <v>0.33112800000000003</v>
      </c>
      <c r="M291" s="2">
        <v>1</v>
      </c>
      <c r="N291" s="6">
        <v>27700000</v>
      </c>
      <c r="O291" s="7">
        <f>Base[[#This Row],[Coût_salarié]]*10^9*Base[[#This Row],[Risque]]*Base[[#This Row],[Prévalence]]*Base[[#This Row],[Part_coûts_salarié]]/Base[[#This Row],[Population_emploi]]</f>
        <v>2.8375216720311594E-3</v>
      </c>
      <c r="P291">
        <v>50</v>
      </c>
      <c r="Q291">
        <v>50</v>
      </c>
      <c r="R291" s="2">
        <v>9.9999999999999978E-2</v>
      </c>
      <c r="S291" s="2">
        <v>0.33340000000000003</v>
      </c>
      <c r="T291" s="4">
        <v>6.593568911523901E-4</v>
      </c>
      <c r="U291" s="4">
        <f>IF(Bases_annexes!$F$5=0,16.6587111018772,0.77*Bases_annexes!$F$5/(IF(OR(ISBLANK('Données_d''entrée'!$E$44),'Données_d''entrée'!$E$44=0),35,'Données_d''entrée'!$E$44)*52))</f>
        <v>16.658711101877199</v>
      </c>
      <c r="V291" s="4">
        <v>45.453421187287603</v>
      </c>
      <c r="W2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1" s="4">
        <v>234.5</v>
      </c>
      <c r="Y291" s="4">
        <f>(Base[[#This Row],['[Maladies']Coûts_évités_par_salarié]]+Base[[#This Row],['[Travail']Coûts_évités_par_salarié]])/Base[[#This Row],[Budget_santé_salarié]]</f>
        <v>8.6732166151851293E-4</v>
      </c>
      <c r="Z291" s="4">
        <v>0.8</v>
      </c>
      <c r="AA291" s="4">
        <f>Base[[#This Row],[Coût]]*Base[[#This Row],[Part_société_dépenses_santé]]</f>
        <v>3.7843200000000006</v>
      </c>
      <c r="AB291" s="4">
        <v>67635124</v>
      </c>
      <c r="AC291" s="4">
        <v>82.297079063317852</v>
      </c>
      <c r="AD291" s="4">
        <v>6.593568911523901E-4</v>
      </c>
      <c r="AE291" s="4">
        <f>Base[[#This Row],['[SC']Prévalence_travail]]*Base[[#This Row],[Population_emploi]]</f>
        <v>18264.185884921208</v>
      </c>
      <c r="AF291" s="4">
        <f>Base[[#This Row],[Risque]]*Base[[#This Row],['[SC']Patients_en_emploi]]</f>
        <v>6575.1069185716342</v>
      </c>
      <c r="AG291" s="4">
        <v>60180000</v>
      </c>
      <c r="AH291" s="4">
        <f>IFERROR(Base[[#This Row],['[SC']Prestations]]/Base[[#This Row],['[SC']Patients_en_emploi]],0)</f>
        <v>3294.9730351619019</v>
      </c>
      <c r="AI291" s="4">
        <v>51.7</v>
      </c>
      <c r="AJ2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1" s="4">
        <f>Base[[#This Row],['[SC']'[Travail']Coûts_évités]]/Base[[#This Row],[Population_emploi]]</f>
        <v>0.78212274368231038</v>
      </c>
      <c r="AL291" s="4">
        <f>Base[[#This Row],[Coût_société]]*10^9*Base[[#This Row],[Risque]]*Base[[#This Row],[Prévalence]]*Base[[#This Row],[Part_coûts_salarié]]/Base[[#This Row],[Population_emploi]]</f>
        <v>3.2428819108927538E-2</v>
      </c>
      <c r="AM291" s="4">
        <f>IF(Base[[#This Row],[Pathologie]]&lt;&gt;"Dépendance",0,14909.24243952)</f>
        <v>0</v>
      </c>
      <c r="AN291" s="4">
        <f>IF(Base[[#This Row],[Pathologie]]&lt;&gt;"Dépendance",0,1316000)</f>
        <v>0</v>
      </c>
      <c r="AO291" s="4">
        <f>IF(Base[[#This Row],[Pathologie]]&lt;&gt;"Dépendance",0,Base[[#This Row],['[SC']Coût_personne_dépendante]]*Base[[#This Row],['[SC']Nb_personnes_dépendantes]])</f>
        <v>0</v>
      </c>
      <c r="AP291" s="4">
        <f>IF(Base[[#This Row],[Pathologie]]&lt;&gt;"Dépendance",0,Base[[#This Row],['[SC']Coût_total_dépendance]]/Base[[#This Row],[Population_totale]])</f>
        <v>0</v>
      </c>
      <c r="AQ291" s="4">
        <f>IF(Base[[#This Row],[Pathologie]]&lt;&gt;"Dépendance",0,4.5)</f>
        <v>0</v>
      </c>
      <c r="AR291" s="4">
        <v>0.83987615528424797</v>
      </c>
      <c r="AS291" s="4">
        <f>Base[[#This Row],[Espérance_vie]]+Base[[#This Row],['[SC']Hausse_esp_de_vie]]-Base[[#This Row],['[SC']Durée_moyenne_dépendance_avt]]+Base[[#This Row],[Risque]]</f>
        <v>83.496955218602096</v>
      </c>
      <c r="AT2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1" s="4">
        <v>62.9</v>
      </c>
      <c r="AW291" s="4">
        <f t="shared" si="0"/>
        <v>336905600000</v>
      </c>
      <c r="AX291" s="4">
        <v>15049171</v>
      </c>
      <c r="AY291" s="4">
        <f>Base[[#This Row],['[SC']Budget_total_retraites]]/Base[[#This Row],['[SC']Nombre_de_retraités]]</f>
        <v>22386.987296509556</v>
      </c>
      <c r="AZ291" s="4">
        <f>Base[[#This Row],['[SC']Budget_par_retraité]]*Base[[#This Row],['[SC']Nb_personnes_dépendantes]]</f>
        <v>0</v>
      </c>
      <c r="BA291" s="4">
        <f>Base[[#This Row],['[SC']'[Dépendance']Coût_retraite_personnes_dépendantes]]/Base[[#This Row],[Population_totale]]</f>
        <v>0</v>
      </c>
      <c r="BB2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1" s="4">
        <f>Base[[#This Row],['[SC']'[Dépendance']Gains]]-Base[[#This Row],['[SC']'[Dépendance']Coûts]]</f>
        <v>0</v>
      </c>
      <c r="BD291" s="4">
        <f>IF(Base[[#This Row],[Pathologie]]&lt;&gt;"Mort prématurée",0,Base[[#This Row],[Risque]]*Base[[#This Row],[Prévalence]]*Base[[#This Row],[Population_totale]])</f>
        <v>0</v>
      </c>
      <c r="BE291" s="4">
        <v>52.74</v>
      </c>
      <c r="BF291" s="4">
        <f>Base[[#This Row],['[SC']Âge_moyen_retraite]]-Base[[#This Row],['[SC']'[Mort_prématurée']Âge_moyen_mort précoce]]</f>
        <v>10.159999999999997</v>
      </c>
      <c r="BG291" s="4">
        <f>Base[[#This Row],[Espérance_vie]]+Base[[#This Row],['[SC']Hausse_esp_de_vie]]-Base[[#This Row],['[SC']Âge_moyen_retraite]]</f>
        <v>20.236955218602098</v>
      </c>
      <c r="BH291" s="4">
        <v>106583.42676924677</v>
      </c>
      <c r="BI291" s="4">
        <v>97601.789429271477</v>
      </c>
      <c r="BJ291" s="4">
        <v>302038.31496633729</v>
      </c>
      <c r="BK291" s="4">
        <v>117293.58934859755</v>
      </c>
      <c r="BL291" s="4">
        <v>1523999.9999999995</v>
      </c>
      <c r="BM2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1" s="4">
        <v>294804.96027377353</v>
      </c>
      <c r="BO2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1" s="4">
        <f>(Base[[#This Row],['[SC']'[Mort_prématurée']Gains]]-Base[[#This Row],['[SC']'[Mort_prématurée']Coûts]])/Base[[#This Row],[Population_totale]]</f>
        <v>0</v>
      </c>
      <c r="BQ291" s="4">
        <f>IF(Base[[#This Row],[Pathologie]]&lt;&gt;"Mort prématurée",0,Base[[#This Row],[Risque]])</f>
        <v>0</v>
      </c>
      <c r="BR291" s="4">
        <v>2680</v>
      </c>
      <c r="BS2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1" s="4">
        <f>Base[[#This Row],[Prévalence_prod]]*(1-Base[[#This Row],[Risque]])*Base[[#This Row],[Durée_arrêt]]*Base[[#This Row],[Population_emploi]]</f>
        <v>531308.62954895152</v>
      </c>
      <c r="BV291" s="4">
        <f>Base[[#This Row],['[Prod']'[Absentéisme']Total_jours_absence_avant]]-Base[[#This Row],['[Prod']'[Absentéisme']Total_jours_absence_après]]</f>
        <v>298861.10412128514</v>
      </c>
      <c r="BW291" s="4">
        <f>IF(AND(Base[[#This Row],[Pathologie]]&lt;&gt;"Dépendance",Base[[#This Row],[Pathologie]]&lt;&gt;"Mort prématurée",Base[[#This Row],[Pathologie]]&lt;&gt;"Migraine"),0.0619,0)</f>
        <v>6.1899999999999997E-2</v>
      </c>
      <c r="BX291" s="4">
        <v>254</v>
      </c>
      <c r="BY291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1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1" s="4">
        <f>Base[[#This Row],[Prévalence_prod]]*Base[[#This Row],[Présentéisme]]*Base[[#This Row],['[Prod']Jours_ouvrés]]</f>
        <v>0</v>
      </c>
      <c r="CB291" s="4">
        <f>Base[[#This Row],[Prévalence_prod]]*(1-Base[[#This Row],[Risque]])*Base[[#This Row],[Présentéisme]]*Base[[#This Row],['[Prod']Jours_ouvrés]]</f>
        <v>0</v>
      </c>
      <c r="CC291" s="4">
        <f>Base[[#This Row],['[Prod']'[Présentéisme']Jours_avant]]-Base[[#This Row],['[Prod']'[Présentéisme']Jours_après]]</f>
        <v>0</v>
      </c>
      <c r="CD291" s="4">
        <f>Base[[#This Row],['[Prod']'[Présentéisme']Jours_gagnés]]/Base[[#This Row],['[Prod']Jours_ouvrés]]</f>
        <v>0</v>
      </c>
      <c r="CE291">
        <v>7.5880726467531134E-2</v>
      </c>
      <c r="CF291">
        <v>1.989821358241517E-2</v>
      </c>
      <c r="CG291" s="4">
        <v>11</v>
      </c>
      <c r="CH291" s="4">
        <v>0.52204401140486179</v>
      </c>
      <c r="CI291" s="4">
        <v>1.2443904150185675E-2</v>
      </c>
      <c r="CJ291" s="4">
        <f>IF(Base[[#This Row],[Secteur]]&lt;&gt;"Moyenne",Base[[#This Row],['[Prod']'[Turnover']DMC_initiale]]*(1+Base[[#This Row],['[Prod']'[Turnover']Ecart_accidents]]*Base[[#This Row],['[Prod']Impact_motifs_turnover]]),CJ274*CI274+CJ275*CI275+CJ276*CI276+CJ277*CI277+CJ278*CI278+CJ279*CI279+CJ280*CI280+CJ281*CI281+CJ282*CI282+CJ283*CI283+CJ284*CI284+CJ285*CI285+CJ286*CI286+CJ287*CI287+CJ288*CI288+CJ289*CI289+CJ290*CI290)</f>
        <v>11.114265175621902</v>
      </c>
      <c r="CK291" s="4">
        <f>1/Base[[#This Row],['[Prod']'[Turnover']DMC_initiale]]</f>
        <v>9.0909090909090912E-2</v>
      </c>
      <c r="CL291" s="4">
        <f>1/Base[[#This Row],['[Prod']'[Turnover']DMC_finale]]</f>
        <v>8.9974459327586145E-2</v>
      </c>
    </row>
    <row r="292" spans="2:90" x14ac:dyDescent="0.25">
      <c r="B292" s="4" t="s">
        <v>320</v>
      </c>
      <c r="C292">
        <v>15</v>
      </c>
      <c r="D292" t="s">
        <v>83</v>
      </c>
      <c r="E292" t="s">
        <v>5</v>
      </c>
      <c r="F292" s="3">
        <v>0.36</v>
      </c>
      <c r="G292" s="3">
        <v>6.593568911523901E-4</v>
      </c>
      <c r="H292" s="3">
        <v>6.593568911523901E-4</v>
      </c>
      <c r="I292" s="3">
        <v>0</v>
      </c>
      <c r="J292" s="3">
        <v>4.7304000000000004</v>
      </c>
      <c r="K292" s="3">
        <v>7.0000000000000007E-2</v>
      </c>
      <c r="L292" s="2">
        <f>Base[[#This Row],[Coût]]*Base[[#This Row],[Part_ménages_dépenses_santé]]</f>
        <v>0.33112800000000003</v>
      </c>
      <c r="M292" s="2">
        <v>1</v>
      </c>
      <c r="N292" s="6">
        <v>27700000</v>
      </c>
      <c r="O292" s="7">
        <f>Base[[#This Row],[Coût_salarié]]*10^9*Base[[#This Row],[Risque]]*Base[[#This Row],[Prévalence]]*Base[[#This Row],[Part_coûts_salarié]]/Base[[#This Row],[Population_emploi]]</f>
        <v>2.8375216720311594E-3</v>
      </c>
      <c r="P292">
        <v>50</v>
      </c>
      <c r="Q292">
        <v>50</v>
      </c>
      <c r="R292" s="2">
        <v>9.9999999999999978E-2</v>
      </c>
      <c r="S292" s="2">
        <v>0.33340000000000003</v>
      </c>
      <c r="T292" s="4">
        <v>6.593568911523901E-4</v>
      </c>
      <c r="U292" s="4">
        <f>IF(Bases_annexes!$F$5=0,16.6587111018772,0.77*Bases_annexes!$F$5/(IF(OR(ISBLANK('Données_d''entrée'!$E$44),'Données_d''entrée'!$E$44=0),35,'Données_d''entrée'!$E$44)*52))</f>
        <v>16.658711101877199</v>
      </c>
      <c r="V292" s="4">
        <v>45.453421187287603</v>
      </c>
      <c r="W2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2" s="4">
        <v>234.5</v>
      </c>
      <c r="Y292" s="4">
        <f>(Base[[#This Row],['[Maladies']Coûts_évités_par_salarié]]+Base[[#This Row],['[Travail']Coûts_évités_par_salarié]])/Base[[#This Row],[Budget_santé_salarié]]</f>
        <v>8.6732166151851293E-4</v>
      </c>
      <c r="Z292" s="4">
        <v>0.8</v>
      </c>
      <c r="AA292" s="4">
        <f>Base[[#This Row],[Coût]]*Base[[#This Row],[Part_société_dépenses_santé]]</f>
        <v>3.7843200000000006</v>
      </c>
      <c r="AB292" s="4">
        <v>67635124</v>
      </c>
      <c r="AC292" s="4">
        <v>82.297079063317852</v>
      </c>
      <c r="AD292" s="4">
        <v>6.593568911523901E-4</v>
      </c>
      <c r="AE292" s="4">
        <f>Base[[#This Row],['[SC']Prévalence_travail]]*Base[[#This Row],[Population_emploi]]</f>
        <v>18264.185884921208</v>
      </c>
      <c r="AF292" s="4">
        <f>Base[[#This Row],[Risque]]*Base[[#This Row],['[SC']Patients_en_emploi]]</f>
        <v>6575.1069185716342</v>
      </c>
      <c r="AG292" s="4">
        <v>60180000</v>
      </c>
      <c r="AH292" s="4">
        <f>IFERROR(Base[[#This Row],['[SC']Prestations]]/Base[[#This Row],['[SC']Patients_en_emploi]],0)</f>
        <v>3294.9730351619019</v>
      </c>
      <c r="AI292" s="4">
        <v>51.7</v>
      </c>
      <c r="AJ2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2" s="4">
        <f>Base[[#This Row],['[SC']'[Travail']Coûts_évités]]/Base[[#This Row],[Population_emploi]]</f>
        <v>0.78212274368231038</v>
      </c>
      <c r="AL292" s="4">
        <f>Base[[#This Row],[Coût_société]]*10^9*Base[[#This Row],[Risque]]*Base[[#This Row],[Prévalence]]*Base[[#This Row],[Part_coûts_salarié]]/Base[[#This Row],[Population_emploi]]</f>
        <v>3.2428819108927538E-2</v>
      </c>
      <c r="AM292" s="4">
        <f>IF(Base[[#This Row],[Pathologie]]&lt;&gt;"Dépendance",0,14909.24243952)</f>
        <v>0</v>
      </c>
      <c r="AN292" s="4">
        <f>IF(Base[[#This Row],[Pathologie]]&lt;&gt;"Dépendance",0,1316000)</f>
        <v>0</v>
      </c>
      <c r="AO292" s="4">
        <f>IF(Base[[#This Row],[Pathologie]]&lt;&gt;"Dépendance",0,Base[[#This Row],['[SC']Coût_personne_dépendante]]*Base[[#This Row],['[SC']Nb_personnes_dépendantes]])</f>
        <v>0</v>
      </c>
      <c r="AP292" s="4">
        <f>IF(Base[[#This Row],[Pathologie]]&lt;&gt;"Dépendance",0,Base[[#This Row],['[SC']Coût_total_dépendance]]/Base[[#This Row],[Population_totale]])</f>
        <v>0</v>
      </c>
      <c r="AQ292" s="4">
        <f>IF(Base[[#This Row],[Pathologie]]&lt;&gt;"Dépendance",0,4.5)</f>
        <v>0</v>
      </c>
      <c r="AR292" s="4">
        <v>0.83987615528424797</v>
      </c>
      <c r="AS292" s="4">
        <f>Base[[#This Row],[Espérance_vie]]+Base[[#This Row],['[SC']Hausse_esp_de_vie]]-Base[[#This Row],['[SC']Durée_moyenne_dépendance_avt]]+Base[[#This Row],[Risque]]</f>
        <v>83.496955218602096</v>
      </c>
      <c r="AT2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2" s="4">
        <v>62.9</v>
      </c>
      <c r="AW292" s="4">
        <f t="shared" si="0"/>
        <v>336905600000</v>
      </c>
      <c r="AX292" s="4">
        <v>15049171</v>
      </c>
      <c r="AY292" s="4">
        <f>Base[[#This Row],['[SC']Budget_total_retraites]]/Base[[#This Row],['[SC']Nombre_de_retraités]]</f>
        <v>22386.987296509556</v>
      </c>
      <c r="AZ292" s="4">
        <f>Base[[#This Row],['[SC']Budget_par_retraité]]*Base[[#This Row],['[SC']Nb_personnes_dépendantes]]</f>
        <v>0</v>
      </c>
      <c r="BA292" s="4">
        <f>Base[[#This Row],['[SC']'[Dépendance']Coût_retraite_personnes_dépendantes]]/Base[[#This Row],[Population_totale]]</f>
        <v>0</v>
      </c>
      <c r="BB2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2" s="4">
        <f>Base[[#This Row],['[SC']'[Dépendance']Gains]]-Base[[#This Row],['[SC']'[Dépendance']Coûts]]</f>
        <v>0</v>
      </c>
      <c r="BD292" s="4">
        <f>IF(Base[[#This Row],[Pathologie]]&lt;&gt;"Mort prématurée",0,Base[[#This Row],[Risque]]*Base[[#This Row],[Prévalence]]*Base[[#This Row],[Population_totale]])</f>
        <v>0</v>
      </c>
      <c r="BE292" s="4">
        <v>52.74</v>
      </c>
      <c r="BF292" s="4">
        <f>Base[[#This Row],['[SC']Âge_moyen_retraite]]-Base[[#This Row],['[SC']'[Mort_prématurée']Âge_moyen_mort précoce]]</f>
        <v>10.159999999999997</v>
      </c>
      <c r="BG292" s="4">
        <f>Base[[#This Row],[Espérance_vie]]+Base[[#This Row],['[SC']Hausse_esp_de_vie]]-Base[[#This Row],['[SC']Âge_moyen_retraite]]</f>
        <v>20.236955218602098</v>
      </c>
      <c r="BH292" s="4">
        <v>106583.42676924677</v>
      </c>
      <c r="BI292" s="4">
        <v>97601.789429271477</v>
      </c>
      <c r="BJ292" s="4">
        <v>302038.31496633729</v>
      </c>
      <c r="BK292" s="4">
        <v>117293.58934859755</v>
      </c>
      <c r="BL292" s="4">
        <v>1523999.9999999995</v>
      </c>
      <c r="BM2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2" s="4">
        <v>294804.96027377353</v>
      </c>
      <c r="BO2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2" s="4">
        <f>(Base[[#This Row],['[SC']'[Mort_prématurée']Gains]]-Base[[#This Row],['[SC']'[Mort_prématurée']Coûts]])/Base[[#This Row],[Population_totale]]</f>
        <v>0</v>
      </c>
      <c r="BQ292" s="4">
        <f>IF(Base[[#This Row],[Pathologie]]&lt;&gt;"Mort prématurée",0,Base[[#This Row],[Risque]])</f>
        <v>0</v>
      </c>
      <c r="BR292" s="4">
        <v>2680</v>
      </c>
      <c r="BS2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2" s="4">
        <f>Base[[#This Row],[Prévalence_prod]]*(1-Base[[#This Row],[Risque]])*Base[[#This Row],[Durée_arrêt]]*Base[[#This Row],[Population_emploi]]</f>
        <v>531308.62954895152</v>
      </c>
      <c r="BV292" s="4">
        <f>Base[[#This Row],['[Prod']'[Absentéisme']Total_jours_absence_avant]]-Base[[#This Row],['[Prod']'[Absentéisme']Total_jours_absence_après]]</f>
        <v>298861.10412128514</v>
      </c>
      <c r="BW292" s="4">
        <f>IF(AND(Base[[#This Row],[Pathologie]]&lt;&gt;"Dépendance",Base[[#This Row],[Pathologie]]&lt;&gt;"Mort prématurée",Base[[#This Row],[Pathologie]]&lt;&gt;"Migraine"),0.0619,0)</f>
        <v>6.1899999999999997E-2</v>
      </c>
      <c r="BX292" s="4">
        <v>254</v>
      </c>
      <c r="BY292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2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2" s="4">
        <f>Base[[#This Row],[Prévalence_prod]]*Base[[#This Row],[Présentéisme]]*Base[[#This Row],['[Prod']Jours_ouvrés]]</f>
        <v>0</v>
      </c>
      <c r="CB292" s="4">
        <f>Base[[#This Row],[Prévalence_prod]]*(1-Base[[#This Row],[Risque]])*Base[[#This Row],[Présentéisme]]*Base[[#This Row],['[Prod']Jours_ouvrés]]</f>
        <v>0</v>
      </c>
      <c r="CC292" s="4">
        <f>Base[[#This Row],['[Prod']'[Présentéisme']Jours_avant]]-Base[[#This Row],['[Prod']'[Présentéisme']Jours_après]]</f>
        <v>0</v>
      </c>
      <c r="CD292" s="4">
        <f>Base[[#This Row],['[Prod']'[Présentéisme']Jours_gagnés]]/Base[[#This Row],['[Prod']Jours_ouvrés]]</f>
        <v>0</v>
      </c>
      <c r="CE292">
        <v>7.5880726467531134E-2</v>
      </c>
      <c r="CF292">
        <v>1.989821358241517E-2</v>
      </c>
      <c r="CG292" s="4">
        <v>11</v>
      </c>
      <c r="CH292" s="4">
        <v>0.49446424657188709</v>
      </c>
      <c r="CI292" s="4">
        <v>1.0795805058605798E-2</v>
      </c>
      <c r="CJ292" s="4">
        <f>IF(Base[[#This Row],[Secteur]]&lt;&gt;"Moyenne",Base[[#This Row],['[Prod']'[Turnover']DMC_initiale]]*(1+Base[[#This Row],['[Prod']'[Turnover']Ecart_accidents]]*Base[[#This Row],['[Prod']Impact_motifs_turnover]]),CJ275*CI275+CJ276*CI276+CJ277*CI277+CJ278*CI278+CJ279*CI279+CJ280*CI280+CJ281*CI281+CJ282*CI282+CJ283*CI283+CJ284*CI284+CJ285*CI285+CJ286*CI286+CJ287*CI287+CJ288*CI288+CJ289*CI289+CJ290*CI290+CJ291*CI291)</f>
        <v>11.108228507058708</v>
      </c>
      <c r="CK292" s="4">
        <f>1/Base[[#This Row],['[Prod']'[Turnover']DMC_initiale]]</f>
        <v>9.0909090909090912E-2</v>
      </c>
      <c r="CL292" s="4">
        <f>1/Base[[#This Row],['[Prod']'[Turnover']DMC_finale]]</f>
        <v>9.0023355151953477E-2</v>
      </c>
    </row>
    <row r="293" spans="2:90" x14ac:dyDescent="0.25">
      <c r="B293" s="4" t="s">
        <v>321</v>
      </c>
      <c r="C293">
        <v>15</v>
      </c>
      <c r="D293" t="s">
        <v>83</v>
      </c>
      <c r="E293" t="s">
        <v>5</v>
      </c>
      <c r="F293" s="3">
        <v>0.36</v>
      </c>
      <c r="G293" s="3">
        <v>6.593568911523901E-4</v>
      </c>
      <c r="H293" s="3">
        <v>6.593568911523901E-4</v>
      </c>
      <c r="I293" s="3">
        <v>0</v>
      </c>
      <c r="J293" s="3">
        <v>4.7304000000000004</v>
      </c>
      <c r="K293" s="3">
        <v>7.0000000000000007E-2</v>
      </c>
      <c r="L293" s="2">
        <f>Base[[#This Row],[Coût]]*Base[[#This Row],[Part_ménages_dépenses_santé]]</f>
        <v>0.33112800000000003</v>
      </c>
      <c r="M293" s="2">
        <v>1</v>
      </c>
      <c r="N293" s="6">
        <v>27700000</v>
      </c>
      <c r="O293" s="7">
        <f>Base[[#This Row],[Coût_salarié]]*10^9*Base[[#This Row],[Risque]]*Base[[#This Row],[Prévalence]]*Base[[#This Row],[Part_coûts_salarié]]/Base[[#This Row],[Population_emploi]]</f>
        <v>2.8375216720311594E-3</v>
      </c>
      <c r="P293">
        <v>50</v>
      </c>
      <c r="Q293">
        <v>50</v>
      </c>
      <c r="R293" s="2">
        <v>9.9999999999999978E-2</v>
      </c>
      <c r="S293" s="2">
        <v>0.33340000000000003</v>
      </c>
      <c r="T293" s="4">
        <v>6.593568911523901E-4</v>
      </c>
      <c r="U293" s="4">
        <f>IF(Bases_annexes!$F$5=0,16.6587111018772,0.77*Bases_annexes!$F$5/(IF(OR(ISBLANK('Données_d''entrée'!$E$44),'Données_d''entrée'!$E$44=0),35,'Données_d''entrée'!$E$44)*52))</f>
        <v>16.658711101877199</v>
      </c>
      <c r="V293" s="4">
        <v>45.453421187287603</v>
      </c>
      <c r="W2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3" s="4">
        <v>234.5</v>
      </c>
      <c r="Y293" s="4">
        <f>(Base[[#This Row],['[Maladies']Coûts_évités_par_salarié]]+Base[[#This Row],['[Travail']Coûts_évités_par_salarié]])/Base[[#This Row],[Budget_santé_salarié]]</f>
        <v>8.6732166151851293E-4</v>
      </c>
      <c r="Z293" s="4">
        <v>0.8</v>
      </c>
      <c r="AA293" s="4">
        <f>Base[[#This Row],[Coût]]*Base[[#This Row],[Part_société_dépenses_santé]]</f>
        <v>3.7843200000000006</v>
      </c>
      <c r="AB293" s="4">
        <v>67635124</v>
      </c>
      <c r="AC293" s="4">
        <v>82.297079063317852</v>
      </c>
      <c r="AD293" s="4">
        <v>6.593568911523901E-4</v>
      </c>
      <c r="AE293" s="4">
        <f>Base[[#This Row],['[SC']Prévalence_travail]]*Base[[#This Row],[Population_emploi]]</f>
        <v>18264.185884921208</v>
      </c>
      <c r="AF293" s="4">
        <f>Base[[#This Row],[Risque]]*Base[[#This Row],['[SC']Patients_en_emploi]]</f>
        <v>6575.1069185716342</v>
      </c>
      <c r="AG293" s="4">
        <v>60180000</v>
      </c>
      <c r="AH293" s="4">
        <f>IFERROR(Base[[#This Row],['[SC']Prestations]]/Base[[#This Row],['[SC']Patients_en_emploi]],0)</f>
        <v>3294.9730351619019</v>
      </c>
      <c r="AI293" s="4">
        <v>51.7</v>
      </c>
      <c r="AJ2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3" s="4">
        <f>Base[[#This Row],['[SC']'[Travail']Coûts_évités]]/Base[[#This Row],[Population_emploi]]</f>
        <v>0.78212274368231038</v>
      </c>
      <c r="AL293" s="4">
        <f>Base[[#This Row],[Coût_société]]*10^9*Base[[#This Row],[Risque]]*Base[[#This Row],[Prévalence]]*Base[[#This Row],[Part_coûts_salarié]]/Base[[#This Row],[Population_emploi]]</f>
        <v>3.2428819108927538E-2</v>
      </c>
      <c r="AM293" s="4">
        <f>IF(Base[[#This Row],[Pathologie]]&lt;&gt;"Dépendance",0,14909.24243952)</f>
        <v>0</v>
      </c>
      <c r="AN293" s="4">
        <f>IF(Base[[#This Row],[Pathologie]]&lt;&gt;"Dépendance",0,1316000)</f>
        <v>0</v>
      </c>
      <c r="AO293" s="4">
        <f>IF(Base[[#This Row],[Pathologie]]&lt;&gt;"Dépendance",0,Base[[#This Row],['[SC']Coût_personne_dépendante]]*Base[[#This Row],['[SC']Nb_personnes_dépendantes]])</f>
        <v>0</v>
      </c>
      <c r="AP293" s="4">
        <f>IF(Base[[#This Row],[Pathologie]]&lt;&gt;"Dépendance",0,Base[[#This Row],['[SC']Coût_total_dépendance]]/Base[[#This Row],[Population_totale]])</f>
        <v>0</v>
      </c>
      <c r="AQ293" s="4">
        <f>IF(Base[[#This Row],[Pathologie]]&lt;&gt;"Dépendance",0,4.5)</f>
        <v>0</v>
      </c>
      <c r="AR293" s="4">
        <v>0.83987615528424797</v>
      </c>
      <c r="AS293" s="4">
        <f>Base[[#This Row],[Espérance_vie]]+Base[[#This Row],['[SC']Hausse_esp_de_vie]]-Base[[#This Row],['[SC']Durée_moyenne_dépendance_avt]]+Base[[#This Row],[Risque]]</f>
        <v>83.496955218602096</v>
      </c>
      <c r="AT2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3" s="4">
        <v>62.9</v>
      </c>
      <c r="AW293" s="4">
        <f t="shared" si="0"/>
        <v>336905600000</v>
      </c>
      <c r="AX293" s="4">
        <v>15049171</v>
      </c>
      <c r="AY293" s="4">
        <f>Base[[#This Row],['[SC']Budget_total_retraites]]/Base[[#This Row],['[SC']Nombre_de_retraités]]</f>
        <v>22386.987296509556</v>
      </c>
      <c r="AZ293" s="4">
        <f>Base[[#This Row],['[SC']Budget_par_retraité]]*Base[[#This Row],['[SC']Nb_personnes_dépendantes]]</f>
        <v>0</v>
      </c>
      <c r="BA293" s="4">
        <f>Base[[#This Row],['[SC']'[Dépendance']Coût_retraite_personnes_dépendantes]]/Base[[#This Row],[Population_totale]]</f>
        <v>0</v>
      </c>
      <c r="BB2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3" s="4">
        <f>Base[[#This Row],['[SC']'[Dépendance']Gains]]-Base[[#This Row],['[SC']'[Dépendance']Coûts]]</f>
        <v>0</v>
      </c>
      <c r="BD293" s="4">
        <f>IF(Base[[#This Row],[Pathologie]]&lt;&gt;"Mort prématurée",0,Base[[#This Row],[Risque]]*Base[[#This Row],[Prévalence]]*Base[[#This Row],[Population_totale]])</f>
        <v>0</v>
      </c>
      <c r="BE293" s="4">
        <v>52.74</v>
      </c>
      <c r="BF293" s="4">
        <f>Base[[#This Row],['[SC']Âge_moyen_retraite]]-Base[[#This Row],['[SC']'[Mort_prématurée']Âge_moyen_mort précoce]]</f>
        <v>10.159999999999997</v>
      </c>
      <c r="BG293" s="4">
        <f>Base[[#This Row],[Espérance_vie]]+Base[[#This Row],['[SC']Hausse_esp_de_vie]]-Base[[#This Row],['[SC']Âge_moyen_retraite]]</f>
        <v>20.236955218602098</v>
      </c>
      <c r="BH293" s="4">
        <v>106583.42676924677</v>
      </c>
      <c r="BI293" s="4">
        <v>97601.789429271477</v>
      </c>
      <c r="BJ293" s="4">
        <v>302038.31496633729</v>
      </c>
      <c r="BK293" s="4">
        <v>117293.58934859755</v>
      </c>
      <c r="BL293" s="4">
        <v>1523999.9999999995</v>
      </c>
      <c r="BM2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3" s="4">
        <v>294804.96027377353</v>
      </c>
      <c r="BO2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3" s="4">
        <f>(Base[[#This Row],['[SC']'[Mort_prématurée']Gains]]-Base[[#This Row],['[SC']'[Mort_prématurée']Coûts]])/Base[[#This Row],[Population_totale]]</f>
        <v>0</v>
      </c>
      <c r="BQ293" s="4">
        <f>IF(Base[[#This Row],[Pathologie]]&lt;&gt;"Mort prématurée",0,Base[[#This Row],[Risque]])</f>
        <v>0</v>
      </c>
      <c r="BR293" s="4">
        <v>2680</v>
      </c>
      <c r="BS2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3" s="4">
        <f>Base[[#This Row],[Prévalence_prod]]*(1-Base[[#This Row],[Risque]])*Base[[#This Row],[Durée_arrêt]]*Base[[#This Row],[Population_emploi]]</f>
        <v>531308.62954895152</v>
      </c>
      <c r="BV293" s="4">
        <f>Base[[#This Row],['[Prod']'[Absentéisme']Total_jours_absence_avant]]-Base[[#This Row],['[Prod']'[Absentéisme']Total_jours_absence_après]]</f>
        <v>298861.10412128514</v>
      </c>
      <c r="BW293" s="4">
        <f>IF(AND(Base[[#This Row],[Pathologie]]&lt;&gt;"Dépendance",Base[[#This Row],[Pathologie]]&lt;&gt;"Mort prématurée",Base[[#This Row],[Pathologie]]&lt;&gt;"Migraine"),0.0619,0)</f>
        <v>6.1899999999999997E-2</v>
      </c>
      <c r="BX293" s="4">
        <v>254</v>
      </c>
      <c r="BY29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3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3" s="4">
        <f>Base[[#This Row],[Prévalence_prod]]*Base[[#This Row],[Présentéisme]]*Base[[#This Row],['[Prod']Jours_ouvrés]]</f>
        <v>0</v>
      </c>
      <c r="CB293" s="4">
        <f>Base[[#This Row],[Prévalence_prod]]*(1-Base[[#This Row],[Risque]])*Base[[#This Row],[Présentéisme]]*Base[[#This Row],['[Prod']Jours_ouvrés]]</f>
        <v>0</v>
      </c>
      <c r="CC293" s="4">
        <f>Base[[#This Row],['[Prod']'[Présentéisme']Jours_avant]]-Base[[#This Row],['[Prod']'[Présentéisme']Jours_après]]</f>
        <v>0</v>
      </c>
      <c r="CD293" s="4">
        <f>Base[[#This Row],['[Prod']'[Présentéisme']Jours_gagnés]]/Base[[#This Row],['[Prod']Jours_ouvrés]]</f>
        <v>0</v>
      </c>
      <c r="CE293">
        <v>7.5880726467531134E-2</v>
      </c>
      <c r="CF293">
        <v>1.989821358241517E-2</v>
      </c>
      <c r="CG293" s="4">
        <v>11</v>
      </c>
      <c r="CH293" s="4">
        <v>0.85274500894619554</v>
      </c>
      <c r="CI293" s="4">
        <v>4.2903496994109176E-2</v>
      </c>
      <c r="CJ293" s="4">
        <f>IF(Base[[#This Row],[Secteur]]&lt;&gt;"Moyenne",Base[[#This Row],['[Prod']'[Turnover']DMC_initiale]]*(1+Base[[#This Row],['[Prod']'[Turnover']Ecart_accidents]]*Base[[#This Row],['[Prod']Impact_motifs_turnover]]),CJ276*CI276+CJ277*CI277+CJ278*CI278+CJ279*CI279+CJ280*CI280+CJ281*CI281+CJ282*CI282+CJ283*CI283+CJ284*CI284+CJ285*CI285+CJ286*CI286+CJ287*CI287+CJ288*CI288+CJ289*CI289+CJ290*CI290+CJ291*CI291+CJ292*CI292)</f>
        <v>11.186649125512849</v>
      </c>
      <c r="CK293" s="4">
        <f>1/Base[[#This Row],['[Prod']'[Turnover']DMC_initiale]]</f>
        <v>9.0909090909090912E-2</v>
      </c>
      <c r="CL293" s="4">
        <f>1/Base[[#This Row],['[Prod']'[Turnover']DMC_finale]]</f>
        <v>8.9392273663017496E-2</v>
      </c>
    </row>
    <row r="294" spans="2:90" x14ac:dyDescent="0.25">
      <c r="B294" s="4" t="s">
        <v>322</v>
      </c>
      <c r="C294">
        <v>15</v>
      </c>
      <c r="D294" t="s">
        <v>83</v>
      </c>
      <c r="E294" t="s">
        <v>5</v>
      </c>
      <c r="F294" s="3">
        <v>0.36</v>
      </c>
      <c r="G294" s="3">
        <v>6.593568911523901E-4</v>
      </c>
      <c r="H294" s="3">
        <v>6.593568911523901E-4</v>
      </c>
      <c r="I294" s="3">
        <v>0</v>
      </c>
      <c r="J294" s="3">
        <v>4.7304000000000004</v>
      </c>
      <c r="K294" s="3">
        <v>7.0000000000000007E-2</v>
      </c>
      <c r="L294" s="2">
        <f>Base[[#This Row],[Coût]]*Base[[#This Row],[Part_ménages_dépenses_santé]]</f>
        <v>0.33112800000000003</v>
      </c>
      <c r="M294" s="2">
        <v>1</v>
      </c>
      <c r="N294" s="6">
        <v>27700000</v>
      </c>
      <c r="O294" s="7">
        <f>Base[[#This Row],[Coût_salarié]]*10^9*Base[[#This Row],[Risque]]*Base[[#This Row],[Prévalence]]*Base[[#This Row],[Part_coûts_salarié]]/Base[[#This Row],[Population_emploi]]</f>
        <v>2.8375216720311594E-3</v>
      </c>
      <c r="P294">
        <v>50</v>
      </c>
      <c r="Q294">
        <v>50</v>
      </c>
      <c r="R294" s="2">
        <v>9.9999999999999978E-2</v>
      </c>
      <c r="S294" s="2">
        <v>0.33340000000000003</v>
      </c>
      <c r="T294" s="4">
        <v>6.593568911523901E-4</v>
      </c>
      <c r="U294" s="4">
        <f>IF(Bases_annexes!$F$5=0,16.6587111018772,0.77*Bases_annexes!$F$5/(IF(OR(ISBLANK('Données_d''entrée'!$E$44),'Données_d''entrée'!$E$44=0),35,'Données_d''entrée'!$E$44)*52))</f>
        <v>16.658711101877199</v>
      </c>
      <c r="V294" s="4">
        <v>45.453421187287603</v>
      </c>
      <c r="W2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4" s="4">
        <v>234.5</v>
      </c>
      <c r="Y294" s="4">
        <f>(Base[[#This Row],['[Maladies']Coûts_évités_par_salarié]]+Base[[#This Row],['[Travail']Coûts_évités_par_salarié]])/Base[[#This Row],[Budget_santé_salarié]]</f>
        <v>8.6732166151851293E-4</v>
      </c>
      <c r="Z294" s="4">
        <v>0.8</v>
      </c>
      <c r="AA294" s="4">
        <f>Base[[#This Row],[Coût]]*Base[[#This Row],[Part_société_dépenses_santé]]</f>
        <v>3.7843200000000006</v>
      </c>
      <c r="AB294" s="4">
        <v>67635124</v>
      </c>
      <c r="AC294" s="4">
        <v>82.297079063317852</v>
      </c>
      <c r="AD294" s="4">
        <v>6.593568911523901E-4</v>
      </c>
      <c r="AE294" s="4">
        <f>Base[[#This Row],['[SC']Prévalence_travail]]*Base[[#This Row],[Population_emploi]]</f>
        <v>18264.185884921208</v>
      </c>
      <c r="AF294" s="4">
        <f>Base[[#This Row],[Risque]]*Base[[#This Row],['[SC']Patients_en_emploi]]</f>
        <v>6575.1069185716342</v>
      </c>
      <c r="AG294" s="4">
        <v>60180000</v>
      </c>
      <c r="AH294" s="4">
        <f>IFERROR(Base[[#This Row],['[SC']Prestations]]/Base[[#This Row],['[SC']Patients_en_emploi]],0)</f>
        <v>3294.9730351619019</v>
      </c>
      <c r="AI294" s="4">
        <v>51.7</v>
      </c>
      <c r="AJ2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4" s="4">
        <f>Base[[#This Row],['[SC']'[Travail']Coûts_évités]]/Base[[#This Row],[Population_emploi]]</f>
        <v>0.78212274368231038</v>
      </c>
      <c r="AL294" s="4">
        <f>Base[[#This Row],[Coût_société]]*10^9*Base[[#This Row],[Risque]]*Base[[#This Row],[Prévalence]]*Base[[#This Row],[Part_coûts_salarié]]/Base[[#This Row],[Population_emploi]]</f>
        <v>3.2428819108927538E-2</v>
      </c>
      <c r="AM294" s="4">
        <f>IF(Base[[#This Row],[Pathologie]]&lt;&gt;"Dépendance",0,14909.24243952)</f>
        <v>0</v>
      </c>
      <c r="AN294" s="4">
        <f>IF(Base[[#This Row],[Pathologie]]&lt;&gt;"Dépendance",0,1316000)</f>
        <v>0</v>
      </c>
      <c r="AO294" s="4">
        <f>IF(Base[[#This Row],[Pathologie]]&lt;&gt;"Dépendance",0,Base[[#This Row],['[SC']Coût_personne_dépendante]]*Base[[#This Row],['[SC']Nb_personnes_dépendantes]])</f>
        <v>0</v>
      </c>
      <c r="AP294" s="4">
        <f>IF(Base[[#This Row],[Pathologie]]&lt;&gt;"Dépendance",0,Base[[#This Row],['[SC']Coût_total_dépendance]]/Base[[#This Row],[Population_totale]])</f>
        <v>0</v>
      </c>
      <c r="AQ294" s="4">
        <f>IF(Base[[#This Row],[Pathologie]]&lt;&gt;"Dépendance",0,4.5)</f>
        <v>0</v>
      </c>
      <c r="AR294" s="4">
        <v>0.83987615528424797</v>
      </c>
      <c r="AS294" s="4">
        <f>Base[[#This Row],[Espérance_vie]]+Base[[#This Row],['[SC']Hausse_esp_de_vie]]-Base[[#This Row],['[SC']Durée_moyenne_dépendance_avt]]+Base[[#This Row],[Risque]]</f>
        <v>83.496955218602096</v>
      </c>
      <c r="AT2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4" s="4">
        <v>62.9</v>
      </c>
      <c r="AW294" s="4">
        <f t="shared" si="0"/>
        <v>336905600000</v>
      </c>
      <c r="AX294" s="4">
        <v>15049171</v>
      </c>
      <c r="AY294" s="4">
        <f>Base[[#This Row],['[SC']Budget_total_retraites]]/Base[[#This Row],['[SC']Nombre_de_retraités]]</f>
        <v>22386.987296509556</v>
      </c>
      <c r="AZ294" s="4">
        <f>Base[[#This Row],['[SC']Budget_par_retraité]]*Base[[#This Row],['[SC']Nb_personnes_dépendantes]]</f>
        <v>0</v>
      </c>
      <c r="BA294" s="4">
        <f>Base[[#This Row],['[SC']'[Dépendance']Coût_retraite_personnes_dépendantes]]/Base[[#This Row],[Population_totale]]</f>
        <v>0</v>
      </c>
      <c r="BB2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4" s="4">
        <f>Base[[#This Row],['[SC']'[Dépendance']Gains]]-Base[[#This Row],['[SC']'[Dépendance']Coûts]]</f>
        <v>0</v>
      </c>
      <c r="BD294" s="4">
        <f>IF(Base[[#This Row],[Pathologie]]&lt;&gt;"Mort prématurée",0,Base[[#This Row],[Risque]]*Base[[#This Row],[Prévalence]]*Base[[#This Row],[Population_totale]])</f>
        <v>0</v>
      </c>
      <c r="BE294" s="4">
        <v>52.74</v>
      </c>
      <c r="BF294" s="4">
        <f>Base[[#This Row],['[SC']Âge_moyen_retraite]]-Base[[#This Row],['[SC']'[Mort_prématurée']Âge_moyen_mort précoce]]</f>
        <v>10.159999999999997</v>
      </c>
      <c r="BG294" s="4">
        <f>Base[[#This Row],[Espérance_vie]]+Base[[#This Row],['[SC']Hausse_esp_de_vie]]-Base[[#This Row],['[SC']Âge_moyen_retraite]]</f>
        <v>20.236955218602098</v>
      </c>
      <c r="BH294" s="4">
        <v>106583.42676924677</v>
      </c>
      <c r="BI294" s="4">
        <v>97601.789429271477</v>
      </c>
      <c r="BJ294" s="4">
        <v>302038.31496633729</v>
      </c>
      <c r="BK294" s="4">
        <v>117293.58934859755</v>
      </c>
      <c r="BL294" s="4">
        <v>1523999.9999999995</v>
      </c>
      <c r="BM2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4" s="4">
        <v>294804.96027377353</v>
      </c>
      <c r="BO2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4" s="4">
        <f>(Base[[#This Row],['[SC']'[Mort_prématurée']Gains]]-Base[[#This Row],['[SC']'[Mort_prématurée']Coûts]])/Base[[#This Row],[Population_totale]]</f>
        <v>0</v>
      </c>
      <c r="BQ294" s="4">
        <f>IF(Base[[#This Row],[Pathologie]]&lt;&gt;"Mort prématurée",0,Base[[#This Row],[Risque]])</f>
        <v>0</v>
      </c>
      <c r="BR294" s="4">
        <v>2680</v>
      </c>
      <c r="BS2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4" s="4">
        <f>Base[[#This Row],[Prévalence_prod]]*(1-Base[[#This Row],[Risque]])*Base[[#This Row],[Durée_arrêt]]*Base[[#This Row],[Population_emploi]]</f>
        <v>531308.62954895152</v>
      </c>
      <c r="BV294" s="4">
        <f>Base[[#This Row],['[Prod']'[Absentéisme']Total_jours_absence_avant]]-Base[[#This Row],['[Prod']'[Absentéisme']Total_jours_absence_après]]</f>
        <v>298861.10412128514</v>
      </c>
      <c r="BW294" s="4">
        <f>IF(AND(Base[[#This Row],[Pathologie]]&lt;&gt;"Dépendance",Base[[#This Row],[Pathologie]]&lt;&gt;"Mort prématurée",Base[[#This Row],[Pathologie]]&lt;&gt;"Migraine"),0.0619,0)</f>
        <v>6.1899999999999997E-2</v>
      </c>
      <c r="BX294" s="4">
        <v>254</v>
      </c>
      <c r="BY29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4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4" s="4">
        <f>Base[[#This Row],[Prévalence_prod]]*Base[[#This Row],[Présentéisme]]*Base[[#This Row],['[Prod']Jours_ouvrés]]</f>
        <v>0</v>
      </c>
      <c r="CB294" s="4">
        <f>Base[[#This Row],[Prévalence_prod]]*(1-Base[[#This Row],[Risque]])*Base[[#This Row],[Présentéisme]]*Base[[#This Row],['[Prod']Jours_ouvrés]]</f>
        <v>0</v>
      </c>
      <c r="CC294" s="4">
        <f>Base[[#This Row],['[Prod']'[Présentéisme']Jours_avant]]-Base[[#This Row],['[Prod']'[Présentéisme']Jours_après]]</f>
        <v>0</v>
      </c>
      <c r="CD294" s="4">
        <f>Base[[#This Row],['[Prod']'[Présentéisme']Jours_gagnés]]/Base[[#This Row],['[Prod']Jours_ouvrés]]</f>
        <v>0</v>
      </c>
      <c r="CE294">
        <v>7.5880726467531134E-2</v>
      </c>
      <c r="CF294">
        <v>1.989821358241517E-2</v>
      </c>
      <c r="CG294" s="4">
        <v>11</v>
      </c>
      <c r="CH294" s="4">
        <v>1.6219398392978641</v>
      </c>
      <c r="CI294" s="4">
        <v>9.628527536862988E-2</v>
      </c>
      <c r="CJ294" s="4">
        <f>IF(Base[[#This Row],[Secteur]]&lt;&gt;"Moyenne",Base[[#This Row],['[Prod']'[Turnover']DMC_initiale]]*(1+Base[[#This Row],['[Prod']'[Turnover']Ecart_accidents]]*Base[[#This Row],['[Prod']Impact_motifs_turnover]]),CJ277*CI277+CJ278*CI278+CJ279*CI279+CJ280*CI280+CJ281*CI281+CJ282*CI282+CJ283*CI283+CJ284*CI284+CJ285*CI285+CJ286*CI286+CJ287*CI287+CJ288*CI288+CJ289*CI289+CJ290*CI290+CJ291*CI291+CJ292*CI292+CJ293*CI293)</f>
        <v>11.355010758741946</v>
      </c>
      <c r="CK294" s="4">
        <f>1/Base[[#This Row],['[Prod']'[Turnover']DMC_initiale]]</f>
        <v>9.0909090909090912E-2</v>
      </c>
      <c r="CL294" s="4">
        <f>1/Base[[#This Row],['[Prod']'[Turnover']DMC_finale]]</f>
        <v>8.8066847425056327E-2</v>
      </c>
    </row>
    <row r="295" spans="2:90" x14ac:dyDescent="0.25">
      <c r="B295" s="4" t="s">
        <v>323</v>
      </c>
      <c r="C295">
        <v>15</v>
      </c>
      <c r="D295" t="s">
        <v>83</v>
      </c>
      <c r="E295" t="s">
        <v>5</v>
      </c>
      <c r="F295" s="3">
        <v>0.36</v>
      </c>
      <c r="G295" s="3">
        <v>6.593568911523901E-4</v>
      </c>
      <c r="H295" s="3">
        <v>6.593568911523901E-4</v>
      </c>
      <c r="I295" s="3">
        <v>0</v>
      </c>
      <c r="J295" s="3">
        <v>4.7304000000000004</v>
      </c>
      <c r="K295" s="3">
        <v>7.0000000000000007E-2</v>
      </c>
      <c r="L295" s="2">
        <f>Base[[#This Row],[Coût]]*Base[[#This Row],[Part_ménages_dépenses_santé]]</f>
        <v>0.33112800000000003</v>
      </c>
      <c r="M295" s="2">
        <v>1</v>
      </c>
      <c r="N295" s="6">
        <v>27700000</v>
      </c>
      <c r="O295" s="7">
        <f>Base[[#This Row],[Coût_salarié]]*10^9*Base[[#This Row],[Risque]]*Base[[#This Row],[Prévalence]]*Base[[#This Row],[Part_coûts_salarié]]/Base[[#This Row],[Population_emploi]]</f>
        <v>2.8375216720311594E-3</v>
      </c>
      <c r="P295">
        <v>50</v>
      </c>
      <c r="Q295">
        <v>50</v>
      </c>
      <c r="R295" s="2">
        <v>9.9999999999999978E-2</v>
      </c>
      <c r="S295" s="2">
        <v>0.33340000000000003</v>
      </c>
      <c r="T295" s="4">
        <v>6.593568911523901E-4</v>
      </c>
      <c r="U295" s="4">
        <f>IF(Bases_annexes!$F$5=0,16.6587111018772,0.77*Bases_annexes!$F$5/(IF(OR(ISBLANK('Données_d''entrée'!$E$44),'Données_d''entrée'!$E$44=0),35,'Données_d''entrée'!$E$44)*52))</f>
        <v>16.658711101877199</v>
      </c>
      <c r="V295" s="4">
        <v>45.453421187287603</v>
      </c>
      <c r="W2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5" s="4">
        <v>234.5</v>
      </c>
      <c r="Y295" s="4">
        <f>(Base[[#This Row],['[Maladies']Coûts_évités_par_salarié]]+Base[[#This Row],['[Travail']Coûts_évités_par_salarié]])/Base[[#This Row],[Budget_santé_salarié]]</f>
        <v>8.6732166151851293E-4</v>
      </c>
      <c r="Z295" s="4">
        <v>0.8</v>
      </c>
      <c r="AA295" s="4">
        <f>Base[[#This Row],[Coût]]*Base[[#This Row],[Part_société_dépenses_santé]]</f>
        <v>3.7843200000000006</v>
      </c>
      <c r="AB295" s="4">
        <v>67635124</v>
      </c>
      <c r="AC295" s="4">
        <v>82.297079063317852</v>
      </c>
      <c r="AD295" s="4">
        <v>6.593568911523901E-4</v>
      </c>
      <c r="AE295" s="4">
        <f>Base[[#This Row],['[SC']Prévalence_travail]]*Base[[#This Row],[Population_emploi]]</f>
        <v>18264.185884921208</v>
      </c>
      <c r="AF295" s="4">
        <f>Base[[#This Row],[Risque]]*Base[[#This Row],['[SC']Patients_en_emploi]]</f>
        <v>6575.1069185716342</v>
      </c>
      <c r="AG295" s="4">
        <v>60180000</v>
      </c>
      <c r="AH295" s="4">
        <f>IFERROR(Base[[#This Row],['[SC']Prestations]]/Base[[#This Row],['[SC']Patients_en_emploi]],0)</f>
        <v>3294.9730351619019</v>
      </c>
      <c r="AI295" s="4">
        <v>51.7</v>
      </c>
      <c r="AJ2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5" s="4">
        <f>Base[[#This Row],['[SC']'[Travail']Coûts_évités]]/Base[[#This Row],[Population_emploi]]</f>
        <v>0.78212274368231038</v>
      </c>
      <c r="AL295" s="4">
        <f>Base[[#This Row],[Coût_société]]*10^9*Base[[#This Row],[Risque]]*Base[[#This Row],[Prévalence]]*Base[[#This Row],[Part_coûts_salarié]]/Base[[#This Row],[Population_emploi]]</f>
        <v>3.2428819108927538E-2</v>
      </c>
      <c r="AM295" s="4">
        <f>IF(Base[[#This Row],[Pathologie]]&lt;&gt;"Dépendance",0,14909.24243952)</f>
        <v>0</v>
      </c>
      <c r="AN295" s="4">
        <f>IF(Base[[#This Row],[Pathologie]]&lt;&gt;"Dépendance",0,1316000)</f>
        <v>0</v>
      </c>
      <c r="AO295" s="4">
        <f>IF(Base[[#This Row],[Pathologie]]&lt;&gt;"Dépendance",0,Base[[#This Row],['[SC']Coût_personne_dépendante]]*Base[[#This Row],['[SC']Nb_personnes_dépendantes]])</f>
        <v>0</v>
      </c>
      <c r="AP295" s="4">
        <f>IF(Base[[#This Row],[Pathologie]]&lt;&gt;"Dépendance",0,Base[[#This Row],['[SC']Coût_total_dépendance]]/Base[[#This Row],[Population_totale]])</f>
        <v>0</v>
      </c>
      <c r="AQ295" s="4">
        <f>IF(Base[[#This Row],[Pathologie]]&lt;&gt;"Dépendance",0,4.5)</f>
        <v>0</v>
      </c>
      <c r="AR295" s="4">
        <v>0.83987615528424797</v>
      </c>
      <c r="AS295" s="4">
        <f>Base[[#This Row],[Espérance_vie]]+Base[[#This Row],['[SC']Hausse_esp_de_vie]]-Base[[#This Row],['[SC']Durée_moyenne_dépendance_avt]]+Base[[#This Row],[Risque]]</f>
        <v>83.496955218602096</v>
      </c>
      <c r="AT2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5" s="4">
        <v>62.9</v>
      </c>
      <c r="AW295" s="4">
        <f t="shared" si="0"/>
        <v>336905600000</v>
      </c>
      <c r="AX295" s="4">
        <v>15049171</v>
      </c>
      <c r="AY295" s="4">
        <f>Base[[#This Row],['[SC']Budget_total_retraites]]/Base[[#This Row],['[SC']Nombre_de_retraités]]</f>
        <v>22386.987296509556</v>
      </c>
      <c r="AZ295" s="4">
        <f>Base[[#This Row],['[SC']Budget_par_retraité]]*Base[[#This Row],['[SC']Nb_personnes_dépendantes]]</f>
        <v>0</v>
      </c>
      <c r="BA295" s="4">
        <f>Base[[#This Row],['[SC']'[Dépendance']Coût_retraite_personnes_dépendantes]]/Base[[#This Row],[Population_totale]]</f>
        <v>0</v>
      </c>
      <c r="BB2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5" s="4">
        <f>Base[[#This Row],['[SC']'[Dépendance']Gains]]-Base[[#This Row],['[SC']'[Dépendance']Coûts]]</f>
        <v>0</v>
      </c>
      <c r="BD295" s="4">
        <f>IF(Base[[#This Row],[Pathologie]]&lt;&gt;"Mort prématurée",0,Base[[#This Row],[Risque]]*Base[[#This Row],[Prévalence]]*Base[[#This Row],[Population_totale]])</f>
        <v>0</v>
      </c>
      <c r="BE295" s="4">
        <v>52.74</v>
      </c>
      <c r="BF295" s="4">
        <f>Base[[#This Row],['[SC']Âge_moyen_retraite]]-Base[[#This Row],['[SC']'[Mort_prématurée']Âge_moyen_mort précoce]]</f>
        <v>10.159999999999997</v>
      </c>
      <c r="BG295" s="4">
        <f>Base[[#This Row],[Espérance_vie]]+Base[[#This Row],['[SC']Hausse_esp_de_vie]]-Base[[#This Row],['[SC']Âge_moyen_retraite]]</f>
        <v>20.236955218602098</v>
      </c>
      <c r="BH295" s="4">
        <v>106583.42676924677</v>
      </c>
      <c r="BI295" s="4">
        <v>97601.789429271477</v>
      </c>
      <c r="BJ295" s="4">
        <v>302038.31496633729</v>
      </c>
      <c r="BK295" s="4">
        <v>117293.58934859755</v>
      </c>
      <c r="BL295" s="4">
        <v>1523999.9999999995</v>
      </c>
      <c r="BM2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5" s="4">
        <v>294804.96027377353</v>
      </c>
      <c r="BO2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5" s="4">
        <f>(Base[[#This Row],['[SC']'[Mort_prématurée']Gains]]-Base[[#This Row],['[SC']'[Mort_prématurée']Coûts]])/Base[[#This Row],[Population_totale]]</f>
        <v>0</v>
      </c>
      <c r="BQ295" s="4">
        <f>IF(Base[[#This Row],[Pathologie]]&lt;&gt;"Mort prématurée",0,Base[[#This Row],[Risque]])</f>
        <v>0</v>
      </c>
      <c r="BR295" s="4">
        <v>2680</v>
      </c>
      <c r="BS2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5" s="4">
        <f>Base[[#This Row],[Prévalence_prod]]*(1-Base[[#This Row],[Risque]])*Base[[#This Row],[Durée_arrêt]]*Base[[#This Row],[Population_emploi]]</f>
        <v>531308.62954895152</v>
      </c>
      <c r="BV295" s="4">
        <f>Base[[#This Row],['[Prod']'[Absentéisme']Total_jours_absence_avant]]-Base[[#This Row],['[Prod']'[Absentéisme']Total_jours_absence_après]]</f>
        <v>298861.10412128514</v>
      </c>
      <c r="BW295" s="4">
        <f>IF(AND(Base[[#This Row],[Pathologie]]&lt;&gt;"Dépendance",Base[[#This Row],[Pathologie]]&lt;&gt;"Mort prématurée",Base[[#This Row],[Pathologie]]&lt;&gt;"Migraine"),0.0619,0)</f>
        <v>6.1899999999999997E-2</v>
      </c>
      <c r="BX295" s="4">
        <v>254</v>
      </c>
      <c r="BY295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5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5" s="4">
        <f>Base[[#This Row],[Prévalence_prod]]*Base[[#This Row],[Présentéisme]]*Base[[#This Row],['[Prod']Jours_ouvrés]]</f>
        <v>0</v>
      </c>
      <c r="CB295" s="4">
        <f>Base[[#This Row],[Prévalence_prod]]*(1-Base[[#This Row],[Risque]])*Base[[#This Row],[Présentéisme]]*Base[[#This Row],['[Prod']Jours_ouvrés]]</f>
        <v>0</v>
      </c>
      <c r="CC295" s="4">
        <f>Base[[#This Row],['[Prod']'[Présentéisme']Jours_avant]]-Base[[#This Row],['[Prod']'[Présentéisme']Jours_après]]</f>
        <v>0</v>
      </c>
      <c r="CD295" s="4">
        <f>Base[[#This Row],['[Prod']'[Présentéisme']Jours_gagnés]]/Base[[#This Row],['[Prod']Jours_ouvrés]]</f>
        <v>0</v>
      </c>
      <c r="CE295">
        <v>7.5880726467531134E-2</v>
      </c>
      <c r="CF295">
        <v>1.989821358241517E-2</v>
      </c>
      <c r="CG295" s="4">
        <v>11</v>
      </c>
      <c r="CH295" s="4">
        <v>0.96913802401210614</v>
      </c>
      <c r="CI295" s="4">
        <v>0.10293966445307301</v>
      </c>
      <c r="CJ295" s="4">
        <f>IF(Base[[#This Row],[Secteur]]&lt;&gt;"Moyenne",Base[[#This Row],['[Prod']'[Turnover']DMC_initiale]]*(1+Base[[#This Row],['[Prod']'[Turnover']Ecart_accidents]]*Base[[#This Row],['[Prod']Impact_motifs_turnover]]),CJ278*CI278+CJ279*CI279+CJ280*CI280+CJ281*CI281+CJ282*CI282+CJ283*CI283+CJ284*CI284+CJ285*CI285+CJ286*CI286+CJ287*CI287+CJ288*CI288+CJ289*CI289+CJ290*CI290+CJ291*CI291+CJ292*CI292+CJ293*CI293+CJ294*CI294)</f>
        <v>11.212125269318959</v>
      </c>
      <c r="CK295" s="4">
        <f>1/Base[[#This Row],['[Prod']'[Turnover']DMC_initiale]]</f>
        <v>9.0909090909090912E-2</v>
      </c>
      <c r="CL295" s="4">
        <f>1/Base[[#This Row],['[Prod']'[Turnover']DMC_finale]]</f>
        <v>8.9189156915363429E-2</v>
      </c>
    </row>
    <row r="296" spans="2:90" x14ac:dyDescent="0.25">
      <c r="B296" s="4" t="s">
        <v>324</v>
      </c>
      <c r="C296">
        <v>15</v>
      </c>
      <c r="D296" t="s">
        <v>83</v>
      </c>
      <c r="E296" t="s">
        <v>5</v>
      </c>
      <c r="F296" s="3">
        <v>0.36</v>
      </c>
      <c r="G296" s="3">
        <v>6.593568911523901E-4</v>
      </c>
      <c r="H296" s="3">
        <v>6.593568911523901E-4</v>
      </c>
      <c r="I296" s="3">
        <v>0</v>
      </c>
      <c r="J296" s="3">
        <v>4.7304000000000004</v>
      </c>
      <c r="K296" s="3">
        <v>7.0000000000000007E-2</v>
      </c>
      <c r="L296" s="2">
        <f>Base[[#This Row],[Coût]]*Base[[#This Row],[Part_ménages_dépenses_santé]]</f>
        <v>0.33112800000000003</v>
      </c>
      <c r="M296" s="2">
        <v>1</v>
      </c>
      <c r="N296" s="6">
        <v>27700000</v>
      </c>
      <c r="O296" s="7">
        <f>Base[[#This Row],[Coût_salarié]]*10^9*Base[[#This Row],[Risque]]*Base[[#This Row],[Prévalence]]*Base[[#This Row],[Part_coûts_salarié]]/Base[[#This Row],[Population_emploi]]</f>
        <v>2.8375216720311594E-3</v>
      </c>
      <c r="P296">
        <v>50</v>
      </c>
      <c r="Q296">
        <v>50</v>
      </c>
      <c r="R296" s="2">
        <v>9.9999999999999978E-2</v>
      </c>
      <c r="S296" s="2">
        <v>0.33340000000000003</v>
      </c>
      <c r="T296" s="4">
        <v>6.593568911523901E-4</v>
      </c>
      <c r="U296" s="4">
        <f>IF(Bases_annexes!$F$5=0,16.6587111018772,0.77*Bases_annexes!$F$5/(IF(OR(ISBLANK('Données_d''entrée'!$E$44),'Données_d''entrée'!$E$44=0),35,'Données_d''entrée'!$E$44)*52))</f>
        <v>16.658711101877199</v>
      </c>
      <c r="V296" s="4">
        <v>45.453421187287603</v>
      </c>
      <c r="W2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6" s="4">
        <v>234.5</v>
      </c>
      <c r="Y296" s="4">
        <f>(Base[[#This Row],['[Maladies']Coûts_évités_par_salarié]]+Base[[#This Row],['[Travail']Coûts_évités_par_salarié]])/Base[[#This Row],[Budget_santé_salarié]]</f>
        <v>8.6732166151851293E-4</v>
      </c>
      <c r="Z296" s="4">
        <v>0.8</v>
      </c>
      <c r="AA296" s="4">
        <f>Base[[#This Row],[Coût]]*Base[[#This Row],[Part_société_dépenses_santé]]</f>
        <v>3.7843200000000006</v>
      </c>
      <c r="AB296" s="4">
        <v>67635124</v>
      </c>
      <c r="AC296" s="4">
        <v>82.297079063317852</v>
      </c>
      <c r="AD296" s="4">
        <v>6.593568911523901E-4</v>
      </c>
      <c r="AE296" s="4">
        <f>Base[[#This Row],['[SC']Prévalence_travail]]*Base[[#This Row],[Population_emploi]]</f>
        <v>18264.185884921208</v>
      </c>
      <c r="AF296" s="4">
        <f>Base[[#This Row],[Risque]]*Base[[#This Row],['[SC']Patients_en_emploi]]</f>
        <v>6575.1069185716342</v>
      </c>
      <c r="AG296" s="4">
        <v>60180000</v>
      </c>
      <c r="AH296" s="4">
        <f>IFERROR(Base[[#This Row],['[SC']Prestations]]/Base[[#This Row],['[SC']Patients_en_emploi]],0)</f>
        <v>3294.9730351619019</v>
      </c>
      <c r="AI296" s="4">
        <v>51.7</v>
      </c>
      <c r="AJ2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6" s="4">
        <f>Base[[#This Row],['[SC']'[Travail']Coûts_évités]]/Base[[#This Row],[Population_emploi]]</f>
        <v>0.78212274368231038</v>
      </c>
      <c r="AL296" s="4">
        <f>Base[[#This Row],[Coût_société]]*10^9*Base[[#This Row],[Risque]]*Base[[#This Row],[Prévalence]]*Base[[#This Row],[Part_coûts_salarié]]/Base[[#This Row],[Population_emploi]]</f>
        <v>3.2428819108927538E-2</v>
      </c>
      <c r="AM296" s="4">
        <f>IF(Base[[#This Row],[Pathologie]]&lt;&gt;"Dépendance",0,14909.24243952)</f>
        <v>0</v>
      </c>
      <c r="AN296" s="4">
        <f>IF(Base[[#This Row],[Pathologie]]&lt;&gt;"Dépendance",0,1316000)</f>
        <v>0</v>
      </c>
      <c r="AO296" s="4">
        <f>IF(Base[[#This Row],[Pathologie]]&lt;&gt;"Dépendance",0,Base[[#This Row],['[SC']Coût_personne_dépendante]]*Base[[#This Row],['[SC']Nb_personnes_dépendantes]])</f>
        <v>0</v>
      </c>
      <c r="AP296" s="4">
        <f>IF(Base[[#This Row],[Pathologie]]&lt;&gt;"Dépendance",0,Base[[#This Row],['[SC']Coût_total_dépendance]]/Base[[#This Row],[Population_totale]])</f>
        <v>0</v>
      </c>
      <c r="AQ296" s="4">
        <f>IF(Base[[#This Row],[Pathologie]]&lt;&gt;"Dépendance",0,4.5)</f>
        <v>0</v>
      </c>
      <c r="AR296" s="4">
        <v>0.83987615528424797</v>
      </c>
      <c r="AS296" s="4">
        <f>Base[[#This Row],[Espérance_vie]]+Base[[#This Row],['[SC']Hausse_esp_de_vie]]-Base[[#This Row],['[SC']Durée_moyenne_dépendance_avt]]+Base[[#This Row],[Risque]]</f>
        <v>83.496955218602096</v>
      </c>
      <c r="AT2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6" s="4">
        <v>62.9</v>
      </c>
      <c r="AW296" s="4">
        <f t="shared" si="0"/>
        <v>336905600000</v>
      </c>
      <c r="AX296" s="4">
        <v>15049171</v>
      </c>
      <c r="AY296" s="4">
        <f>Base[[#This Row],['[SC']Budget_total_retraites]]/Base[[#This Row],['[SC']Nombre_de_retraités]]</f>
        <v>22386.987296509556</v>
      </c>
      <c r="AZ296" s="4">
        <f>Base[[#This Row],['[SC']Budget_par_retraité]]*Base[[#This Row],['[SC']Nb_personnes_dépendantes]]</f>
        <v>0</v>
      </c>
      <c r="BA296" s="4">
        <f>Base[[#This Row],['[SC']'[Dépendance']Coût_retraite_personnes_dépendantes]]/Base[[#This Row],[Population_totale]]</f>
        <v>0</v>
      </c>
      <c r="BB2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6" s="4">
        <f>Base[[#This Row],['[SC']'[Dépendance']Gains]]-Base[[#This Row],['[SC']'[Dépendance']Coûts]]</f>
        <v>0</v>
      </c>
      <c r="BD296" s="4">
        <f>IF(Base[[#This Row],[Pathologie]]&lt;&gt;"Mort prématurée",0,Base[[#This Row],[Risque]]*Base[[#This Row],[Prévalence]]*Base[[#This Row],[Population_totale]])</f>
        <v>0</v>
      </c>
      <c r="BE296" s="4">
        <v>52.74</v>
      </c>
      <c r="BF296" s="4">
        <f>Base[[#This Row],['[SC']Âge_moyen_retraite]]-Base[[#This Row],['[SC']'[Mort_prématurée']Âge_moyen_mort précoce]]</f>
        <v>10.159999999999997</v>
      </c>
      <c r="BG296" s="4">
        <f>Base[[#This Row],[Espérance_vie]]+Base[[#This Row],['[SC']Hausse_esp_de_vie]]-Base[[#This Row],['[SC']Âge_moyen_retraite]]</f>
        <v>20.236955218602098</v>
      </c>
      <c r="BH296" s="4">
        <v>106583.42676924677</v>
      </c>
      <c r="BI296" s="4">
        <v>97601.789429271477</v>
      </c>
      <c r="BJ296" s="4">
        <v>302038.31496633729</v>
      </c>
      <c r="BK296" s="4">
        <v>117293.58934859755</v>
      </c>
      <c r="BL296" s="4">
        <v>1523999.9999999995</v>
      </c>
      <c r="BM2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6" s="4">
        <v>294804.96027377353</v>
      </c>
      <c r="BO2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6" s="4">
        <f>(Base[[#This Row],['[SC']'[Mort_prématurée']Gains]]-Base[[#This Row],['[SC']'[Mort_prématurée']Coûts]])/Base[[#This Row],[Population_totale]]</f>
        <v>0</v>
      </c>
      <c r="BQ296" s="4">
        <f>IF(Base[[#This Row],[Pathologie]]&lt;&gt;"Mort prématurée",0,Base[[#This Row],[Risque]])</f>
        <v>0</v>
      </c>
      <c r="BR296" s="4">
        <v>2680</v>
      </c>
      <c r="BS2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6" s="4">
        <f>Base[[#This Row],[Prévalence_prod]]*(1-Base[[#This Row],[Risque]])*Base[[#This Row],[Durée_arrêt]]*Base[[#This Row],[Population_emploi]]</f>
        <v>531308.62954895152</v>
      </c>
      <c r="BV296" s="4">
        <f>Base[[#This Row],['[Prod']'[Absentéisme']Total_jours_absence_avant]]-Base[[#This Row],['[Prod']'[Absentéisme']Total_jours_absence_après]]</f>
        <v>298861.10412128514</v>
      </c>
      <c r="BW296" s="4">
        <f>IF(AND(Base[[#This Row],[Pathologie]]&lt;&gt;"Dépendance",Base[[#This Row],[Pathologie]]&lt;&gt;"Mort prématurée",Base[[#This Row],[Pathologie]]&lt;&gt;"Migraine"),0.0619,0)</f>
        <v>6.1899999999999997E-2</v>
      </c>
      <c r="BX296" s="4">
        <v>254</v>
      </c>
      <c r="BY296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6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6" s="4">
        <f>Base[[#This Row],[Prévalence_prod]]*Base[[#This Row],[Présentéisme]]*Base[[#This Row],['[Prod']Jours_ouvrés]]</f>
        <v>0</v>
      </c>
      <c r="CB296" s="4">
        <f>Base[[#This Row],[Prévalence_prod]]*(1-Base[[#This Row],[Risque]])*Base[[#This Row],[Présentéisme]]*Base[[#This Row],['[Prod']Jours_ouvrés]]</f>
        <v>0</v>
      </c>
      <c r="CC296" s="4">
        <f>Base[[#This Row],['[Prod']'[Présentéisme']Jours_avant]]-Base[[#This Row],['[Prod']'[Présentéisme']Jours_après]]</f>
        <v>0</v>
      </c>
      <c r="CD296" s="4">
        <f>Base[[#This Row],['[Prod']'[Présentéisme']Jours_gagnés]]/Base[[#This Row],['[Prod']Jours_ouvrés]]</f>
        <v>0</v>
      </c>
      <c r="CE296">
        <v>7.5880726467531134E-2</v>
      </c>
      <c r="CF296">
        <v>1.989821358241517E-2</v>
      </c>
      <c r="CG296" s="4">
        <v>11</v>
      </c>
      <c r="CH296" s="4">
        <v>1.3987208237662601</v>
      </c>
      <c r="CI296" s="4">
        <v>2.1768516166491274E-2</v>
      </c>
      <c r="CJ296" s="4">
        <f>IF(Base[[#This Row],[Secteur]]&lt;&gt;"Moyenne",Base[[#This Row],['[Prod']'[Turnover']DMC_initiale]]*(1+Base[[#This Row],['[Prod']'[Turnover']Ecart_accidents]]*Base[[#This Row],['[Prod']Impact_motifs_turnover]]),CJ279*CI279+CJ280*CI280+CJ281*CI281+CJ282*CI282+CJ283*CI283+CJ284*CI284+CJ285*CI285+CJ286*CI286+CJ287*CI287+CJ288*CI288+CJ289*CI289+CJ290*CI290+CJ291*CI291+CJ292*CI292+CJ293*CI293+CJ294*CI294+CJ295*CI295)</f>
        <v>11.306152502628199</v>
      </c>
      <c r="CK296" s="4">
        <f>1/Base[[#This Row],['[Prod']'[Turnover']DMC_initiale]]</f>
        <v>9.0909090909090912E-2</v>
      </c>
      <c r="CL296" s="4">
        <f>1/Base[[#This Row],['[Prod']'[Turnover']DMC_finale]]</f>
        <v>8.8447418320913546E-2</v>
      </c>
    </row>
    <row r="297" spans="2:90" x14ac:dyDescent="0.25">
      <c r="B297" s="4" t="s">
        <v>325</v>
      </c>
      <c r="C297">
        <v>15</v>
      </c>
      <c r="D297" t="s">
        <v>83</v>
      </c>
      <c r="E297" t="s">
        <v>5</v>
      </c>
      <c r="F297" s="3">
        <v>0.36</v>
      </c>
      <c r="G297" s="3">
        <v>6.593568911523901E-4</v>
      </c>
      <c r="H297" s="3">
        <v>6.593568911523901E-4</v>
      </c>
      <c r="I297" s="3">
        <v>0</v>
      </c>
      <c r="J297" s="3">
        <v>4.7304000000000004</v>
      </c>
      <c r="K297" s="3">
        <v>7.0000000000000007E-2</v>
      </c>
      <c r="L297" s="2">
        <f>Base[[#This Row],[Coût]]*Base[[#This Row],[Part_ménages_dépenses_santé]]</f>
        <v>0.33112800000000003</v>
      </c>
      <c r="M297" s="2">
        <v>1</v>
      </c>
      <c r="N297" s="6">
        <v>27700000</v>
      </c>
      <c r="O297" s="7">
        <f>Base[[#This Row],[Coût_salarié]]*10^9*Base[[#This Row],[Risque]]*Base[[#This Row],[Prévalence]]*Base[[#This Row],[Part_coûts_salarié]]/Base[[#This Row],[Population_emploi]]</f>
        <v>2.8375216720311594E-3</v>
      </c>
      <c r="P297">
        <v>50</v>
      </c>
      <c r="Q297">
        <v>50</v>
      </c>
      <c r="R297" s="2">
        <v>9.9999999999999978E-2</v>
      </c>
      <c r="S297" s="2">
        <v>0.33340000000000003</v>
      </c>
      <c r="T297" s="4">
        <v>6.593568911523901E-4</v>
      </c>
      <c r="U297" s="4">
        <f>IF(Bases_annexes!$F$5=0,16.6587111018772,0.77*Bases_annexes!$F$5/(IF(OR(ISBLANK('Données_d''entrée'!$E$44),'Données_d''entrée'!$E$44=0),35,'Données_d''entrée'!$E$44)*52))</f>
        <v>16.658711101877199</v>
      </c>
      <c r="V297" s="4">
        <v>45.453421187287603</v>
      </c>
      <c r="W2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7" s="4">
        <v>234.5</v>
      </c>
      <c r="Y297" s="4">
        <f>(Base[[#This Row],['[Maladies']Coûts_évités_par_salarié]]+Base[[#This Row],['[Travail']Coûts_évités_par_salarié]])/Base[[#This Row],[Budget_santé_salarié]]</f>
        <v>8.6732166151851293E-4</v>
      </c>
      <c r="Z297" s="4">
        <v>0.8</v>
      </c>
      <c r="AA297" s="4">
        <f>Base[[#This Row],[Coût]]*Base[[#This Row],[Part_société_dépenses_santé]]</f>
        <v>3.7843200000000006</v>
      </c>
      <c r="AB297" s="4">
        <v>67635124</v>
      </c>
      <c r="AC297" s="4">
        <v>82.297079063317852</v>
      </c>
      <c r="AD297" s="4">
        <v>6.593568911523901E-4</v>
      </c>
      <c r="AE297" s="4">
        <f>Base[[#This Row],['[SC']Prévalence_travail]]*Base[[#This Row],[Population_emploi]]</f>
        <v>18264.185884921208</v>
      </c>
      <c r="AF297" s="4">
        <f>Base[[#This Row],[Risque]]*Base[[#This Row],['[SC']Patients_en_emploi]]</f>
        <v>6575.1069185716342</v>
      </c>
      <c r="AG297" s="4">
        <v>60180000</v>
      </c>
      <c r="AH297" s="4">
        <f>IFERROR(Base[[#This Row],['[SC']Prestations]]/Base[[#This Row],['[SC']Patients_en_emploi]],0)</f>
        <v>3294.9730351619019</v>
      </c>
      <c r="AI297" s="4">
        <v>51.7</v>
      </c>
      <c r="AJ2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7" s="4">
        <f>Base[[#This Row],['[SC']'[Travail']Coûts_évités]]/Base[[#This Row],[Population_emploi]]</f>
        <v>0.78212274368231038</v>
      </c>
      <c r="AL297" s="4">
        <f>Base[[#This Row],[Coût_société]]*10^9*Base[[#This Row],[Risque]]*Base[[#This Row],[Prévalence]]*Base[[#This Row],[Part_coûts_salarié]]/Base[[#This Row],[Population_emploi]]</f>
        <v>3.2428819108927538E-2</v>
      </c>
      <c r="AM297" s="4">
        <f>IF(Base[[#This Row],[Pathologie]]&lt;&gt;"Dépendance",0,14909.24243952)</f>
        <v>0</v>
      </c>
      <c r="AN297" s="4">
        <f>IF(Base[[#This Row],[Pathologie]]&lt;&gt;"Dépendance",0,1316000)</f>
        <v>0</v>
      </c>
      <c r="AO297" s="4">
        <f>IF(Base[[#This Row],[Pathologie]]&lt;&gt;"Dépendance",0,Base[[#This Row],['[SC']Coût_personne_dépendante]]*Base[[#This Row],['[SC']Nb_personnes_dépendantes]])</f>
        <v>0</v>
      </c>
      <c r="AP297" s="4">
        <f>IF(Base[[#This Row],[Pathologie]]&lt;&gt;"Dépendance",0,Base[[#This Row],['[SC']Coût_total_dépendance]]/Base[[#This Row],[Population_totale]])</f>
        <v>0</v>
      </c>
      <c r="AQ297" s="4">
        <f>IF(Base[[#This Row],[Pathologie]]&lt;&gt;"Dépendance",0,4.5)</f>
        <v>0</v>
      </c>
      <c r="AR297" s="4">
        <v>0.83987615528424797</v>
      </c>
      <c r="AS297" s="4">
        <f>Base[[#This Row],[Espérance_vie]]+Base[[#This Row],['[SC']Hausse_esp_de_vie]]-Base[[#This Row],['[SC']Durée_moyenne_dépendance_avt]]+Base[[#This Row],[Risque]]</f>
        <v>83.496955218602096</v>
      </c>
      <c r="AT2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7" s="4">
        <v>62.9</v>
      </c>
      <c r="AW297" s="4">
        <f t="shared" si="0"/>
        <v>336905600000</v>
      </c>
      <c r="AX297" s="4">
        <v>15049171</v>
      </c>
      <c r="AY297" s="4">
        <f>Base[[#This Row],['[SC']Budget_total_retraites]]/Base[[#This Row],['[SC']Nombre_de_retraités]]</f>
        <v>22386.987296509556</v>
      </c>
      <c r="AZ297" s="4">
        <f>Base[[#This Row],['[SC']Budget_par_retraité]]*Base[[#This Row],['[SC']Nb_personnes_dépendantes]]</f>
        <v>0</v>
      </c>
      <c r="BA297" s="4">
        <f>Base[[#This Row],['[SC']'[Dépendance']Coût_retraite_personnes_dépendantes]]/Base[[#This Row],[Population_totale]]</f>
        <v>0</v>
      </c>
      <c r="BB29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7" s="4">
        <f>Base[[#This Row],['[SC']'[Dépendance']Gains]]-Base[[#This Row],['[SC']'[Dépendance']Coûts]]</f>
        <v>0</v>
      </c>
      <c r="BD297" s="4">
        <f>IF(Base[[#This Row],[Pathologie]]&lt;&gt;"Mort prématurée",0,Base[[#This Row],[Risque]]*Base[[#This Row],[Prévalence]]*Base[[#This Row],[Population_totale]])</f>
        <v>0</v>
      </c>
      <c r="BE297" s="4">
        <v>52.74</v>
      </c>
      <c r="BF297" s="4">
        <f>Base[[#This Row],['[SC']Âge_moyen_retraite]]-Base[[#This Row],['[SC']'[Mort_prématurée']Âge_moyen_mort précoce]]</f>
        <v>10.159999999999997</v>
      </c>
      <c r="BG297" s="4">
        <f>Base[[#This Row],[Espérance_vie]]+Base[[#This Row],['[SC']Hausse_esp_de_vie]]-Base[[#This Row],['[SC']Âge_moyen_retraite]]</f>
        <v>20.236955218602098</v>
      </c>
      <c r="BH297" s="4">
        <v>106583.42676924677</v>
      </c>
      <c r="BI297" s="4">
        <v>97601.789429271477</v>
      </c>
      <c r="BJ297" s="4">
        <v>302038.31496633729</v>
      </c>
      <c r="BK297" s="4">
        <v>117293.58934859755</v>
      </c>
      <c r="BL297" s="4">
        <v>1523999.9999999995</v>
      </c>
      <c r="BM2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7" s="4">
        <v>294804.96027377353</v>
      </c>
      <c r="BO2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7" s="4">
        <f>(Base[[#This Row],['[SC']'[Mort_prématurée']Gains]]-Base[[#This Row],['[SC']'[Mort_prématurée']Coûts]])/Base[[#This Row],[Population_totale]]</f>
        <v>0</v>
      </c>
      <c r="BQ297" s="4">
        <f>IF(Base[[#This Row],[Pathologie]]&lt;&gt;"Mort prématurée",0,Base[[#This Row],[Risque]])</f>
        <v>0</v>
      </c>
      <c r="BR297" s="4">
        <v>2680</v>
      </c>
      <c r="BS2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7" s="4">
        <f>Base[[#This Row],[Prévalence_prod]]*(1-Base[[#This Row],[Risque]])*Base[[#This Row],[Durée_arrêt]]*Base[[#This Row],[Population_emploi]]</f>
        <v>531308.62954895152</v>
      </c>
      <c r="BV297" s="4">
        <f>Base[[#This Row],['[Prod']'[Absentéisme']Total_jours_absence_avant]]-Base[[#This Row],['[Prod']'[Absentéisme']Total_jours_absence_après]]</f>
        <v>298861.10412128514</v>
      </c>
      <c r="BW297" s="4">
        <f>IF(AND(Base[[#This Row],[Pathologie]]&lt;&gt;"Dépendance",Base[[#This Row],[Pathologie]]&lt;&gt;"Mort prématurée",Base[[#This Row],[Pathologie]]&lt;&gt;"Migraine"),0.0619,0)</f>
        <v>6.1899999999999997E-2</v>
      </c>
      <c r="BX297" s="4">
        <v>254</v>
      </c>
      <c r="BY29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7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7" s="4">
        <f>Base[[#This Row],[Prévalence_prod]]*Base[[#This Row],[Présentéisme]]*Base[[#This Row],['[Prod']Jours_ouvrés]]</f>
        <v>0</v>
      </c>
      <c r="CB297" s="4">
        <f>Base[[#This Row],[Prévalence_prod]]*(1-Base[[#This Row],[Risque]])*Base[[#This Row],[Présentéisme]]*Base[[#This Row],['[Prod']Jours_ouvrés]]</f>
        <v>0</v>
      </c>
      <c r="CC297" s="4">
        <f>Base[[#This Row],['[Prod']'[Présentéisme']Jours_avant]]-Base[[#This Row],['[Prod']'[Présentéisme']Jours_après]]</f>
        <v>0</v>
      </c>
      <c r="CD297" s="4">
        <f>Base[[#This Row],['[Prod']'[Présentéisme']Jours_gagnés]]/Base[[#This Row],['[Prod']Jours_ouvrés]]</f>
        <v>0</v>
      </c>
      <c r="CE297">
        <v>7.5880726467531134E-2</v>
      </c>
      <c r="CF297">
        <v>1.989821358241517E-2</v>
      </c>
      <c r="CG297" s="4">
        <v>11</v>
      </c>
      <c r="CH297" s="4">
        <v>1.1624525375985588</v>
      </c>
      <c r="CI297" s="4">
        <v>3.7953151649308701E-2</v>
      </c>
      <c r="CJ297" s="4">
        <f>IF(Base[[#This Row],[Secteur]]&lt;&gt;"Moyenne",Base[[#This Row],['[Prod']'[Turnover']DMC_initiale]]*(1+Base[[#This Row],['[Prod']'[Turnover']Ecart_accidents]]*Base[[#This Row],['[Prod']Impact_motifs_turnover]]),CJ280*CI280+CJ281*CI281+CJ282*CI282+CJ283*CI283+CJ284*CI284+CJ285*CI285+CJ286*CI286+CJ287*CI287+CJ288*CI288+CJ289*CI289+CJ290*CI290+CJ291*CI291+CJ292*CI292+CJ293*CI293+CJ294*CI294+CJ295*CI295+CJ296*CI296)</f>
        <v>11.254438017598122</v>
      </c>
      <c r="CK297" s="4">
        <f>1/Base[[#This Row],['[Prod']'[Turnover']DMC_initiale]]</f>
        <v>9.0909090909090912E-2</v>
      </c>
      <c r="CL297" s="4">
        <f>1/Base[[#This Row],['[Prod']'[Turnover']DMC_finale]]</f>
        <v>8.885383689850522E-2</v>
      </c>
    </row>
    <row r="298" spans="2:90" x14ac:dyDescent="0.25">
      <c r="B298" s="4" t="s">
        <v>326</v>
      </c>
      <c r="C298">
        <v>15</v>
      </c>
      <c r="D298" t="s">
        <v>83</v>
      </c>
      <c r="E298" t="s">
        <v>5</v>
      </c>
      <c r="F298" s="3">
        <v>0.36</v>
      </c>
      <c r="G298" s="3">
        <v>6.593568911523901E-4</v>
      </c>
      <c r="H298" s="3">
        <v>6.593568911523901E-4</v>
      </c>
      <c r="I298" s="3">
        <v>0</v>
      </c>
      <c r="J298" s="3">
        <v>4.7304000000000004</v>
      </c>
      <c r="K298" s="3">
        <v>7.0000000000000007E-2</v>
      </c>
      <c r="L298" s="2">
        <f>Base[[#This Row],[Coût]]*Base[[#This Row],[Part_ménages_dépenses_santé]]</f>
        <v>0.33112800000000003</v>
      </c>
      <c r="M298" s="2">
        <v>1</v>
      </c>
      <c r="N298" s="6">
        <v>27700000</v>
      </c>
      <c r="O298" s="7">
        <f>Base[[#This Row],[Coût_salarié]]*10^9*Base[[#This Row],[Risque]]*Base[[#This Row],[Prévalence]]*Base[[#This Row],[Part_coûts_salarié]]/Base[[#This Row],[Population_emploi]]</f>
        <v>2.8375216720311594E-3</v>
      </c>
      <c r="P298">
        <v>50</v>
      </c>
      <c r="Q298">
        <v>50</v>
      </c>
      <c r="R298" s="2">
        <v>9.9999999999999978E-2</v>
      </c>
      <c r="S298" s="2">
        <v>0.33340000000000003</v>
      </c>
      <c r="T298" s="4">
        <v>6.593568911523901E-4</v>
      </c>
      <c r="U298" s="4">
        <f>IF(Bases_annexes!$F$5=0,16.6587111018772,0.77*Bases_annexes!$F$5/(IF(OR(ISBLANK('Données_d''entrée'!$E$44),'Données_d''entrée'!$E$44=0),35,'Données_d''entrée'!$E$44)*52))</f>
        <v>16.658711101877199</v>
      </c>
      <c r="V298" s="4">
        <v>45.453421187287603</v>
      </c>
      <c r="W2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8" s="4">
        <v>234.5</v>
      </c>
      <c r="Y298" s="4">
        <f>(Base[[#This Row],['[Maladies']Coûts_évités_par_salarié]]+Base[[#This Row],['[Travail']Coûts_évités_par_salarié]])/Base[[#This Row],[Budget_santé_salarié]]</f>
        <v>8.6732166151851293E-4</v>
      </c>
      <c r="Z298" s="4">
        <v>0.8</v>
      </c>
      <c r="AA298" s="4">
        <f>Base[[#This Row],[Coût]]*Base[[#This Row],[Part_société_dépenses_santé]]</f>
        <v>3.7843200000000006</v>
      </c>
      <c r="AB298" s="4">
        <v>67635124</v>
      </c>
      <c r="AC298" s="4">
        <v>82.297079063317852</v>
      </c>
      <c r="AD298" s="4">
        <v>6.593568911523901E-4</v>
      </c>
      <c r="AE298" s="4">
        <f>Base[[#This Row],['[SC']Prévalence_travail]]*Base[[#This Row],[Population_emploi]]</f>
        <v>18264.185884921208</v>
      </c>
      <c r="AF298" s="4">
        <f>Base[[#This Row],[Risque]]*Base[[#This Row],['[SC']Patients_en_emploi]]</f>
        <v>6575.1069185716342</v>
      </c>
      <c r="AG298" s="4">
        <v>60180000</v>
      </c>
      <c r="AH298" s="4">
        <f>IFERROR(Base[[#This Row],['[SC']Prestations]]/Base[[#This Row],['[SC']Patients_en_emploi]],0)</f>
        <v>3294.9730351619019</v>
      </c>
      <c r="AI298" s="4">
        <v>51.7</v>
      </c>
      <c r="AJ2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8" s="4">
        <f>Base[[#This Row],['[SC']'[Travail']Coûts_évités]]/Base[[#This Row],[Population_emploi]]</f>
        <v>0.78212274368231038</v>
      </c>
      <c r="AL298" s="4">
        <f>Base[[#This Row],[Coût_société]]*10^9*Base[[#This Row],[Risque]]*Base[[#This Row],[Prévalence]]*Base[[#This Row],[Part_coûts_salarié]]/Base[[#This Row],[Population_emploi]]</f>
        <v>3.2428819108927538E-2</v>
      </c>
      <c r="AM298" s="4">
        <f>IF(Base[[#This Row],[Pathologie]]&lt;&gt;"Dépendance",0,14909.24243952)</f>
        <v>0</v>
      </c>
      <c r="AN298" s="4">
        <f>IF(Base[[#This Row],[Pathologie]]&lt;&gt;"Dépendance",0,1316000)</f>
        <v>0</v>
      </c>
      <c r="AO298" s="4">
        <f>IF(Base[[#This Row],[Pathologie]]&lt;&gt;"Dépendance",0,Base[[#This Row],['[SC']Coût_personne_dépendante]]*Base[[#This Row],['[SC']Nb_personnes_dépendantes]])</f>
        <v>0</v>
      </c>
      <c r="AP298" s="4">
        <f>IF(Base[[#This Row],[Pathologie]]&lt;&gt;"Dépendance",0,Base[[#This Row],['[SC']Coût_total_dépendance]]/Base[[#This Row],[Population_totale]])</f>
        <v>0</v>
      </c>
      <c r="AQ298" s="4">
        <f>IF(Base[[#This Row],[Pathologie]]&lt;&gt;"Dépendance",0,4.5)</f>
        <v>0</v>
      </c>
      <c r="AR298" s="4">
        <v>0.83987615528424797</v>
      </c>
      <c r="AS298" s="4">
        <f>Base[[#This Row],[Espérance_vie]]+Base[[#This Row],['[SC']Hausse_esp_de_vie]]-Base[[#This Row],['[SC']Durée_moyenne_dépendance_avt]]+Base[[#This Row],[Risque]]</f>
        <v>83.496955218602096</v>
      </c>
      <c r="AT2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8" s="4">
        <v>62.9</v>
      </c>
      <c r="AW298" s="4">
        <f t="shared" si="0"/>
        <v>336905600000</v>
      </c>
      <c r="AX298" s="4">
        <v>15049171</v>
      </c>
      <c r="AY298" s="4">
        <f>Base[[#This Row],['[SC']Budget_total_retraites]]/Base[[#This Row],['[SC']Nombre_de_retraités]]</f>
        <v>22386.987296509556</v>
      </c>
      <c r="AZ298" s="4">
        <f>Base[[#This Row],['[SC']Budget_par_retraité]]*Base[[#This Row],['[SC']Nb_personnes_dépendantes]]</f>
        <v>0</v>
      </c>
      <c r="BA298" s="4">
        <f>Base[[#This Row],['[SC']'[Dépendance']Coût_retraite_personnes_dépendantes]]/Base[[#This Row],[Population_totale]]</f>
        <v>0</v>
      </c>
      <c r="BB29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8" s="4">
        <f>Base[[#This Row],['[SC']'[Dépendance']Gains]]-Base[[#This Row],['[SC']'[Dépendance']Coûts]]</f>
        <v>0</v>
      </c>
      <c r="BD298" s="4">
        <f>IF(Base[[#This Row],[Pathologie]]&lt;&gt;"Mort prématurée",0,Base[[#This Row],[Risque]]*Base[[#This Row],[Prévalence]]*Base[[#This Row],[Population_totale]])</f>
        <v>0</v>
      </c>
      <c r="BE298" s="4">
        <v>52.74</v>
      </c>
      <c r="BF298" s="4">
        <f>Base[[#This Row],['[SC']Âge_moyen_retraite]]-Base[[#This Row],['[SC']'[Mort_prématurée']Âge_moyen_mort précoce]]</f>
        <v>10.159999999999997</v>
      </c>
      <c r="BG298" s="4">
        <f>Base[[#This Row],[Espérance_vie]]+Base[[#This Row],['[SC']Hausse_esp_de_vie]]-Base[[#This Row],['[SC']Âge_moyen_retraite]]</f>
        <v>20.236955218602098</v>
      </c>
      <c r="BH298" s="4">
        <v>106583.42676924677</v>
      </c>
      <c r="BI298" s="4">
        <v>97601.789429271477</v>
      </c>
      <c r="BJ298" s="4">
        <v>302038.31496633729</v>
      </c>
      <c r="BK298" s="4">
        <v>117293.58934859755</v>
      </c>
      <c r="BL298" s="4">
        <v>1523999.9999999995</v>
      </c>
      <c r="BM2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8" s="4">
        <v>294804.96027377353</v>
      </c>
      <c r="BO2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8" s="4">
        <f>(Base[[#This Row],['[SC']'[Mort_prématurée']Gains]]-Base[[#This Row],['[SC']'[Mort_prématurée']Coûts]])/Base[[#This Row],[Population_totale]]</f>
        <v>0</v>
      </c>
      <c r="BQ298" s="4">
        <f>IF(Base[[#This Row],[Pathologie]]&lt;&gt;"Mort prématurée",0,Base[[#This Row],[Risque]])</f>
        <v>0</v>
      </c>
      <c r="BR298" s="4">
        <v>2680</v>
      </c>
      <c r="BS2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8" s="4">
        <f>Base[[#This Row],[Prévalence_prod]]*(1-Base[[#This Row],[Risque]])*Base[[#This Row],[Durée_arrêt]]*Base[[#This Row],[Population_emploi]]</f>
        <v>531308.62954895152</v>
      </c>
      <c r="BV298" s="4">
        <f>Base[[#This Row],['[Prod']'[Absentéisme']Total_jours_absence_avant]]-Base[[#This Row],['[Prod']'[Absentéisme']Total_jours_absence_après]]</f>
        <v>298861.10412128514</v>
      </c>
      <c r="BW298" s="4">
        <f>IF(AND(Base[[#This Row],[Pathologie]]&lt;&gt;"Dépendance",Base[[#This Row],[Pathologie]]&lt;&gt;"Mort prématurée",Base[[#This Row],[Pathologie]]&lt;&gt;"Migraine"),0.0619,0)</f>
        <v>6.1899999999999997E-2</v>
      </c>
      <c r="BX298" s="4">
        <v>254</v>
      </c>
      <c r="BY29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8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8" s="4">
        <f>Base[[#This Row],[Prévalence_prod]]*Base[[#This Row],[Présentéisme]]*Base[[#This Row],['[Prod']Jours_ouvrés]]</f>
        <v>0</v>
      </c>
      <c r="CB298" s="4">
        <f>Base[[#This Row],[Prévalence_prod]]*(1-Base[[#This Row],[Risque]])*Base[[#This Row],[Présentéisme]]*Base[[#This Row],['[Prod']Jours_ouvrés]]</f>
        <v>0</v>
      </c>
      <c r="CC298" s="4">
        <f>Base[[#This Row],['[Prod']'[Présentéisme']Jours_avant]]-Base[[#This Row],['[Prod']'[Présentéisme']Jours_après]]</f>
        <v>0</v>
      </c>
      <c r="CD298" s="4">
        <f>Base[[#This Row],['[Prod']'[Présentéisme']Jours_gagnés]]/Base[[#This Row],['[Prod']Jours_ouvrés]]</f>
        <v>0</v>
      </c>
      <c r="CE298">
        <v>7.5880726467531134E-2</v>
      </c>
      <c r="CF298">
        <v>1.989821358241517E-2</v>
      </c>
      <c r="CG298" s="4">
        <v>11</v>
      </c>
      <c r="CH298" s="4">
        <v>0.19346787829229528</v>
      </c>
      <c r="CI298" s="4">
        <v>2.8126549817953091E-2</v>
      </c>
      <c r="CJ298" s="4">
        <f>IF(Base[[#This Row],[Secteur]]&lt;&gt;"Moyenne",Base[[#This Row],['[Prod']'[Turnover']DMC_initiale]]*(1+Base[[#This Row],['[Prod']'[Turnover']Ecart_accidents]]*Base[[#This Row],['[Prod']Impact_motifs_turnover]]),CJ281*CI281+CJ282*CI282+CJ283*CI283+CJ284*CI284+CJ285*CI285+CJ286*CI286+CJ287*CI287+CJ288*CI288+CJ289*CI289+CJ290*CI290+CJ291*CI291+CJ292*CI292+CJ293*CI293+CJ294*CI294+CJ295*CI295+CJ296*CI296+CJ297*CI297)</f>
        <v>11.042346316799566</v>
      </c>
      <c r="CK298" s="4">
        <f>1/Base[[#This Row],['[Prod']'[Turnover']DMC_initiale]]</f>
        <v>9.0909090909090912E-2</v>
      </c>
      <c r="CL298" s="4">
        <f>1/Base[[#This Row],['[Prod']'[Turnover']DMC_finale]]</f>
        <v>9.0560463447756881E-2</v>
      </c>
    </row>
    <row r="299" spans="2:90" x14ac:dyDescent="0.25">
      <c r="B299" s="4" t="s">
        <v>327</v>
      </c>
      <c r="C299">
        <v>15</v>
      </c>
      <c r="D299" t="s">
        <v>83</v>
      </c>
      <c r="E299" t="s">
        <v>5</v>
      </c>
      <c r="F299" s="3">
        <v>0.36</v>
      </c>
      <c r="G299" s="3">
        <v>6.593568911523901E-4</v>
      </c>
      <c r="H299" s="3">
        <v>6.593568911523901E-4</v>
      </c>
      <c r="I299" s="3">
        <v>0</v>
      </c>
      <c r="J299" s="3">
        <v>4.7304000000000004</v>
      </c>
      <c r="K299" s="3">
        <v>7.0000000000000007E-2</v>
      </c>
      <c r="L299" s="2">
        <f>Base[[#This Row],[Coût]]*Base[[#This Row],[Part_ménages_dépenses_santé]]</f>
        <v>0.33112800000000003</v>
      </c>
      <c r="M299" s="2">
        <v>1</v>
      </c>
      <c r="N299" s="6">
        <v>27700000</v>
      </c>
      <c r="O299" s="7">
        <f>Base[[#This Row],[Coût_salarié]]*10^9*Base[[#This Row],[Risque]]*Base[[#This Row],[Prévalence]]*Base[[#This Row],[Part_coûts_salarié]]/Base[[#This Row],[Population_emploi]]</f>
        <v>2.8375216720311594E-3</v>
      </c>
      <c r="P299">
        <v>50</v>
      </c>
      <c r="Q299">
        <v>50</v>
      </c>
      <c r="R299" s="2">
        <v>9.9999999999999978E-2</v>
      </c>
      <c r="S299" s="2">
        <v>0.33340000000000003</v>
      </c>
      <c r="T299" s="4">
        <v>6.593568911523901E-4</v>
      </c>
      <c r="U299" s="4">
        <f>IF(Bases_annexes!$F$5=0,16.6587111018772,0.77*Bases_annexes!$F$5/(IF(OR(ISBLANK('Données_d''entrée'!$E$44),'Données_d''entrée'!$E$44=0),35,'Données_d''entrée'!$E$44)*52))</f>
        <v>16.658711101877199</v>
      </c>
      <c r="V299" s="4">
        <v>45.453421187287603</v>
      </c>
      <c r="W2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299" s="4">
        <v>234.5</v>
      </c>
      <c r="Y299" s="4">
        <f>(Base[[#This Row],['[Maladies']Coûts_évités_par_salarié]]+Base[[#This Row],['[Travail']Coûts_évités_par_salarié]])/Base[[#This Row],[Budget_santé_salarié]]</f>
        <v>8.6732166151851293E-4</v>
      </c>
      <c r="Z299" s="4">
        <v>0.8</v>
      </c>
      <c r="AA299" s="4">
        <f>Base[[#This Row],[Coût]]*Base[[#This Row],[Part_société_dépenses_santé]]</f>
        <v>3.7843200000000006</v>
      </c>
      <c r="AB299" s="4">
        <v>67635124</v>
      </c>
      <c r="AC299" s="4">
        <v>82.297079063317852</v>
      </c>
      <c r="AD299" s="4">
        <v>6.593568911523901E-4</v>
      </c>
      <c r="AE299" s="4">
        <f>Base[[#This Row],['[SC']Prévalence_travail]]*Base[[#This Row],[Population_emploi]]</f>
        <v>18264.185884921208</v>
      </c>
      <c r="AF299" s="4">
        <f>Base[[#This Row],[Risque]]*Base[[#This Row],['[SC']Patients_en_emploi]]</f>
        <v>6575.1069185716342</v>
      </c>
      <c r="AG299" s="4">
        <v>60180000</v>
      </c>
      <c r="AH299" s="4">
        <f>IFERROR(Base[[#This Row],['[SC']Prestations]]/Base[[#This Row],['[SC']Patients_en_emploi]],0)</f>
        <v>3294.9730351619019</v>
      </c>
      <c r="AI299" s="4">
        <v>51.7</v>
      </c>
      <c r="AJ2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299" s="4">
        <f>Base[[#This Row],['[SC']'[Travail']Coûts_évités]]/Base[[#This Row],[Population_emploi]]</f>
        <v>0.78212274368231038</v>
      </c>
      <c r="AL299" s="4">
        <f>Base[[#This Row],[Coût_société]]*10^9*Base[[#This Row],[Risque]]*Base[[#This Row],[Prévalence]]*Base[[#This Row],[Part_coûts_salarié]]/Base[[#This Row],[Population_emploi]]</f>
        <v>3.2428819108927538E-2</v>
      </c>
      <c r="AM299" s="4">
        <f>IF(Base[[#This Row],[Pathologie]]&lt;&gt;"Dépendance",0,14909.24243952)</f>
        <v>0</v>
      </c>
      <c r="AN299" s="4">
        <f>IF(Base[[#This Row],[Pathologie]]&lt;&gt;"Dépendance",0,1316000)</f>
        <v>0</v>
      </c>
      <c r="AO299" s="4">
        <f>IF(Base[[#This Row],[Pathologie]]&lt;&gt;"Dépendance",0,Base[[#This Row],['[SC']Coût_personne_dépendante]]*Base[[#This Row],['[SC']Nb_personnes_dépendantes]])</f>
        <v>0</v>
      </c>
      <c r="AP299" s="4">
        <f>IF(Base[[#This Row],[Pathologie]]&lt;&gt;"Dépendance",0,Base[[#This Row],['[SC']Coût_total_dépendance]]/Base[[#This Row],[Population_totale]])</f>
        <v>0</v>
      </c>
      <c r="AQ299" s="4">
        <f>IF(Base[[#This Row],[Pathologie]]&lt;&gt;"Dépendance",0,4.5)</f>
        <v>0</v>
      </c>
      <c r="AR299" s="4">
        <v>0.83987615528424797</v>
      </c>
      <c r="AS299" s="4">
        <f>Base[[#This Row],[Espérance_vie]]+Base[[#This Row],['[SC']Hausse_esp_de_vie]]-Base[[#This Row],['[SC']Durée_moyenne_dépendance_avt]]+Base[[#This Row],[Risque]]</f>
        <v>83.496955218602096</v>
      </c>
      <c r="AT2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2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299" s="4">
        <v>62.9</v>
      </c>
      <c r="AW299" s="4">
        <f t="shared" si="0"/>
        <v>336905600000</v>
      </c>
      <c r="AX299" s="4">
        <v>15049171</v>
      </c>
      <c r="AY299" s="4">
        <f>Base[[#This Row],['[SC']Budget_total_retraites]]/Base[[#This Row],['[SC']Nombre_de_retraités]]</f>
        <v>22386.987296509556</v>
      </c>
      <c r="AZ299" s="4">
        <f>Base[[#This Row],['[SC']Budget_par_retraité]]*Base[[#This Row],['[SC']Nb_personnes_dépendantes]]</f>
        <v>0</v>
      </c>
      <c r="BA299" s="4">
        <f>Base[[#This Row],['[SC']'[Dépendance']Coût_retraite_personnes_dépendantes]]/Base[[#This Row],[Population_totale]]</f>
        <v>0</v>
      </c>
      <c r="BB29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299" s="4">
        <f>Base[[#This Row],['[SC']'[Dépendance']Gains]]-Base[[#This Row],['[SC']'[Dépendance']Coûts]]</f>
        <v>0</v>
      </c>
      <c r="BD299" s="4">
        <f>IF(Base[[#This Row],[Pathologie]]&lt;&gt;"Mort prématurée",0,Base[[#This Row],[Risque]]*Base[[#This Row],[Prévalence]]*Base[[#This Row],[Population_totale]])</f>
        <v>0</v>
      </c>
      <c r="BE299" s="4">
        <v>52.74</v>
      </c>
      <c r="BF299" s="4">
        <f>Base[[#This Row],['[SC']Âge_moyen_retraite]]-Base[[#This Row],['[SC']'[Mort_prématurée']Âge_moyen_mort précoce]]</f>
        <v>10.159999999999997</v>
      </c>
      <c r="BG299" s="4">
        <f>Base[[#This Row],[Espérance_vie]]+Base[[#This Row],['[SC']Hausse_esp_de_vie]]-Base[[#This Row],['[SC']Âge_moyen_retraite]]</f>
        <v>20.236955218602098</v>
      </c>
      <c r="BH299" s="4">
        <v>106583.42676924677</v>
      </c>
      <c r="BI299" s="4">
        <v>97601.789429271477</v>
      </c>
      <c r="BJ299" s="4">
        <v>302038.31496633729</v>
      </c>
      <c r="BK299" s="4">
        <v>117293.58934859755</v>
      </c>
      <c r="BL299" s="4">
        <v>1523999.9999999995</v>
      </c>
      <c r="BM2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299" s="4">
        <v>294804.96027377353</v>
      </c>
      <c r="BO2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299" s="4">
        <f>(Base[[#This Row],['[SC']'[Mort_prématurée']Gains]]-Base[[#This Row],['[SC']'[Mort_prématurée']Coûts]])/Base[[#This Row],[Population_totale]]</f>
        <v>0</v>
      </c>
      <c r="BQ299" s="4">
        <f>IF(Base[[#This Row],[Pathologie]]&lt;&gt;"Mort prématurée",0,Base[[#This Row],[Risque]])</f>
        <v>0</v>
      </c>
      <c r="BR299" s="4">
        <v>2680</v>
      </c>
      <c r="BS2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2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299" s="4">
        <f>Base[[#This Row],[Prévalence_prod]]*(1-Base[[#This Row],[Risque]])*Base[[#This Row],[Durée_arrêt]]*Base[[#This Row],[Population_emploi]]</f>
        <v>531308.62954895152</v>
      </c>
      <c r="BV299" s="4">
        <f>Base[[#This Row],['[Prod']'[Absentéisme']Total_jours_absence_avant]]-Base[[#This Row],['[Prod']'[Absentéisme']Total_jours_absence_après]]</f>
        <v>298861.10412128514</v>
      </c>
      <c r="BW299" s="4">
        <f>IF(AND(Base[[#This Row],[Pathologie]]&lt;&gt;"Dépendance",Base[[#This Row],[Pathologie]]&lt;&gt;"Mort prématurée",Base[[#This Row],[Pathologie]]&lt;&gt;"Migraine"),0.0619,0)</f>
        <v>6.1899999999999997E-2</v>
      </c>
      <c r="BX299" s="4">
        <v>254</v>
      </c>
      <c r="BY299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299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299" s="4">
        <f>Base[[#This Row],[Prévalence_prod]]*Base[[#This Row],[Présentéisme]]*Base[[#This Row],['[Prod']Jours_ouvrés]]</f>
        <v>0</v>
      </c>
      <c r="CB299" s="4">
        <f>Base[[#This Row],[Prévalence_prod]]*(1-Base[[#This Row],[Risque]])*Base[[#This Row],[Présentéisme]]*Base[[#This Row],['[Prod']Jours_ouvrés]]</f>
        <v>0</v>
      </c>
      <c r="CC299" s="4">
        <f>Base[[#This Row],['[Prod']'[Présentéisme']Jours_avant]]-Base[[#This Row],['[Prod']'[Présentéisme']Jours_après]]</f>
        <v>0</v>
      </c>
      <c r="CD299" s="4">
        <f>Base[[#This Row],['[Prod']'[Présentéisme']Jours_gagnés]]/Base[[#This Row],['[Prod']Jours_ouvrés]]</f>
        <v>0</v>
      </c>
      <c r="CE299">
        <v>7.5880726467531134E-2</v>
      </c>
      <c r="CF299">
        <v>1.989821358241517E-2</v>
      </c>
      <c r="CG299" s="4">
        <v>11</v>
      </c>
      <c r="CH299" s="4">
        <v>0.13729577077682142</v>
      </c>
      <c r="CI299" s="4">
        <v>1.373516710817578E-2</v>
      </c>
      <c r="CJ299" s="4">
        <f>IF(Base[[#This Row],[Secteur]]&lt;&gt;"Moyenne",Base[[#This Row],['[Prod']'[Turnover']DMC_initiale]]*(1+Base[[#This Row],['[Prod']'[Turnover']Ecart_accidents]]*Base[[#This Row],['[Prod']Impact_motifs_turnover]]),CJ282*CI282+CJ283*CI283+CJ284*CI284+CJ285*CI285+CJ286*CI286+CJ287*CI287+CJ288*CI288+CJ289*CI289+CJ290*CI290+CJ291*CI291+CJ292*CI292+CJ293*CI293+CJ294*CI294+CJ295*CI295+CJ296*CI296+CJ297*CI297+CJ298*CI298)</f>
        <v>11.030051346279674</v>
      </c>
      <c r="CK299" s="4">
        <f>1/Base[[#This Row],['[Prod']'[Turnover']DMC_initiale]]</f>
        <v>9.0909090909090912E-2</v>
      </c>
      <c r="CL299" s="4">
        <f>1/Base[[#This Row],['[Prod']'[Turnover']DMC_finale]]</f>
        <v>9.0661409326738093E-2</v>
      </c>
    </row>
    <row r="300" spans="2:90" x14ac:dyDescent="0.25">
      <c r="B300" s="4" t="s">
        <v>328</v>
      </c>
      <c r="C300">
        <v>15</v>
      </c>
      <c r="D300" t="s">
        <v>83</v>
      </c>
      <c r="E300" t="s">
        <v>5</v>
      </c>
      <c r="F300" s="3">
        <v>0.36</v>
      </c>
      <c r="G300" s="3">
        <v>6.593568911523901E-4</v>
      </c>
      <c r="H300" s="3">
        <v>6.593568911523901E-4</v>
      </c>
      <c r="I300" s="3">
        <v>0</v>
      </c>
      <c r="J300" s="3">
        <v>4.7304000000000004</v>
      </c>
      <c r="K300" s="3">
        <v>7.0000000000000007E-2</v>
      </c>
      <c r="L300" s="2">
        <f>Base[[#This Row],[Coût]]*Base[[#This Row],[Part_ménages_dépenses_santé]]</f>
        <v>0.33112800000000003</v>
      </c>
      <c r="M300" s="2">
        <v>1</v>
      </c>
      <c r="N300" s="6">
        <v>27700000</v>
      </c>
      <c r="O300" s="7">
        <f>Base[[#This Row],[Coût_salarié]]*10^9*Base[[#This Row],[Risque]]*Base[[#This Row],[Prévalence]]*Base[[#This Row],[Part_coûts_salarié]]/Base[[#This Row],[Population_emploi]]</f>
        <v>2.8375216720311594E-3</v>
      </c>
      <c r="P300">
        <v>50</v>
      </c>
      <c r="Q300">
        <v>50</v>
      </c>
      <c r="R300" s="2">
        <v>9.9999999999999978E-2</v>
      </c>
      <c r="S300" s="2">
        <v>0.33340000000000003</v>
      </c>
      <c r="T300" s="4">
        <v>6.593568911523901E-4</v>
      </c>
      <c r="U300" s="4">
        <f>IF(Bases_annexes!$F$5=0,16.6587111018772,0.77*Bases_annexes!$F$5/(IF(OR(ISBLANK('Données_d''entrée'!$E$44),'Données_d''entrée'!$E$44=0),35,'Données_d''entrée'!$E$44)*52))</f>
        <v>16.658711101877199</v>
      </c>
      <c r="V300" s="4">
        <v>45.453421187287603</v>
      </c>
      <c r="W3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300" s="4">
        <v>234.5</v>
      </c>
      <c r="Y300" s="4">
        <f>(Base[[#This Row],['[Maladies']Coûts_évités_par_salarié]]+Base[[#This Row],['[Travail']Coûts_évités_par_salarié]])/Base[[#This Row],[Budget_santé_salarié]]</f>
        <v>8.6732166151851293E-4</v>
      </c>
      <c r="Z300" s="4">
        <v>0.8</v>
      </c>
      <c r="AA300" s="4">
        <f>Base[[#This Row],[Coût]]*Base[[#This Row],[Part_société_dépenses_santé]]</f>
        <v>3.7843200000000006</v>
      </c>
      <c r="AB300" s="4">
        <v>67635124</v>
      </c>
      <c r="AC300" s="4">
        <v>82.297079063317852</v>
      </c>
      <c r="AD300" s="4">
        <v>6.593568911523901E-4</v>
      </c>
      <c r="AE300" s="4">
        <f>Base[[#This Row],['[SC']Prévalence_travail]]*Base[[#This Row],[Population_emploi]]</f>
        <v>18264.185884921208</v>
      </c>
      <c r="AF300" s="4">
        <f>Base[[#This Row],[Risque]]*Base[[#This Row],['[SC']Patients_en_emploi]]</f>
        <v>6575.1069185716342</v>
      </c>
      <c r="AG300" s="4">
        <v>60180000</v>
      </c>
      <c r="AH300" s="4">
        <f>IFERROR(Base[[#This Row],['[SC']Prestations]]/Base[[#This Row],['[SC']Patients_en_emploi]],0)</f>
        <v>3294.9730351619019</v>
      </c>
      <c r="AI300" s="4">
        <v>51.7</v>
      </c>
      <c r="AJ3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300" s="4">
        <f>Base[[#This Row],['[SC']'[Travail']Coûts_évités]]/Base[[#This Row],[Population_emploi]]</f>
        <v>0.78212274368231038</v>
      </c>
      <c r="AL300" s="4">
        <f>Base[[#This Row],[Coût_société]]*10^9*Base[[#This Row],[Risque]]*Base[[#This Row],[Prévalence]]*Base[[#This Row],[Part_coûts_salarié]]/Base[[#This Row],[Population_emploi]]</f>
        <v>3.2428819108927538E-2</v>
      </c>
      <c r="AM300" s="4">
        <f>IF(Base[[#This Row],[Pathologie]]&lt;&gt;"Dépendance",0,14909.24243952)</f>
        <v>0</v>
      </c>
      <c r="AN300" s="4">
        <f>IF(Base[[#This Row],[Pathologie]]&lt;&gt;"Dépendance",0,1316000)</f>
        <v>0</v>
      </c>
      <c r="AO300" s="4">
        <f>IF(Base[[#This Row],[Pathologie]]&lt;&gt;"Dépendance",0,Base[[#This Row],['[SC']Coût_personne_dépendante]]*Base[[#This Row],['[SC']Nb_personnes_dépendantes]])</f>
        <v>0</v>
      </c>
      <c r="AP300" s="4">
        <f>IF(Base[[#This Row],[Pathologie]]&lt;&gt;"Dépendance",0,Base[[#This Row],['[SC']Coût_total_dépendance]]/Base[[#This Row],[Population_totale]])</f>
        <v>0</v>
      </c>
      <c r="AQ300" s="4">
        <f>IF(Base[[#This Row],[Pathologie]]&lt;&gt;"Dépendance",0,4.5)</f>
        <v>0</v>
      </c>
      <c r="AR300" s="4">
        <v>0.83987615528424797</v>
      </c>
      <c r="AS300" s="4">
        <f>Base[[#This Row],[Espérance_vie]]+Base[[#This Row],['[SC']Hausse_esp_de_vie]]-Base[[#This Row],['[SC']Durée_moyenne_dépendance_avt]]+Base[[#This Row],[Risque]]</f>
        <v>83.496955218602096</v>
      </c>
      <c r="AT3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0" s="4">
        <v>62.9</v>
      </c>
      <c r="AW300" s="4">
        <f t="shared" si="0"/>
        <v>336905600000</v>
      </c>
      <c r="AX300" s="4">
        <v>15049171</v>
      </c>
      <c r="AY300" s="4">
        <f>Base[[#This Row],['[SC']Budget_total_retraites]]/Base[[#This Row],['[SC']Nombre_de_retraités]]</f>
        <v>22386.987296509556</v>
      </c>
      <c r="AZ300" s="4">
        <f>Base[[#This Row],['[SC']Budget_par_retraité]]*Base[[#This Row],['[SC']Nb_personnes_dépendantes]]</f>
        <v>0</v>
      </c>
      <c r="BA300" s="4">
        <f>Base[[#This Row],['[SC']'[Dépendance']Coût_retraite_personnes_dépendantes]]/Base[[#This Row],[Population_totale]]</f>
        <v>0</v>
      </c>
      <c r="BB30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0" s="4">
        <f>Base[[#This Row],['[SC']'[Dépendance']Gains]]-Base[[#This Row],['[SC']'[Dépendance']Coûts]]</f>
        <v>0</v>
      </c>
      <c r="BD300" s="4">
        <f>IF(Base[[#This Row],[Pathologie]]&lt;&gt;"Mort prématurée",0,Base[[#This Row],[Risque]]*Base[[#This Row],[Prévalence]]*Base[[#This Row],[Population_totale]])</f>
        <v>0</v>
      </c>
      <c r="BE300" s="4">
        <v>52.74</v>
      </c>
      <c r="BF300" s="4">
        <f>Base[[#This Row],['[SC']Âge_moyen_retraite]]-Base[[#This Row],['[SC']'[Mort_prématurée']Âge_moyen_mort précoce]]</f>
        <v>10.159999999999997</v>
      </c>
      <c r="BG300" s="4">
        <f>Base[[#This Row],[Espérance_vie]]+Base[[#This Row],['[SC']Hausse_esp_de_vie]]-Base[[#This Row],['[SC']Âge_moyen_retraite]]</f>
        <v>20.236955218602098</v>
      </c>
      <c r="BH300" s="4">
        <v>106583.42676924677</v>
      </c>
      <c r="BI300" s="4">
        <v>97601.789429271477</v>
      </c>
      <c r="BJ300" s="4">
        <v>302038.31496633729</v>
      </c>
      <c r="BK300" s="4">
        <v>117293.58934859755</v>
      </c>
      <c r="BL300" s="4">
        <v>1523999.9999999995</v>
      </c>
      <c r="BM3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0" s="4">
        <v>294804.96027377353</v>
      </c>
      <c r="BO3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0" s="4">
        <f>(Base[[#This Row],['[SC']'[Mort_prématurée']Gains]]-Base[[#This Row],['[SC']'[Mort_prématurée']Coûts]])/Base[[#This Row],[Population_totale]]</f>
        <v>0</v>
      </c>
      <c r="BQ300" s="4">
        <f>IF(Base[[#This Row],[Pathologie]]&lt;&gt;"Mort prématurée",0,Base[[#This Row],[Risque]])</f>
        <v>0</v>
      </c>
      <c r="BR300" s="4">
        <v>2680</v>
      </c>
      <c r="BS3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3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300" s="4">
        <f>Base[[#This Row],[Prévalence_prod]]*(1-Base[[#This Row],[Risque]])*Base[[#This Row],[Durée_arrêt]]*Base[[#This Row],[Population_emploi]]</f>
        <v>531308.62954895152</v>
      </c>
      <c r="BV300" s="4">
        <f>Base[[#This Row],['[Prod']'[Absentéisme']Total_jours_absence_avant]]-Base[[#This Row],['[Prod']'[Absentéisme']Total_jours_absence_après]]</f>
        <v>298861.10412128514</v>
      </c>
      <c r="BW300" s="4">
        <f>IF(AND(Base[[#This Row],[Pathologie]]&lt;&gt;"Dépendance",Base[[#This Row],[Pathologie]]&lt;&gt;"Mort prématurée",Base[[#This Row],[Pathologie]]&lt;&gt;"Migraine"),0.0619,0)</f>
        <v>6.1899999999999997E-2</v>
      </c>
      <c r="BX300" s="4">
        <v>254</v>
      </c>
      <c r="BY300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300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300" s="4">
        <f>Base[[#This Row],[Prévalence_prod]]*Base[[#This Row],[Présentéisme]]*Base[[#This Row],['[Prod']Jours_ouvrés]]</f>
        <v>0</v>
      </c>
      <c r="CB300" s="4">
        <f>Base[[#This Row],[Prévalence_prod]]*(1-Base[[#This Row],[Risque]])*Base[[#This Row],[Présentéisme]]*Base[[#This Row],['[Prod']Jours_ouvrés]]</f>
        <v>0</v>
      </c>
      <c r="CC300" s="4">
        <f>Base[[#This Row],['[Prod']'[Présentéisme']Jours_avant]]-Base[[#This Row],['[Prod']'[Présentéisme']Jours_après]]</f>
        <v>0</v>
      </c>
      <c r="CD300" s="4">
        <f>Base[[#This Row],['[Prod']'[Présentéisme']Jours_gagnés]]/Base[[#This Row],['[Prod']Jours_ouvrés]]</f>
        <v>0</v>
      </c>
      <c r="CE300">
        <v>7.5880726467531134E-2</v>
      </c>
      <c r="CF300">
        <v>1.989821358241517E-2</v>
      </c>
      <c r="CG300" s="4">
        <v>11</v>
      </c>
      <c r="CH300" s="4">
        <v>0.60922528771817497</v>
      </c>
      <c r="CI300" s="4">
        <v>3.8601807163334179E-3</v>
      </c>
      <c r="CJ300" s="4">
        <f>IF(Base[[#This Row],[Secteur]]&lt;&gt;"Moyenne",Base[[#This Row],['[Prod']'[Turnover']DMC_initiale]]*(1+Base[[#This Row],['[Prod']'[Turnover']Ecart_accidents]]*Base[[#This Row],['[Prod']Impact_motifs_turnover]]),CJ283*CI283+CJ284*CI284+CJ285*CI285+CJ286*CI286+CJ287*CI287+CJ288*CI288+CJ289*CI289+CJ290*CI290+CJ291*CI291+CJ292*CI292+CJ293*CI293+CJ294*CI294+CJ295*CI295+CJ296*CI296+CJ297*CI297+CJ298*CI298+CJ299*CI299)</f>
        <v>11.133347443843071</v>
      </c>
      <c r="CK300" s="4">
        <f>1/Base[[#This Row],['[Prod']'[Turnover']DMC_initiale]]</f>
        <v>9.0909090909090912E-2</v>
      </c>
      <c r="CL300" s="4">
        <f>1/Base[[#This Row],['[Prod']'[Turnover']DMC_finale]]</f>
        <v>8.9820245442265148E-2</v>
      </c>
    </row>
    <row r="301" spans="2:90" x14ac:dyDescent="0.25">
      <c r="B301" s="4" t="s">
        <v>329</v>
      </c>
      <c r="C301">
        <v>15</v>
      </c>
      <c r="D301" t="s">
        <v>83</v>
      </c>
      <c r="E301" t="s">
        <v>5</v>
      </c>
      <c r="F301" s="3">
        <v>0.36</v>
      </c>
      <c r="G301" s="3">
        <v>6.593568911523901E-4</v>
      </c>
      <c r="H301" s="3">
        <v>6.593568911523901E-4</v>
      </c>
      <c r="I301" s="3">
        <v>0</v>
      </c>
      <c r="J301" s="3">
        <v>4.7304000000000004</v>
      </c>
      <c r="K301" s="3">
        <v>7.0000000000000007E-2</v>
      </c>
      <c r="L301" s="2">
        <f>Base[[#This Row],[Coût]]*Base[[#This Row],[Part_ménages_dépenses_santé]]</f>
        <v>0.33112800000000003</v>
      </c>
      <c r="M301" s="2">
        <v>1</v>
      </c>
      <c r="N301" s="6">
        <v>27700000</v>
      </c>
      <c r="O301" s="7">
        <f>Base[[#This Row],[Coût_salarié]]*10^9*Base[[#This Row],[Risque]]*Base[[#This Row],[Prévalence]]*Base[[#This Row],[Part_coûts_salarié]]/Base[[#This Row],[Population_emploi]]</f>
        <v>2.8375216720311594E-3</v>
      </c>
      <c r="P301">
        <v>50</v>
      </c>
      <c r="Q301">
        <v>50</v>
      </c>
      <c r="R301" s="2">
        <v>9.9999999999999978E-2</v>
      </c>
      <c r="S301" s="2">
        <v>0.33340000000000003</v>
      </c>
      <c r="T301" s="4">
        <v>6.593568911523901E-4</v>
      </c>
      <c r="U301" s="4">
        <f>IF(Bases_annexes!$F$5=0,16.6587111018772,0.77*Bases_annexes!$F$5/(IF(OR(ISBLANK('Données_d''entrée'!$E$44),'Données_d''entrée'!$E$44=0),35,'Données_d''entrée'!$E$44)*52))</f>
        <v>16.658711101877199</v>
      </c>
      <c r="V301" s="4">
        <v>45.453421187287603</v>
      </c>
      <c r="W3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301" s="4">
        <v>234.5</v>
      </c>
      <c r="Y301" s="4">
        <f>(Base[[#This Row],['[Maladies']Coûts_évités_par_salarié]]+Base[[#This Row],['[Travail']Coûts_évités_par_salarié]])/Base[[#This Row],[Budget_santé_salarié]]</f>
        <v>8.6732166151851293E-4</v>
      </c>
      <c r="Z301" s="4">
        <v>0.8</v>
      </c>
      <c r="AA301" s="4">
        <f>Base[[#This Row],[Coût]]*Base[[#This Row],[Part_société_dépenses_santé]]</f>
        <v>3.7843200000000006</v>
      </c>
      <c r="AB301" s="4">
        <v>67635124</v>
      </c>
      <c r="AC301" s="4">
        <v>82.297079063317852</v>
      </c>
      <c r="AD301" s="4">
        <v>6.593568911523901E-4</v>
      </c>
      <c r="AE301" s="4">
        <f>Base[[#This Row],['[SC']Prévalence_travail]]*Base[[#This Row],[Population_emploi]]</f>
        <v>18264.185884921208</v>
      </c>
      <c r="AF301" s="4">
        <f>Base[[#This Row],[Risque]]*Base[[#This Row],['[SC']Patients_en_emploi]]</f>
        <v>6575.1069185716342</v>
      </c>
      <c r="AG301" s="4">
        <v>60180000</v>
      </c>
      <c r="AH301" s="4">
        <f>IFERROR(Base[[#This Row],['[SC']Prestations]]/Base[[#This Row],['[SC']Patients_en_emploi]],0)</f>
        <v>3294.9730351619019</v>
      </c>
      <c r="AI301" s="4">
        <v>51.7</v>
      </c>
      <c r="AJ3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301" s="4">
        <f>Base[[#This Row],['[SC']'[Travail']Coûts_évités]]/Base[[#This Row],[Population_emploi]]</f>
        <v>0.78212274368231038</v>
      </c>
      <c r="AL301" s="4">
        <f>Base[[#This Row],[Coût_société]]*10^9*Base[[#This Row],[Risque]]*Base[[#This Row],[Prévalence]]*Base[[#This Row],[Part_coûts_salarié]]/Base[[#This Row],[Population_emploi]]</f>
        <v>3.2428819108927538E-2</v>
      </c>
      <c r="AM301" s="4">
        <f>IF(Base[[#This Row],[Pathologie]]&lt;&gt;"Dépendance",0,14909.24243952)</f>
        <v>0</v>
      </c>
      <c r="AN301" s="4">
        <f>IF(Base[[#This Row],[Pathologie]]&lt;&gt;"Dépendance",0,1316000)</f>
        <v>0</v>
      </c>
      <c r="AO301" s="4">
        <f>IF(Base[[#This Row],[Pathologie]]&lt;&gt;"Dépendance",0,Base[[#This Row],['[SC']Coût_personne_dépendante]]*Base[[#This Row],['[SC']Nb_personnes_dépendantes]])</f>
        <v>0</v>
      </c>
      <c r="AP301" s="4">
        <f>IF(Base[[#This Row],[Pathologie]]&lt;&gt;"Dépendance",0,Base[[#This Row],['[SC']Coût_total_dépendance]]/Base[[#This Row],[Population_totale]])</f>
        <v>0</v>
      </c>
      <c r="AQ301" s="4">
        <f>IF(Base[[#This Row],[Pathologie]]&lt;&gt;"Dépendance",0,4.5)</f>
        <v>0</v>
      </c>
      <c r="AR301" s="4">
        <v>0.83987615528424797</v>
      </c>
      <c r="AS301" s="4">
        <f>Base[[#This Row],[Espérance_vie]]+Base[[#This Row],['[SC']Hausse_esp_de_vie]]-Base[[#This Row],['[SC']Durée_moyenne_dépendance_avt]]+Base[[#This Row],[Risque]]</f>
        <v>83.496955218602096</v>
      </c>
      <c r="AT3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1" s="4">
        <v>62.9</v>
      </c>
      <c r="AW301" s="4">
        <f t="shared" si="0"/>
        <v>336905600000</v>
      </c>
      <c r="AX301" s="4">
        <v>15049171</v>
      </c>
      <c r="AY301" s="4">
        <f>Base[[#This Row],['[SC']Budget_total_retraites]]/Base[[#This Row],['[SC']Nombre_de_retraités]]</f>
        <v>22386.987296509556</v>
      </c>
      <c r="AZ301" s="4">
        <f>Base[[#This Row],['[SC']Budget_par_retraité]]*Base[[#This Row],['[SC']Nb_personnes_dépendantes]]</f>
        <v>0</v>
      </c>
      <c r="BA301" s="4">
        <f>Base[[#This Row],['[SC']'[Dépendance']Coût_retraite_personnes_dépendantes]]/Base[[#This Row],[Population_totale]]</f>
        <v>0</v>
      </c>
      <c r="BB30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1" s="4">
        <f>Base[[#This Row],['[SC']'[Dépendance']Gains]]-Base[[#This Row],['[SC']'[Dépendance']Coûts]]</f>
        <v>0</v>
      </c>
      <c r="BD301" s="4">
        <f>IF(Base[[#This Row],[Pathologie]]&lt;&gt;"Mort prématurée",0,Base[[#This Row],[Risque]]*Base[[#This Row],[Prévalence]]*Base[[#This Row],[Population_totale]])</f>
        <v>0</v>
      </c>
      <c r="BE301" s="4">
        <v>52.74</v>
      </c>
      <c r="BF301" s="4">
        <f>Base[[#This Row],['[SC']Âge_moyen_retraite]]-Base[[#This Row],['[SC']'[Mort_prématurée']Âge_moyen_mort précoce]]</f>
        <v>10.159999999999997</v>
      </c>
      <c r="BG301" s="4">
        <f>Base[[#This Row],[Espérance_vie]]+Base[[#This Row],['[SC']Hausse_esp_de_vie]]-Base[[#This Row],['[SC']Âge_moyen_retraite]]</f>
        <v>20.236955218602098</v>
      </c>
      <c r="BH301" s="4">
        <v>106583.42676924677</v>
      </c>
      <c r="BI301" s="4">
        <v>97601.789429271477</v>
      </c>
      <c r="BJ301" s="4">
        <v>302038.31496633729</v>
      </c>
      <c r="BK301" s="4">
        <v>117293.58934859755</v>
      </c>
      <c r="BL301" s="4">
        <v>1523999.9999999995</v>
      </c>
      <c r="BM3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1" s="4">
        <v>294804.96027377353</v>
      </c>
      <c r="BO3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1" s="4">
        <f>(Base[[#This Row],['[SC']'[Mort_prématurée']Gains]]-Base[[#This Row],['[SC']'[Mort_prématurée']Coûts]])/Base[[#This Row],[Population_totale]]</f>
        <v>0</v>
      </c>
      <c r="BQ301" s="4">
        <f>IF(Base[[#This Row],[Pathologie]]&lt;&gt;"Mort prématurée",0,Base[[#This Row],[Risque]])</f>
        <v>0</v>
      </c>
      <c r="BR301" s="4">
        <v>2680</v>
      </c>
      <c r="BS3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3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301" s="4">
        <f>Base[[#This Row],[Prévalence_prod]]*(1-Base[[#This Row],[Risque]])*Base[[#This Row],[Durée_arrêt]]*Base[[#This Row],[Population_emploi]]</f>
        <v>531308.62954895152</v>
      </c>
      <c r="BV301" s="4">
        <f>Base[[#This Row],['[Prod']'[Absentéisme']Total_jours_absence_avant]]-Base[[#This Row],['[Prod']'[Absentéisme']Total_jours_absence_après]]</f>
        <v>298861.10412128514</v>
      </c>
      <c r="BW301" s="4">
        <f>IF(AND(Base[[#This Row],[Pathologie]]&lt;&gt;"Dépendance",Base[[#This Row],[Pathologie]]&lt;&gt;"Mort prématurée",Base[[#This Row],[Pathologie]]&lt;&gt;"Migraine"),0.0619,0)</f>
        <v>6.1899999999999997E-2</v>
      </c>
      <c r="BX301" s="4">
        <v>254</v>
      </c>
      <c r="BY301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301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301" s="4">
        <f>Base[[#This Row],[Prévalence_prod]]*Base[[#This Row],[Présentéisme]]*Base[[#This Row],['[Prod']Jours_ouvrés]]</f>
        <v>0</v>
      </c>
      <c r="CB301" s="4">
        <f>Base[[#This Row],[Prévalence_prod]]*(1-Base[[#This Row],[Risque]])*Base[[#This Row],[Présentéisme]]*Base[[#This Row],['[Prod']Jours_ouvrés]]</f>
        <v>0</v>
      </c>
      <c r="CC301" s="4">
        <f>Base[[#This Row],['[Prod']'[Présentéisme']Jours_avant]]-Base[[#This Row],['[Prod']'[Présentéisme']Jours_après]]</f>
        <v>0</v>
      </c>
      <c r="CD301" s="4">
        <f>Base[[#This Row],['[Prod']'[Présentéisme']Jours_gagnés]]/Base[[#This Row],['[Prod']Jours_ouvrés]]</f>
        <v>0</v>
      </c>
      <c r="CE301">
        <v>7.5880726467531134E-2</v>
      </c>
      <c r="CF301">
        <v>1.989821358241517E-2</v>
      </c>
      <c r="CG301" s="4">
        <v>11</v>
      </c>
      <c r="CH301" s="4">
        <v>0.78414927716175975</v>
      </c>
      <c r="CI301" s="4">
        <v>0.12835819090128339</v>
      </c>
      <c r="CJ301" s="4">
        <f>IF(Base[[#This Row],[Secteur]]&lt;&gt;"Moyenne",Base[[#This Row],['[Prod']'[Turnover']DMC_initiale]]*(1+Base[[#This Row],['[Prod']'[Turnover']Ecart_accidents]]*Base[[#This Row],['[Prod']Impact_motifs_turnover]]),CJ284*CI284+CJ285*CI285+CJ286*CI286+CJ287*CI287+CJ288*CI288+CJ289*CI289+CJ290*CI290+CJ291*CI291+CJ292*CI292+CJ293*CI293+CJ294*CI294+CJ295*CI295+CJ296*CI296+CJ297*CI297+CJ298*CI298+CJ299*CI299+CJ300*CI300)</f>
        <v>11.171634867772074</v>
      </c>
      <c r="CK301" s="4">
        <f>1/Base[[#This Row],['[Prod']'[Turnover']DMC_initiale]]</f>
        <v>9.0909090909090912E-2</v>
      </c>
      <c r="CL301" s="4">
        <f>1/Base[[#This Row],['[Prod']'[Turnover']DMC_finale]]</f>
        <v>8.9512413521927708E-2</v>
      </c>
    </row>
    <row r="302" spans="2:90" x14ac:dyDescent="0.25">
      <c r="B302" s="4" t="s">
        <v>330</v>
      </c>
      <c r="C302">
        <v>15</v>
      </c>
      <c r="D302" t="s">
        <v>83</v>
      </c>
      <c r="E302" t="s">
        <v>5</v>
      </c>
      <c r="F302" s="3">
        <v>0.36</v>
      </c>
      <c r="G302" s="3">
        <v>6.593568911523901E-4</v>
      </c>
      <c r="H302" s="3">
        <v>6.593568911523901E-4</v>
      </c>
      <c r="I302" s="3">
        <v>0</v>
      </c>
      <c r="J302" s="3">
        <v>4.7304000000000004</v>
      </c>
      <c r="K302" s="3">
        <v>7.0000000000000007E-2</v>
      </c>
      <c r="L302" s="2">
        <f>Base[[#This Row],[Coût]]*Base[[#This Row],[Part_ménages_dépenses_santé]]</f>
        <v>0.33112800000000003</v>
      </c>
      <c r="M302" s="2">
        <v>1</v>
      </c>
      <c r="N302" s="6">
        <v>27700000</v>
      </c>
      <c r="O302" s="7">
        <f>Base[[#This Row],[Coût_salarié]]*10^9*Base[[#This Row],[Risque]]*Base[[#This Row],[Prévalence]]*Base[[#This Row],[Part_coûts_salarié]]/Base[[#This Row],[Population_emploi]]</f>
        <v>2.8375216720311594E-3</v>
      </c>
      <c r="P302">
        <v>50</v>
      </c>
      <c r="Q302">
        <v>50</v>
      </c>
      <c r="R302" s="2">
        <v>9.9999999999999978E-2</v>
      </c>
      <c r="S302" s="2">
        <v>0.33340000000000003</v>
      </c>
      <c r="T302" s="4">
        <v>6.593568911523901E-4</v>
      </c>
      <c r="U302" s="4">
        <f>IF(Bases_annexes!$F$5=0,16.6587111018772,0.77*Bases_annexes!$F$5/(IF(OR(ISBLANK('Données_d''entrée'!$E$44),'Données_d''entrée'!$E$44=0),35,'Données_d''entrée'!$E$44)*52))</f>
        <v>16.658711101877199</v>
      </c>
      <c r="V302" s="4">
        <v>45.453421187287603</v>
      </c>
      <c r="W3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302" s="4">
        <v>234.5</v>
      </c>
      <c r="Y302" s="4">
        <f>(Base[[#This Row],['[Maladies']Coûts_évités_par_salarié]]+Base[[#This Row],['[Travail']Coûts_évités_par_salarié]])/Base[[#This Row],[Budget_santé_salarié]]</f>
        <v>8.6732166151851293E-4</v>
      </c>
      <c r="Z302" s="4">
        <v>0.8</v>
      </c>
      <c r="AA302" s="4">
        <f>Base[[#This Row],[Coût]]*Base[[#This Row],[Part_société_dépenses_santé]]</f>
        <v>3.7843200000000006</v>
      </c>
      <c r="AB302" s="4">
        <v>67635124</v>
      </c>
      <c r="AC302" s="4">
        <v>82.297079063317852</v>
      </c>
      <c r="AD302" s="4">
        <v>6.593568911523901E-4</v>
      </c>
      <c r="AE302" s="4">
        <f>Base[[#This Row],['[SC']Prévalence_travail]]*Base[[#This Row],[Population_emploi]]</f>
        <v>18264.185884921208</v>
      </c>
      <c r="AF302" s="4">
        <f>Base[[#This Row],[Risque]]*Base[[#This Row],['[SC']Patients_en_emploi]]</f>
        <v>6575.1069185716342</v>
      </c>
      <c r="AG302" s="4">
        <v>60180000</v>
      </c>
      <c r="AH302" s="4">
        <f>IFERROR(Base[[#This Row],['[SC']Prestations]]/Base[[#This Row],['[SC']Patients_en_emploi]],0)</f>
        <v>3294.9730351619019</v>
      </c>
      <c r="AI302" s="4">
        <v>51.7</v>
      </c>
      <c r="AJ3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302" s="4">
        <f>Base[[#This Row],['[SC']'[Travail']Coûts_évités]]/Base[[#This Row],[Population_emploi]]</f>
        <v>0.78212274368231038</v>
      </c>
      <c r="AL302" s="4">
        <f>Base[[#This Row],[Coût_société]]*10^9*Base[[#This Row],[Risque]]*Base[[#This Row],[Prévalence]]*Base[[#This Row],[Part_coûts_salarié]]/Base[[#This Row],[Population_emploi]]</f>
        <v>3.2428819108927538E-2</v>
      </c>
      <c r="AM302" s="4">
        <f>IF(Base[[#This Row],[Pathologie]]&lt;&gt;"Dépendance",0,14909.24243952)</f>
        <v>0</v>
      </c>
      <c r="AN302" s="4">
        <f>IF(Base[[#This Row],[Pathologie]]&lt;&gt;"Dépendance",0,1316000)</f>
        <v>0</v>
      </c>
      <c r="AO302" s="4">
        <f>IF(Base[[#This Row],[Pathologie]]&lt;&gt;"Dépendance",0,Base[[#This Row],['[SC']Coût_personne_dépendante]]*Base[[#This Row],['[SC']Nb_personnes_dépendantes]])</f>
        <v>0</v>
      </c>
      <c r="AP302" s="4">
        <f>IF(Base[[#This Row],[Pathologie]]&lt;&gt;"Dépendance",0,Base[[#This Row],['[SC']Coût_total_dépendance]]/Base[[#This Row],[Population_totale]])</f>
        <v>0</v>
      </c>
      <c r="AQ302" s="4">
        <f>IF(Base[[#This Row],[Pathologie]]&lt;&gt;"Dépendance",0,4.5)</f>
        <v>0</v>
      </c>
      <c r="AR302" s="4">
        <v>0.83987615528424797</v>
      </c>
      <c r="AS302" s="4">
        <f>Base[[#This Row],[Espérance_vie]]+Base[[#This Row],['[SC']Hausse_esp_de_vie]]-Base[[#This Row],['[SC']Durée_moyenne_dépendance_avt]]+Base[[#This Row],[Risque]]</f>
        <v>83.496955218602096</v>
      </c>
      <c r="AT3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2" s="4">
        <v>62.9</v>
      </c>
      <c r="AW302" s="4">
        <f t="shared" si="0"/>
        <v>336905600000</v>
      </c>
      <c r="AX302" s="4">
        <v>15049171</v>
      </c>
      <c r="AY302" s="4">
        <f>Base[[#This Row],['[SC']Budget_total_retraites]]/Base[[#This Row],['[SC']Nombre_de_retraités]]</f>
        <v>22386.987296509556</v>
      </c>
      <c r="AZ302" s="4">
        <f>Base[[#This Row],['[SC']Budget_par_retraité]]*Base[[#This Row],['[SC']Nb_personnes_dépendantes]]</f>
        <v>0</v>
      </c>
      <c r="BA302" s="4">
        <f>Base[[#This Row],['[SC']'[Dépendance']Coût_retraite_personnes_dépendantes]]/Base[[#This Row],[Population_totale]]</f>
        <v>0</v>
      </c>
      <c r="BB30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2" s="4">
        <f>Base[[#This Row],['[SC']'[Dépendance']Gains]]-Base[[#This Row],['[SC']'[Dépendance']Coûts]]</f>
        <v>0</v>
      </c>
      <c r="BD302" s="4">
        <f>IF(Base[[#This Row],[Pathologie]]&lt;&gt;"Mort prématurée",0,Base[[#This Row],[Risque]]*Base[[#This Row],[Prévalence]]*Base[[#This Row],[Population_totale]])</f>
        <v>0</v>
      </c>
      <c r="BE302" s="4">
        <v>52.74</v>
      </c>
      <c r="BF302" s="4">
        <f>Base[[#This Row],['[SC']Âge_moyen_retraite]]-Base[[#This Row],['[SC']'[Mort_prématurée']Âge_moyen_mort précoce]]</f>
        <v>10.159999999999997</v>
      </c>
      <c r="BG302" s="4">
        <f>Base[[#This Row],[Espérance_vie]]+Base[[#This Row],['[SC']Hausse_esp_de_vie]]-Base[[#This Row],['[SC']Âge_moyen_retraite]]</f>
        <v>20.236955218602098</v>
      </c>
      <c r="BH302" s="4">
        <v>106583.42676924677</v>
      </c>
      <c r="BI302" s="4">
        <v>97601.789429271477</v>
      </c>
      <c r="BJ302" s="4">
        <v>302038.31496633729</v>
      </c>
      <c r="BK302" s="4">
        <v>117293.58934859755</v>
      </c>
      <c r="BL302" s="4">
        <v>1523999.9999999995</v>
      </c>
      <c r="BM3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2" s="4">
        <v>294804.96027377353</v>
      </c>
      <c r="BO3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2" s="4">
        <f>(Base[[#This Row],['[SC']'[Mort_prématurée']Gains]]-Base[[#This Row],['[SC']'[Mort_prématurée']Coûts]])/Base[[#This Row],[Population_totale]]</f>
        <v>0</v>
      </c>
      <c r="BQ302" s="4">
        <f>IF(Base[[#This Row],[Pathologie]]&lt;&gt;"Mort prématurée",0,Base[[#This Row],[Risque]])</f>
        <v>0</v>
      </c>
      <c r="BR302" s="4">
        <v>2680</v>
      </c>
      <c r="BS3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3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302" s="4">
        <f>Base[[#This Row],[Prévalence_prod]]*(1-Base[[#This Row],[Risque]])*Base[[#This Row],[Durée_arrêt]]*Base[[#This Row],[Population_emploi]]</f>
        <v>531308.62954895152</v>
      </c>
      <c r="BV302" s="4">
        <f>Base[[#This Row],['[Prod']'[Absentéisme']Total_jours_absence_avant]]-Base[[#This Row],['[Prod']'[Absentéisme']Total_jours_absence_après]]</f>
        <v>298861.10412128514</v>
      </c>
      <c r="BW302" s="4">
        <f>IF(AND(Base[[#This Row],[Pathologie]]&lt;&gt;"Dépendance",Base[[#This Row],[Pathologie]]&lt;&gt;"Mort prématurée",Base[[#This Row],[Pathologie]]&lt;&gt;"Migraine"),0.0619,0)</f>
        <v>6.1899999999999997E-2</v>
      </c>
      <c r="BX302" s="4">
        <v>254</v>
      </c>
      <c r="BY302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302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302" s="4">
        <f>Base[[#This Row],[Prévalence_prod]]*Base[[#This Row],[Présentéisme]]*Base[[#This Row],['[Prod']Jours_ouvrés]]</f>
        <v>0</v>
      </c>
      <c r="CB302" s="4">
        <f>Base[[#This Row],[Prévalence_prod]]*(1-Base[[#This Row],[Risque]])*Base[[#This Row],[Présentéisme]]*Base[[#This Row],['[Prod']Jours_ouvrés]]</f>
        <v>0</v>
      </c>
      <c r="CC302" s="4">
        <f>Base[[#This Row],['[Prod']'[Présentéisme']Jours_avant]]-Base[[#This Row],['[Prod']'[Présentéisme']Jours_après]]</f>
        <v>0</v>
      </c>
      <c r="CD302" s="4">
        <f>Base[[#This Row],['[Prod']'[Présentéisme']Jours_gagnés]]/Base[[#This Row],['[Prod']Jours_ouvrés]]</f>
        <v>0</v>
      </c>
      <c r="CE302">
        <v>7.5880726467531134E-2</v>
      </c>
      <c r="CF302">
        <v>1.989821358241517E-2</v>
      </c>
      <c r="CG302" s="4">
        <v>11</v>
      </c>
      <c r="CH302" s="4">
        <v>0.99648427619813984</v>
      </c>
      <c r="CI302" s="4">
        <v>0.42377466100567313</v>
      </c>
      <c r="CJ302" s="4">
        <f>IF(Base[[#This Row],[Secteur]]&lt;&gt;"Moyenne",Base[[#This Row],['[Prod']'[Turnover']DMC_initiale]]*(1+Base[[#This Row],['[Prod']'[Turnover']Ecart_accidents]]*Base[[#This Row],['[Prod']Impact_motifs_turnover]]),CJ285*CI285+CJ286*CI286+CJ287*CI287+CJ288*CI288+CJ289*CI289+CJ290*CI290+CJ291*CI291+CJ292*CI292+CJ293*CI293+CJ294*CI294+CJ295*CI295+CJ296*CI296+CJ297*CI297+CJ298*CI298+CJ299*CI299+CJ300*CI300+CJ301*CI301)</f>
        <v>11.218110826552397</v>
      </c>
      <c r="CK302" s="4">
        <f>1/Base[[#This Row],['[Prod']'[Turnover']DMC_initiale]]</f>
        <v>9.0909090909090912E-2</v>
      </c>
      <c r="CL302" s="4">
        <f>1/Base[[#This Row],['[Prod']'[Turnover']DMC_finale]]</f>
        <v>8.9141568973723953E-2</v>
      </c>
    </row>
    <row r="303" spans="2:90" x14ac:dyDescent="0.25">
      <c r="B303" s="4" t="s">
        <v>331</v>
      </c>
      <c r="C303">
        <v>15</v>
      </c>
      <c r="D303" t="s">
        <v>83</v>
      </c>
      <c r="E303" t="s">
        <v>5</v>
      </c>
      <c r="F303" s="3">
        <v>0.36</v>
      </c>
      <c r="G303" s="3">
        <v>6.593568911523901E-4</v>
      </c>
      <c r="H303" s="3">
        <v>6.593568911523901E-4</v>
      </c>
      <c r="I303" s="3">
        <v>0</v>
      </c>
      <c r="J303" s="3">
        <v>4.7304000000000004</v>
      </c>
      <c r="K303" s="3">
        <v>7.0000000000000007E-2</v>
      </c>
      <c r="L303" s="2">
        <f>Base[[#This Row],[Coût]]*Base[[#This Row],[Part_ménages_dépenses_santé]]</f>
        <v>0.33112800000000003</v>
      </c>
      <c r="M303" s="2">
        <v>1</v>
      </c>
      <c r="N303" s="6">
        <v>27700000</v>
      </c>
      <c r="O303" s="7">
        <f>Base[[#This Row],[Coût_salarié]]*10^9*Base[[#This Row],[Risque]]*Base[[#This Row],[Prévalence]]*Base[[#This Row],[Part_coûts_salarié]]/Base[[#This Row],[Population_emploi]]</f>
        <v>2.8375216720311594E-3</v>
      </c>
      <c r="P303">
        <v>50</v>
      </c>
      <c r="Q303">
        <v>50</v>
      </c>
      <c r="R303" s="2">
        <v>9.9999999999999978E-2</v>
      </c>
      <c r="S303" s="2">
        <v>0.33340000000000003</v>
      </c>
      <c r="T303" s="4">
        <v>6.593568911523901E-4</v>
      </c>
      <c r="U303" s="4">
        <f>IF(Bases_annexes!$F$5=0,16.6587111018772,0.77*Bases_annexes!$F$5/(IF(OR(ISBLANK('Données_d''entrée'!$E$44),'Données_d''entrée'!$E$44=0),35,'Données_d''entrée'!$E$44)*52))</f>
        <v>16.658711101877199</v>
      </c>
      <c r="V303" s="4">
        <v>45.453421187287603</v>
      </c>
      <c r="W3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303" s="4">
        <v>234.5</v>
      </c>
      <c r="Y303" s="4">
        <f>(Base[[#This Row],['[Maladies']Coûts_évités_par_salarié]]+Base[[#This Row],['[Travail']Coûts_évités_par_salarié]])/Base[[#This Row],[Budget_santé_salarié]]</f>
        <v>8.6732166151851293E-4</v>
      </c>
      <c r="Z303" s="4">
        <v>0.8</v>
      </c>
      <c r="AA303" s="4">
        <f>Base[[#This Row],[Coût]]*Base[[#This Row],[Part_société_dépenses_santé]]</f>
        <v>3.7843200000000006</v>
      </c>
      <c r="AB303" s="4">
        <v>67635124</v>
      </c>
      <c r="AC303" s="4">
        <v>82.297079063317852</v>
      </c>
      <c r="AD303" s="4">
        <v>6.593568911523901E-4</v>
      </c>
      <c r="AE303" s="4">
        <f>Base[[#This Row],['[SC']Prévalence_travail]]*Base[[#This Row],[Population_emploi]]</f>
        <v>18264.185884921208</v>
      </c>
      <c r="AF303" s="4">
        <f>Base[[#This Row],[Risque]]*Base[[#This Row],['[SC']Patients_en_emploi]]</f>
        <v>6575.1069185716342</v>
      </c>
      <c r="AG303" s="4">
        <v>60180000</v>
      </c>
      <c r="AH303" s="4">
        <f>IFERROR(Base[[#This Row],['[SC']Prestations]]/Base[[#This Row],['[SC']Patients_en_emploi]],0)</f>
        <v>3294.9730351619019</v>
      </c>
      <c r="AI303" s="4">
        <v>51.7</v>
      </c>
      <c r="AJ3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303" s="4">
        <f>Base[[#This Row],['[SC']'[Travail']Coûts_évités]]/Base[[#This Row],[Population_emploi]]</f>
        <v>0.78212274368231038</v>
      </c>
      <c r="AL303" s="4">
        <f>Base[[#This Row],[Coût_société]]*10^9*Base[[#This Row],[Risque]]*Base[[#This Row],[Prévalence]]*Base[[#This Row],[Part_coûts_salarié]]/Base[[#This Row],[Population_emploi]]</f>
        <v>3.2428819108927538E-2</v>
      </c>
      <c r="AM303" s="4">
        <f>IF(Base[[#This Row],[Pathologie]]&lt;&gt;"Dépendance",0,14909.24243952)</f>
        <v>0</v>
      </c>
      <c r="AN303" s="4">
        <f>IF(Base[[#This Row],[Pathologie]]&lt;&gt;"Dépendance",0,1316000)</f>
        <v>0</v>
      </c>
      <c r="AO303" s="4">
        <f>IF(Base[[#This Row],[Pathologie]]&lt;&gt;"Dépendance",0,Base[[#This Row],['[SC']Coût_personne_dépendante]]*Base[[#This Row],['[SC']Nb_personnes_dépendantes]])</f>
        <v>0</v>
      </c>
      <c r="AP303" s="4">
        <f>IF(Base[[#This Row],[Pathologie]]&lt;&gt;"Dépendance",0,Base[[#This Row],['[SC']Coût_total_dépendance]]/Base[[#This Row],[Population_totale]])</f>
        <v>0</v>
      </c>
      <c r="AQ303" s="4">
        <f>IF(Base[[#This Row],[Pathologie]]&lt;&gt;"Dépendance",0,4.5)</f>
        <v>0</v>
      </c>
      <c r="AR303" s="4">
        <v>0.83987615528424797</v>
      </c>
      <c r="AS303" s="4">
        <f>Base[[#This Row],[Espérance_vie]]+Base[[#This Row],['[SC']Hausse_esp_de_vie]]-Base[[#This Row],['[SC']Durée_moyenne_dépendance_avt]]+Base[[#This Row],[Risque]]</f>
        <v>83.496955218602096</v>
      </c>
      <c r="AT3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3" s="4">
        <v>62.9</v>
      </c>
      <c r="AW303" s="4">
        <f t="shared" si="0"/>
        <v>336905600000</v>
      </c>
      <c r="AX303" s="4">
        <v>15049171</v>
      </c>
      <c r="AY303" s="4">
        <f>Base[[#This Row],['[SC']Budget_total_retraites]]/Base[[#This Row],['[SC']Nombre_de_retraités]]</f>
        <v>22386.987296509556</v>
      </c>
      <c r="AZ303" s="4">
        <f>Base[[#This Row],['[SC']Budget_par_retraité]]*Base[[#This Row],['[SC']Nb_personnes_dépendantes]]</f>
        <v>0</v>
      </c>
      <c r="BA303" s="4">
        <f>Base[[#This Row],['[SC']'[Dépendance']Coût_retraite_personnes_dépendantes]]/Base[[#This Row],[Population_totale]]</f>
        <v>0</v>
      </c>
      <c r="BB30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3" s="4">
        <f>Base[[#This Row],['[SC']'[Dépendance']Gains]]-Base[[#This Row],['[SC']'[Dépendance']Coûts]]</f>
        <v>0</v>
      </c>
      <c r="BD303" s="4">
        <f>IF(Base[[#This Row],[Pathologie]]&lt;&gt;"Mort prématurée",0,Base[[#This Row],[Risque]]*Base[[#This Row],[Prévalence]]*Base[[#This Row],[Population_totale]])</f>
        <v>0</v>
      </c>
      <c r="BE303" s="4">
        <v>52.74</v>
      </c>
      <c r="BF303" s="4">
        <f>Base[[#This Row],['[SC']Âge_moyen_retraite]]-Base[[#This Row],['[SC']'[Mort_prématurée']Âge_moyen_mort précoce]]</f>
        <v>10.159999999999997</v>
      </c>
      <c r="BG303" s="4">
        <f>Base[[#This Row],[Espérance_vie]]+Base[[#This Row],['[SC']Hausse_esp_de_vie]]-Base[[#This Row],['[SC']Âge_moyen_retraite]]</f>
        <v>20.236955218602098</v>
      </c>
      <c r="BH303" s="4">
        <v>106583.42676924677</v>
      </c>
      <c r="BI303" s="4">
        <v>97601.789429271477</v>
      </c>
      <c r="BJ303" s="4">
        <v>302038.31496633729</v>
      </c>
      <c r="BK303" s="4">
        <v>117293.58934859755</v>
      </c>
      <c r="BL303" s="4">
        <v>1523999.9999999995</v>
      </c>
      <c r="BM3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3" s="4">
        <v>294804.96027377353</v>
      </c>
      <c r="BO3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3" s="4">
        <f>(Base[[#This Row],['[SC']'[Mort_prématurée']Gains]]-Base[[#This Row],['[SC']'[Mort_prématurée']Coûts]])/Base[[#This Row],[Population_totale]]</f>
        <v>0</v>
      </c>
      <c r="BQ303" s="4">
        <f>IF(Base[[#This Row],[Pathologie]]&lt;&gt;"Mort prématurée",0,Base[[#This Row],[Risque]])</f>
        <v>0</v>
      </c>
      <c r="BR303" s="4">
        <v>2680</v>
      </c>
      <c r="BS3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3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303" s="4">
        <f>Base[[#This Row],[Prévalence_prod]]*(1-Base[[#This Row],[Risque]])*Base[[#This Row],[Durée_arrêt]]*Base[[#This Row],[Population_emploi]]</f>
        <v>531308.62954895152</v>
      </c>
      <c r="BV303" s="4">
        <f>Base[[#This Row],['[Prod']'[Absentéisme']Total_jours_absence_avant]]-Base[[#This Row],['[Prod']'[Absentéisme']Total_jours_absence_après]]</f>
        <v>298861.10412128514</v>
      </c>
      <c r="BW303" s="4">
        <f>IF(AND(Base[[#This Row],[Pathologie]]&lt;&gt;"Dépendance",Base[[#This Row],[Pathologie]]&lt;&gt;"Mort prématurée",Base[[#This Row],[Pathologie]]&lt;&gt;"Migraine"),0.0619,0)</f>
        <v>6.1899999999999997E-2</v>
      </c>
      <c r="BX303" s="4">
        <v>254</v>
      </c>
      <c r="BY30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303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303" s="4">
        <f>Base[[#This Row],[Prévalence_prod]]*Base[[#This Row],[Présentéisme]]*Base[[#This Row],['[Prod']Jours_ouvrés]]</f>
        <v>0</v>
      </c>
      <c r="CB303" s="4">
        <f>Base[[#This Row],[Prévalence_prod]]*(1-Base[[#This Row],[Risque]])*Base[[#This Row],[Présentéisme]]*Base[[#This Row],['[Prod']Jours_ouvrés]]</f>
        <v>0</v>
      </c>
      <c r="CC303" s="4">
        <f>Base[[#This Row],['[Prod']'[Présentéisme']Jours_avant]]-Base[[#This Row],['[Prod']'[Présentéisme']Jours_après]]</f>
        <v>0</v>
      </c>
      <c r="CD303" s="4">
        <f>Base[[#This Row],['[Prod']'[Présentéisme']Jours_gagnés]]/Base[[#This Row],['[Prod']Jours_ouvrés]]</f>
        <v>0</v>
      </c>
      <c r="CE303">
        <v>7.5880726467531134E-2</v>
      </c>
      <c r="CF303">
        <v>1.989821358241517E-2</v>
      </c>
      <c r="CG303" s="4">
        <v>11</v>
      </c>
      <c r="CH303" s="4">
        <v>1.1593596509901765</v>
      </c>
      <c r="CI303" s="4">
        <v>4.0741311947357597E-2</v>
      </c>
      <c r="CJ303" s="4">
        <f>IF(Base[[#This Row],[Secteur]]&lt;&gt;"Moyenne",Base[[#This Row],['[Prod']'[Turnover']DMC_initiale]]*(1+Base[[#This Row],['[Prod']'[Turnover']Ecart_accidents]]*Base[[#This Row],['[Prod']Impact_motifs_turnover]]),CJ286*CI286+CJ287*CI287+CJ288*CI288+CJ289*CI289+CJ290*CI290+CJ291*CI291+CJ292*CI292+CJ293*CI293+CJ294*CI294+CJ295*CI295+CJ296*CI296+CJ297*CI297+CJ298*CI298+CJ299*CI299+CJ300*CI300+CJ301*CI301+CJ302*CI302)</f>
        <v>11.253761045496606</v>
      </c>
      <c r="CK303" s="4">
        <f>1/Base[[#This Row],['[Prod']'[Turnover']DMC_initiale]]</f>
        <v>9.0909090909090912E-2</v>
      </c>
      <c r="CL303" s="4">
        <f>1/Base[[#This Row],['[Prod']'[Turnover']DMC_finale]]</f>
        <v>8.8859181917690336E-2</v>
      </c>
    </row>
    <row r="304" spans="2:90" x14ac:dyDescent="0.25">
      <c r="B304" s="4" t="s">
        <v>332</v>
      </c>
      <c r="C304">
        <v>15</v>
      </c>
      <c r="D304" t="s">
        <v>83</v>
      </c>
      <c r="E304" t="s">
        <v>5</v>
      </c>
      <c r="F304" s="3">
        <v>0.36</v>
      </c>
      <c r="G304" s="3">
        <v>6.593568911523901E-4</v>
      </c>
      <c r="H304" s="3">
        <v>6.593568911523901E-4</v>
      </c>
      <c r="I304" s="3">
        <v>0</v>
      </c>
      <c r="J304" s="3">
        <v>4.7304000000000004</v>
      </c>
      <c r="K304" s="3">
        <v>7.0000000000000007E-2</v>
      </c>
      <c r="L304" s="2">
        <f>Base[[#This Row],[Coût]]*Base[[#This Row],[Part_ménages_dépenses_santé]]</f>
        <v>0.33112800000000003</v>
      </c>
      <c r="M304" s="2">
        <v>1</v>
      </c>
      <c r="N304" s="6">
        <v>27700000</v>
      </c>
      <c r="O304" s="7">
        <f>Base[[#This Row],[Coût_salarié]]*10^9*Base[[#This Row],[Risque]]*Base[[#This Row],[Prévalence]]*Base[[#This Row],[Part_coûts_salarié]]/Base[[#This Row],[Population_emploi]]</f>
        <v>2.8375216720311594E-3</v>
      </c>
      <c r="P304">
        <v>50</v>
      </c>
      <c r="Q304">
        <v>50</v>
      </c>
      <c r="R304" s="2">
        <v>9.9999999999999978E-2</v>
      </c>
      <c r="S304" s="2">
        <v>0.33340000000000003</v>
      </c>
      <c r="T304" s="4">
        <v>6.593568911523901E-4</v>
      </c>
      <c r="U304" s="4">
        <f>IF(Bases_annexes!$F$5=0,16.6587111018772,0.77*Bases_annexes!$F$5/(IF(OR(ISBLANK('Données_d''entrée'!$E$44),'Données_d''entrée'!$E$44=0),35,'Données_d''entrée'!$E$44)*52))</f>
        <v>16.658711101877199</v>
      </c>
      <c r="V304" s="4">
        <v>45.453421187287603</v>
      </c>
      <c r="W3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0.20054940795406012</v>
      </c>
      <c r="X304" s="4">
        <v>234.5</v>
      </c>
      <c r="Y304" s="4">
        <f>(Base[[#This Row],['[Maladies']Coûts_évités_par_salarié]]+Base[[#This Row],['[Travail']Coûts_évités_par_salarié]])/Base[[#This Row],[Budget_santé_salarié]]</f>
        <v>8.6732166151851293E-4</v>
      </c>
      <c r="Z304" s="4">
        <v>0.8</v>
      </c>
      <c r="AA304" s="4">
        <f>Base[[#This Row],[Coût]]*Base[[#This Row],[Part_société_dépenses_santé]]</f>
        <v>3.7843200000000006</v>
      </c>
      <c r="AB304" s="4">
        <v>67635124</v>
      </c>
      <c r="AC304" s="4">
        <v>82.297079063317852</v>
      </c>
      <c r="AD304" s="4">
        <v>6.593568911523901E-4</v>
      </c>
      <c r="AE304" s="4">
        <f>Base[[#This Row],['[SC']Prévalence_travail]]*Base[[#This Row],[Population_emploi]]</f>
        <v>18264.185884921208</v>
      </c>
      <c r="AF304" s="4">
        <f>Base[[#This Row],[Risque]]*Base[[#This Row],['[SC']Patients_en_emploi]]</f>
        <v>6575.1069185716342</v>
      </c>
      <c r="AG304" s="4">
        <v>60180000</v>
      </c>
      <c r="AH304" s="4">
        <f>IFERROR(Base[[#This Row],['[SC']Prestations]]/Base[[#This Row],['[SC']Patients_en_emploi]],0)</f>
        <v>3294.9730351619019</v>
      </c>
      <c r="AI304" s="4">
        <v>51.7</v>
      </c>
      <c r="AJ3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21664799.999999996</v>
      </c>
      <c r="AK304" s="4">
        <f>Base[[#This Row],['[SC']'[Travail']Coûts_évités]]/Base[[#This Row],[Population_emploi]]</f>
        <v>0.78212274368231038</v>
      </c>
      <c r="AL304" s="4">
        <f>Base[[#This Row],[Coût_société]]*10^9*Base[[#This Row],[Risque]]*Base[[#This Row],[Prévalence]]*Base[[#This Row],[Part_coûts_salarié]]/Base[[#This Row],[Population_emploi]]</f>
        <v>3.2428819108927538E-2</v>
      </c>
      <c r="AM304" s="4">
        <f>IF(Base[[#This Row],[Pathologie]]&lt;&gt;"Dépendance",0,14909.24243952)</f>
        <v>0</v>
      </c>
      <c r="AN304" s="4">
        <f>IF(Base[[#This Row],[Pathologie]]&lt;&gt;"Dépendance",0,1316000)</f>
        <v>0</v>
      </c>
      <c r="AO304" s="4">
        <f>IF(Base[[#This Row],[Pathologie]]&lt;&gt;"Dépendance",0,Base[[#This Row],['[SC']Coût_personne_dépendante]]*Base[[#This Row],['[SC']Nb_personnes_dépendantes]])</f>
        <v>0</v>
      </c>
      <c r="AP304" s="4">
        <f>IF(Base[[#This Row],[Pathologie]]&lt;&gt;"Dépendance",0,Base[[#This Row],['[SC']Coût_total_dépendance]]/Base[[#This Row],[Population_totale]])</f>
        <v>0</v>
      </c>
      <c r="AQ304" s="4">
        <f>IF(Base[[#This Row],[Pathologie]]&lt;&gt;"Dépendance",0,4.5)</f>
        <v>0</v>
      </c>
      <c r="AR304" s="4">
        <v>0.83987615528424797</v>
      </c>
      <c r="AS304" s="4">
        <f>Base[[#This Row],[Espérance_vie]]+Base[[#This Row],['[SC']Hausse_esp_de_vie]]-Base[[#This Row],['[SC']Durée_moyenne_dépendance_avt]]+Base[[#This Row],[Risque]]</f>
        <v>83.496955218602096</v>
      </c>
      <c r="AT3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4" s="4">
        <v>62.9</v>
      </c>
      <c r="AW304" s="4">
        <f t="shared" si="0"/>
        <v>336905600000</v>
      </c>
      <c r="AX304" s="4">
        <v>15049171</v>
      </c>
      <c r="AY304" s="4">
        <f>Base[[#This Row],['[SC']Budget_total_retraites]]/Base[[#This Row],['[SC']Nombre_de_retraités]]</f>
        <v>22386.987296509556</v>
      </c>
      <c r="AZ304" s="4">
        <f>Base[[#This Row],['[SC']Budget_par_retraité]]*Base[[#This Row],['[SC']Nb_personnes_dépendantes]]</f>
        <v>0</v>
      </c>
      <c r="BA304" s="4">
        <f>Base[[#This Row],['[SC']'[Dépendance']Coût_retraite_personnes_dépendantes]]/Base[[#This Row],[Population_totale]]</f>
        <v>0</v>
      </c>
      <c r="BB30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4" s="4">
        <f>Base[[#This Row],['[SC']'[Dépendance']Gains]]-Base[[#This Row],['[SC']'[Dépendance']Coûts]]</f>
        <v>0</v>
      </c>
      <c r="BD304" s="4">
        <f>IF(Base[[#This Row],[Pathologie]]&lt;&gt;"Mort prématurée",0,Base[[#This Row],[Risque]]*Base[[#This Row],[Prévalence]]*Base[[#This Row],[Population_totale]])</f>
        <v>0</v>
      </c>
      <c r="BE304" s="4">
        <v>52.74</v>
      </c>
      <c r="BF304" s="4">
        <f>Base[[#This Row],['[SC']Âge_moyen_retraite]]-Base[[#This Row],['[SC']'[Mort_prématurée']Âge_moyen_mort précoce]]</f>
        <v>10.159999999999997</v>
      </c>
      <c r="BG304" s="4">
        <f>Base[[#This Row],[Espérance_vie]]+Base[[#This Row],['[SC']Hausse_esp_de_vie]]-Base[[#This Row],['[SC']Âge_moyen_retraite]]</f>
        <v>20.236955218602098</v>
      </c>
      <c r="BH304" s="4">
        <v>106583.42676924677</v>
      </c>
      <c r="BI304" s="4">
        <v>97601.789429271477</v>
      </c>
      <c r="BJ304" s="4">
        <v>302038.31496633729</v>
      </c>
      <c r="BK304" s="4">
        <v>117293.58934859755</v>
      </c>
      <c r="BL304" s="4">
        <v>1523999.9999999995</v>
      </c>
      <c r="BM3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4" s="4">
        <v>294804.96027377353</v>
      </c>
      <c r="BO3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4" s="4">
        <f>(Base[[#This Row],['[SC']'[Mort_prématurée']Gains]]-Base[[#This Row],['[SC']'[Mort_prématurée']Coûts]])/Base[[#This Row],[Population_totale]]</f>
        <v>0</v>
      </c>
      <c r="BQ304" s="4">
        <f>IF(Base[[#This Row],[Pathologie]]&lt;&gt;"Mort prématurée",0,Base[[#This Row],[Risque]])</f>
        <v>0</v>
      </c>
      <c r="BR304" s="4">
        <v>2680</v>
      </c>
      <c r="BS3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3.0393715029523806E-4</v>
      </c>
      <c r="BT3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304" s="4">
        <f>Base[[#This Row],[Prévalence_prod]]*(1-Base[[#This Row],[Risque]])*Base[[#This Row],[Durée_arrêt]]*Base[[#This Row],[Population_emploi]]</f>
        <v>531308.62954895152</v>
      </c>
      <c r="BV304" s="4">
        <f>Base[[#This Row],['[Prod']'[Absentéisme']Total_jours_absence_avant]]-Base[[#This Row],['[Prod']'[Absentéisme']Total_jours_absence_après]]</f>
        <v>298861.10412128514</v>
      </c>
      <c r="BW304" s="4">
        <f>IF(AND(Base[[#This Row],[Pathologie]]&lt;&gt;"Dépendance",Base[[#This Row],[Pathologie]]&lt;&gt;"Mort prématurée",Base[[#This Row],[Pathologie]]&lt;&gt;"Migraine"),0.0619,0)</f>
        <v>6.1899999999999997E-2</v>
      </c>
      <c r="BX304" s="4">
        <v>254</v>
      </c>
      <c r="BY30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304" s="4">
        <f>(Base[[#This Row],['[Prod']'[Absentéisme']Jours_théoriques]]-Base[[#This Row],['[Prod']'[Absentéisme']Total_jours_absence_évités]])/(Base[[#This Row],[Population_emploi]]*Base[[#This Row],['[Prod']Jours_ouvrés]])</f>
        <v>2.010065159610426E-4</v>
      </c>
      <c r="CA304" s="4">
        <f>Base[[#This Row],[Prévalence_prod]]*Base[[#This Row],[Présentéisme]]*Base[[#This Row],['[Prod']Jours_ouvrés]]</f>
        <v>0</v>
      </c>
      <c r="CB304" s="4">
        <f>Base[[#This Row],[Prévalence_prod]]*(1-Base[[#This Row],[Risque]])*Base[[#This Row],[Présentéisme]]*Base[[#This Row],['[Prod']Jours_ouvrés]]</f>
        <v>0</v>
      </c>
      <c r="CC304" s="4">
        <f>Base[[#This Row],['[Prod']'[Présentéisme']Jours_avant]]-Base[[#This Row],['[Prod']'[Présentéisme']Jours_après]]</f>
        <v>0</v>
      </c>
      <c r="CD304" s="4">
        <f>Base[[#This Row],['[Prod']'[Présentéisme']Jours_gagnés]]/Base[[#This Row],['[Prod']Jours_ouvrés]]</f>
        <v>0</v>
      </c>
      <c r="CE304">
        <v>7.5880726467531134E-2</v>
      </c>
      <c r="CF304">
        <v>1.989821358241517E-2</v>
      </c>
      <c r="CG304" s="4">
        <v>11</v>
      </c>
      <c r="CH304" s="4">
        <v>0.85076983926913452</v>
      </c>
      <c r="CI304" s="4">
        <v>0</v>
      </c>
      <c r="CJ304" s="4">
        <f>IF(Base[[#This Row],[Secteur]]&lt;&gt;"Moyenne",Base[[#This Row],['[Prod']'[Turnover']DMC_initiale]]*(1+Base[[#This Row],['[Prod']'[Turnover']Ecart_accidents]]*Base[[#This Row],['[Prod']Impact_motifs_turnover]]),CJ287*CI287+CJ288*CI288+CJ289*CI289+CJ290*CI290+CJ291*CI291+CJ292*CI292+CJ293*CI293+CJ294*CI294+CJ295*CI295+CJ296*CI296+CJ297*CI297+CJ298*CI298+CJ299*CI299+CJ300*CI300+CJ301*CI301+CJ302*CI302+CJ303*CI303)</f>
        <v>11.186216799683796</v>
      </c>
      <c r="CK304" s="4">
        <f>1/Base[[#This Row],['[Prod']'[Turnover']DMC_initiale]]</f>
        <v>9.0909090909090912E-2</v>
      </c>
      <c r="CL304" s="4">
        <f>1/Base[[#This Row],['[Prod']'[Turnover']DMC_finale]]</f>
        <v>8.9395728502979416E-2</v>
      </c>
    </row>
    <row r="305" spans="2:90" x14ac:dyDescent="0.25">
      <c r="B305" s="4" t="s">
        <v>315</v>
      </c>
      <c r="C305">
        <v>15</v>
      </c>
      <c r="D305" t="s">
        <v>83</v>
      </c>
      <c r="E305" t="s">
        <v>6</v>
      </c>
      <c r="F305" s="3">
        <v>0.1995745319487322</v>
      </c>
      <c r="G305" s="3">
        <v>8.741584028593305E-3</v>
      </c>
      <c r="H305" s="3">
        <v>8.741584028593305E-3</v>
      </c>
      <c r="I305" s="3">
        <v>6.8000000000000005E-2</v>
      </c>
      <c r="J305" s="3">
        <v>16.260750000000002</v>
      </c>
      <c r="K305" s="3">
        <v>7.0000000000000007E-2</v>
      </c>
      <c r="L305" s="2">
        <f>Base[[#This Row],[Coût]]*Base[[#This Row],[Part_ménages_dépenses_santé]]</f>
        <v>1.1382525000000001</v>
      </c>
      <c r="M305" s="2">
        <v>0.99809973356799431</v>
      </c>
      <c r="N305" s="6">
        <v>27700000</v>
      </c>
      <c r="O305" s="7">
        <f>Base[[#This Row],[Coût_salarié]]*10^9*Base[[#This Row],[Risque]]*Base[[#This Row],[Prévalence]]*Base[[#This Row],[Part_coûts_salarié]]/Base[[#This Row],[Population_emploi]]</f>
        <v>7.1553031685242463E-2</v>
      </c>
      <c r="P305">
        <v>50</v>
      </c>
      <c r="Q305">
        <v>50</v>
      </c>
      <c r="R305" s="2">
        <v>9.9999999999999978E-2</v>
      </c>
      <c r="S305" s="2">
        <v>0.33340000000000003</v>
      </c>
      <c r="T305" s="4">
        <v>8.741584028593305E-3</v>
      </c>
      <c r="U305" s="4">
        <f>IF(Bases_annexes!$F$5=0,16.6587111018772,0.77*Bases_annexes!$F$5/(IF(OR(ISBLANK('Données_d''entrée'!$E$44),'Données_d''entrée'!$E$44=0),35,'Données_d''entrée'!$E$44)*52))</f>
        <v>16.658711101877199</v>
      </c>
      <c r="V305" s="4">
        <v>80.324106187301894</v>
      </c>
      <c r="W3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05" s="4">
        <v>234.5</v>
      </c>
      <c r="Y305" s="4">
        <f>(Base[[#This Row],['[Maladies']Coûts_évités_par_salarié]]+Base[[#This Row],['[Travail']Coûts_évités_par_salarié]])/Base[[#This Row],[Budget_santé_salarié]]</f>
        <v>4.7432479224152977E-3</v>
      </c>
      <c r="Z305" s="4">
        <v>0.8</v>
      </c>
      <c r="AA305" s="4">
        <f>Base[[#This Row],[Coût]]*Base[[#This Row],[Part_société_dépenses_santé]]</f>
        <v>13.008600000000001</v>
      </c>
      <c r="AB305" s="4">
        <v>67635124</v>
      </c>
      <c r="AC305" s="4">
        <v>82.297079063317852</v>
      </c>
      <c r="AD305" s="4">
        <v>8.741584028593305E-3</v>
      </c>
      <c r="AE305" s="4">
        <f>Base[[#This Row],['[SC']Prévalence_travail]]*Base[[#This Row],[Population_emploi]]</f>
        <v>242141.87759203455</v>
      </c>
      <c r="AF305" s="4">
        <f>Base[[#This Row],[Risque]]*Base[[#This Row],['[SC']Patients_en_emploi]]</f>
        <v>48325.3518856175</v>
      </c>
      <c r="AG305" s="4">
        <v>1022040000</v>
      </c>
      <c r="AH305" s="4">
        <f>IFERROR(Base[[#This Row],['[SC']Prestations]]/Base[[#This Row],['[SC']Patients_en_emploi]],0)</f>
        <v>4220.8312340005614</v>
      </c>
      <c r="AI305" s="4">
        <v>51.7</v>
      </c>
      <c r="AJ3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05" s="4">
        <f>Base[[#This Row],['[SC']'[Travail']Coûts_évités]]/Base[[#This Row],[Population_emploi]]</f>
        <v>7.3636517918008035</v>
      </c>
      <c r="AL305" s="4">
        <f>Base[[#This Row],[Coût_société]]*10^9*Base[[#This Row],[Risque]]*Base[[#This Row],[Prévalence]]*Base[[#This Row],[Part_coûts_salarié]]/Base[[#This Row],[Population_emploi]]</f>
        <v>0.81774893354562839</v>
      </c>
      <c r="AM305" s="4">
        <f>IF(Base[[#This Row],[Pathologie]]&lt;&gt;"Dépendance",0,14909.24243952)</f>
        <v>0</v>
      </c>
      <c r="AN305" s="4">
        <f>IF(Base[[#This Row],[Pathologie]]&lt;&gt;"Dépendance",0,1316000)</f>
        <v>0</v>
      </c>
      <c r="AO305" s="4">
        <f>IF(Base[[#This Row],[Pathologie]]&lt;&gt;"Dépendance",0,Base[[#This Row],['[SC']Coût_personne_dépendante]]*Base[[#This Row],['[SC']Nb_personnes_dépendantes]])</f>
        <v>0</v>
      </c>
      <c r="AP305" s="4">
        <f>IF(Base[[#This Row],[Pathologie]]&lt;&gt;"Dépendance",0,Base[[#This Row],['[SC']Coût_total_dépendance]]/Base[[#This Row],[Population_totale]])</f>
        <v>0</v>
      </c>
      <c r="AQ305" s="4">
        <f>IF(Base[[#This Row],[Pathologie]]&lt;&gt;"Dépendance",0,4.5)</f>
        <v>0</v>
      </c>
      <c r="AR305" s="4">
        <v>0.83987615528424797</v>
      </c>
      <c r="AS305" s="4">
        <f>Base[[#This Row],[Espérance_vie]]+Base[[#This Row],['[SC']Hausse_esp_de_vie]]-Base[[#This Row],['[SC']Durée_moyenne_dépendance_avt]]+Base[[#This Row],[Risque]]</f>
        <v>83.336529750550824</v>
      </c>
      <c r="AT3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5" s="4">
        <v>62.9</v>
      </c>
      <c r="AW305" s="4">
        <f t="shared" si="0"/>
        <v>336905600000</v>
      </c>
      <c r="AX305" s="4">
        <v>15049171</v>
      </c>
      <c r="AY305" s="4">
        <f>Base[[#This Row],['[SC']Budget_total_retraites]]/Base[[#This Row],['[SC']Nombre_de_retraités]]</f>
        <v>22386.987296509556</v>
      </c>
      <c r="AZ305" s="4">
        <f>Base[[#This Row],['[SC']Budget_par_retraité]]*Base[[#This Row],['[SC']Nb_personnes_dépendantes]]</f>
        <v>0</v>
      </c>
      <c r="BA305" s="4">
        <f>Base[[#This Row],['[SC']'[Dépendance']Coût_retraite_personnes_dépendantes]]/Base[[#This Row],[Population_totale]]</f>
        <v>0</v>
      </c>
      <c r="BB30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5" s="4">
        <f>Base[[#This Row],['[SC']'[Dépendance']Gains]]-Base[[#This Row],['[SC']'[Dépendance']Coûts]]</f>
        <v>0</v>
      </c>
      <c r="BD305" s="4">
        <f>IF(Base[[#This Row],[Pathologie]]&lt;&gt;"Mort prématurée",0,Base[[#This Row],[Risque]]*Base[[#This Row],[Prévalence]]*Base[[#This Row],[Population_totale]])</f>
        <v>0</v>
      </c>
      <c r="BE305" s="4">
        <v>52.74</v>
      </c>
      <c r="BF305" s="4">
        <f>Base[[#This Row],['[SC']Âge_moyen_retraite]]-Base[[#This Row],['[SC']'[Mort_prématurée']Âge_moyen_mort précoce]]</f>
        <v>10.159999999999997</v>
      </c>
      <c r="BG305" s="4">
        <f>Base[[#This Row],[Espérance_vie]]+Base[[#This Row],['[SC']Hausse_esp_de_vie]]-Base[[#This Row],['[SC']Âge_moyen_retraite]]</f>
        <v>20.236955218602098</v>
      </c>
      <c r="BH305" s="4">
        <v>106583.42676924677</v>
      </c>
      <c r="BI305" s="4">
        <v>97601.789429271477</v>
      </c>
      <c r="BJ305" s="4">
        <v>302038.31496633729</v>
      </c>
      <c r="BK305" s="4">
        <v>117293.58934859755</v>
      </c>
      <c r="BL305" s="4">
        <v>1523999.9999999995</v>
      </c>
      <c r="BM3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5" s="4">
        <v>294804.96027377353</v>
      </c>
      <c r="BO3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5" s="4">
        <f>(Base[[#This Row],['[SC']'[Mort_prématurée']Gains]]-Base[[#This Row],['[SC']'[Mort_prématurée']Coûts]])/Base[[#This Row],[Population_totale]]</f>
        <v>0</v>
      </c>
      <c r="BQ305" s="4">
        <f>IF(Base[[#This Row],[Pathologie]]&lt;&gt;"Mort prématurée",0,Base[[#This Row],[Risque]])</f>
        <v>0</v>
      </c>
      <c r="BR305" s="4">
        <v>2680</v>
      </c>
      <c r="BS3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05" s="4">
        <f>Base[[#This Row],[Prévalence_prod]]*(1-Base[[#This Row],[Risque]])*Base[[#This Row],[Durée_arrêt]]*Base[[#This Row],[Population_emploi]]</f>
        <v>15568139.191696171</v>
      </c>
      <c r="BV305" s="4">
        <f>Base[[#This Row],['[Prod']'[Absentéisme']Total_jours_absence_avant]]-Base[[#This Row],['[Prod']'[Absentéisme']Total_jours_absence_après]]</f>
        <v>3881690.6963990703</v>
      </c>
      <c r="BW305" s="4">
        <f>IF(AND(Base[[#This Row],[Pathologie]]&lt;&gt;"Dépendance",Base[[#This Row],[Pathologie]]&lt;&gt;"Mort prématurée",Base[[#This Row],[Pathologie]]&lt;&gt;"Migraine"),0.0619,0)</f>
        <v>6.1899999999999997E-2</v>
      </c>
      <c r="BX305" s="4">
        <v>254</v>
      </c>
      <c r="BY30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05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05" s="4">
        <f>Base[[#This Row],[Prévalence_prod]]*Base[[#This Row],[Présentéisme]]*Base[[#This Row],['[Prod']Jours_ouvrés]]</f>
        <v>0.15098463934186357</v>
      </c>
      <c r="CB305" s="4">
        <f>Base[[#This Row],[Prévalence_prod]]*(1-Base[[#This Row],[Risque]])*Base[[#This Row],[Présentéisme]]*Base[[#This Row],['[Prod']Jours_ouvrés]]</f>
        <v>0.12085195061376301</v>
      </c>
      <c r="CC305" s="4">
        <f>Base[[#This Row],['[Prod']'[Présentéisme']Jours_avant]]-Base[[#This Row],['[Prod']'[Présentéisme']Jours_après]]</f>
        <v>3.0132688728100557E-2</v>
      </c>
      <c r="CD305" s="4">
        <f>Base[[#This Row],['[Prod']'[Présentéisme']Jours_gagnés]]/Base[[#This Row],['[Prod']Jours_ouvrés]]</f>
        <v>1.1863263278779747E-4</v>
      </c>
      <c r="CE305">
        <v>7.5880726467531134E-2</v>
      </c>
      <c r="CF305">
        <v>1.989821358241517E-2</v>
      </c>
      <c r="CG305" s="4">
        <v>11</v>
      </c>
      <c r="CH305" s="4">
        <v>1.3966184516047948</v>
      </c>
      <c r="CI305" s="4">
        <v>1.4392894727292521E-2</v>
      </c>
      <c r="CJ305" s="4">
        <f>IF(Base[[#This Row],[Secteur]]&lt;&gt;"Moyenne",Base[[#This Row],['[Prod']'[Turnover']DMC_initiale]]*(1+Base[[#This Row],['[Prod']'[Turnover']Ecart_accidents]]*Base[[#This Row],['[Prod']Impact_motifs_turnover]]),CJ288*CI288+CJ289*CI289+CJ290*CI290+CJ291*CI291+CJ292*CI292+CJ293*CI293+CJ294*CI294+CJ295*CI295+CJ296*CI296+CJ297*CI297+CJ298*CI298+CJ299*CI299+CJ300*CI300+CJ301*CI301+CJ302*CI302+CJ303*CI303+CJ304*CI304)</f>
        <v>11.305692334674916</v>
      </c>
      <c r="CK305" s="4">
        <f>1/Base[[#This Row],['[Prod']'[Turnover']DMC_initiale]]</f>
        <v>9.0909090909090912E-2</v>
      </c>
      <c r="CL305" s="4">
        <f>1/Base[[#This Row],['[Prod']'[Turnover']DMC_finale]]</f>
        <v>8.8451018336397527E-2</v>
      </c>
    </row>
    <row r="306" spans="2:90" x14ac:dyDescent="0.25">
      <c r="B306" s="4" t="s">
        <v>316</v>
      </c>
      <c r="C306">
        <v>15</v>
      </c>
      <c r="D306" t="s">
        <v>83</v>
      </c>
      <c r="E306" t="s">
        <v>6</v>
      </c>
      <c r="F306" s="3">
        <v>0.1995745319487322</v>
      </c>
      <c r="G306" s="3">
        <v>8.741584028593305E-3</v>
      </c>
      <c r="H306" s="3">
        <v>8.741584028593305E-3</v>
      </c>
      <c r="I306" s="3">
        <v>6.8000000000000005E-2</v>
      </c>
      <c r="J306" s="3">
        <v>16.260750000000002</v>
      </c>
      <c r="K306" s="3">
        <v>7.0000000000000007E-2</v>
      </c>
      <c r="L306" s="2">
        <f>Base[[#This Row],[Coût]]*Base[[#This Row],[Part_ménages_dépenses_santé]]</f>
        <v>1.1382525000000001</v>
      </c>
      <c r="M306" s="2">
        <v>0.99809973356799431</v>
      </c>
      <c r="N306" s="6">
        <v>27700000</v>
      </c>
      <c r="O306" s="7">
        <f>Base[[#This Row],[Coût_salarié]]*10^9*Base[[#This Row],[Risque]]*Base[[#This Row],[Prévalence]]*Base[[#This Row],[Part_coûts_salarié]]/Base[[#This Row],[Population_emploi]]</f>
        <v>7.1553031685242463E-2</v>
      </c>
      <c r="P306">
        <v>50</v>
      </c>
      <c r="Q306">
        <v>50</v>
      </c>
      <c r="R306" s="2">
        <v>9.9999999999999978E-2</v>
      </c>
      <c r="S306" s="2">
        <v>0.33340000000000003</v>
      </c>
      <c r="T306" s="4">
        <v>8.741584028593305E-3</v>
      </c>
      <c r="U306" s="4">
        <f>IF(Bases_annexes!$F$5=0,16.6587111018772,0.77*Bases_annexes!$F$5/(IF(OR(ISBLANK('Données_d''entrée'!$E$44),'Données_d''entrée'!$E$44=0),35,'Données_d''entrée'!$E$44)*52))</f>
        <v>16.658711101877199</v>
      </c>
      <c r="V306" s="4">
        <v>80.324106187301894</v>
      </c>
      <c r="W3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06" s="4">
        <v>234.5</v>
      </c>
      <c r="Y306" s="4">
        <f>(Base[[#This Row],['[Maladies']Coûts_évités_par_salarié]]+Base[[#This Row],['[Travail']Coûts_évités_par_salarié]])/Base[[#This Row],[Budget_santé_salarié]]</f>
        <v>4.7432479224152977E-3</v>
      </c>
      <c r="Z306" s="4">
        <v>0.8</v>
      </c>
      <c r="AA306" s="4">
        <f>Base[[#This Row],[Coût]]*Base[[#This Row],[Part_société_dépenses_santé]]</f>
        <v>13.008600000000001</v>
      </c>
      <c r="AB306" s="4">
        <v>67635124</v>
      </c>
      <c r="AC306" s="4">
        <v>82.297079063317852</v>
      </c>
      <c r="AD306" s="4">
        <v>8.741584028593305E-3</v>
      </c>
      <c r="AE306" s="4">
        <f>Base[[#This Row],['[SC']Prévalence_travail]]*Base[[#This Row],[Population_emploi]]</f>
        <v>242141.87759203455</v>
      </c>
      <c r="AF306" s="4">
        <f>Base[[#This Row],[Risque]]*Base[[#This Row],['[SC']Patients_en_emploi]]</f>
        <v>48325.3518856175</v>
      </c>
      <c r="AG306" s="4">
        <v>1022040000</v>
      </c>
      <c r="AH306" s="4">
        <f>IFERROR(Base[[#This Row],['[SC']Prestations]]/Base[[#This Row],['[SC']Patients_en_emploi]],0)</f>
        <v>4220.8312340005614</v>
      </c>
      <c r="AI306" s="4">
        <v>51.7</v>
      </c>
      <c r="AJ3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06" s="4">
        <f>Base[[#This Row],['[SC']'[Travail']Coûts_évités]]/Base[[#This Row],[Population_emploi]]</f>
        <v>7.3636517918008035</v>
      </c>
      <c r="AL306" s="4">
        <f>Base[[#This Row],[Coût_société]]*10^9*Base[[#This Row],[Risque]]*Base[[#This Row],[Prévalence]]*Base[[#This Row],[Part_coûts_salarié]]/Base[[#This Row],[Population_emploi]]</f>
        <v>0.81774893354562839</v>
      </c>
      <c r="AM306" s="4">
        <f>IF(Base[[#This Row],[Pathologie]]&lt;&gt;"Dépendance",0,14909.24243952)</f>
        <v>0</v>
      </c>
      <c r="AN306" s="4">
        <f>IF(Base[[#This Row],[Pathologie]]&lt;&gt;"Dépendance",0,1316000)</f>
        <v>0</v>
      </c>
      <c r="AO306" s="4">
        <f>IF(Base[[#This Row],[Pathologie]]&lt;&gt;"Dépendance",0,Base[[#This Row],['[SC']Coût_personne_dépendante]]*Base[[#This Row],['[SC']Nb_personnes_dépendantes]])</f>
        <v>0</v>
      </c>
      <c r="AP306" s="4">
        <f>IF(Base[[#This Row],[Pathologie]]&lt;&gt;"Dépendance",0,Base[[#This Row],['[SC']Coût_total_dépendance]]/Base[[#This Row],[Population_totale]])</f>
        <v>0</v>
      </c>
      <c r="AQ306" s="4">
        <f>IF(Base[[#This Row],[Pathologie]]&lt;&gt;"Dépendance",0,4.5)</f>
        <v>0</v>
      </c>
      <c r="AR306" s="4">
        <v>0.83987615528424797</v>
      </c>
      <c r="AS306" s="4">
        <f>Base[[#This Row],[Espérance_vie]]+Base[[#This Row],['[SC']Hausse_esp_de_vie]]-Base[[#This Row],['[SC']Durée_moyenne_dépendance_avt]]+Base[[#This Row],[Risque]]</f>
        <v>83.336529750550824</v>
      </c>
      <c r="AT3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6" s="4">
        <v>62.9</v>
      </c>
      <c r="AW306" s="4">
        <f t="shared" si="0"/>
        <v>336905600000</v>
      </c>
      <c r="AX306" s="4">
        <v>15049171</v>
      </c>
      <c r="AY306" s="4">
        <f>Base[[#This Row],['[SC']Budget_total_retraites]]/Base[[#This Row],['[SC']Nombre_de_retraités]]</f>
        <v>22386.987296509556</v>
      </c>
      <c r="AZ306" s="4">
        <f>Base[[#This Row],['[SC']Budget_par_retraité]]*Base[[#This Row],['[SC']Nb_personnes_dépendantes]]</f>
        <v>0</v>
      </c>
      <c r="BA306" s="4">
        <f>Base[[#This Row],['[SC']'[Dépendance']Coût_retraite_personnes_dépendantes]]/Base[[#This Row],[Population_totale]]</f>
        <v>0</v>
      </c>
      <c r="BB30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6" s="4">
        <f>Base[[#This Row],['[SC']'[Dépendance']Gains]]-Base[[#This Row],['[SC']'[Dépendance']Coûts]]</f>
        <v>0</v>
      </c>
      <c r="BD306" s="4">
        <f>IF(Base[[#This Row],[Pathologie]]&lt;&gt;"Mort prématurée",0,Base[[#This Row],[Risque]]*Base[[#This Row],[Prévalence]]*Base[[#This Row],[Population_totale]])</f>
        <v>0</v>
      </c>
      <c r="BE306" s="4">
        <v>52.74</v>
      </c>
      <c r="BF306" s="4">
        <f>Base[[#This Row],['[SC']Âge_moyen_retraite]]-Base[[#This Row],['[SC']'[Mort_prématurée']Âge_moyen_mort précoce]]</f>
        <v>10.159999999999997</v>
      </c>
      <c r="BG306" s="4">
        <f>Base[[#This Row],[Espérance_vie]]+Base[[#This Row],['[SC']Hausse_esp_de_vie]]-Base[[#This Row],['[SC']Âge_moyen_retraite]]</f>
        <v>20.236955218602098</v>
      </c>
      <c r="BH306" s="4">
        <v>106583.42676924677</v>
      </c>
      <c r="BI306" s="4">
        <v>97601.789429271477</v>
      </c>
      <c r="BJ306" s="4">
        <v>302038.31496633729</v>
      </c>
      <c r="BK306" s="4">
        <v>117293.58934859755</v>
      </c>
      <c r="BL306" s="4">
        <v>1523999.9999999995</v>
      </c>
      <c r="BM3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6" s="4">
        <v>294804.96027377353</v>
      </c>
      <c r="BO3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6" s="4">
        <f>(Base[[#This Row],['[SC']'[Mort_prématurée']Gains]]-Base[[#This Row],['[SC']'[Mort_prématurée']Coûts]])/Base[[#This Row],[Population_totale]]</f>
        <v>0</v>
      </c>
      <c r="BQ306" s="4">
        <f>IF(Base[[#This Row],[Pathologie]]&lt;&gt;"Mort prématurée",0,Base[[#This Row],[Risque]])</f>
        <v>0</v>
      </c>
      <c r="BR306" s="4">
        <v>2680</v>
      </c>
      <c r="BS3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06" s="4">
        <f>Base[[#This Row],[Prévalence_prod]]*(1-Base[[#This Row],[Risque]])*Base[[#This Row],[Durée_arrêt]]*Base[[#This Row],[Population_emploi]]</f>
        <v>15568139.191696171</v>
      </c>
      <c r="BV306" s="4">
        <f>Base[[#This Row],['[Prod']'[Absentéisme']Total_jours_absence_avant]]-Base[[#This Row],['[Prod']'[Absentéisme']Total_jours_absence_après]]</f>
        <v>3881690.6963990703</v>
      </c>
      <c r="BW306" s="4">
        <f>IF(AND(Base[[#This Row],[Pathologie]]&lt;&gt;"Dépendance",Base[[#This Row],[Pathologie]]&lt;&gt;"Mort prématurée",Base[[#This Row],[Pathologie]]&lt;&gt;"Migraine"),0.0619,0)</f>
        <v>6.1899999999999997E-2</v>
      </c>
      <c r="BX306" s="4">
        <v>254</v>
      </c>
      <c r="BY30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06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06" s="4">
        <f>Base[[#This Row],[Prévalence_prod]]*Base[[#This Row],[Présentéisme]]*Base[[#This Row],['[Prod']Jours_ouvrés]]</f>
        <v>0.15098463934186357</v>
      </c>
      <c r="CB306" s="4">
        <f>Base[[#This Row],[Prévalence_prod]]*(1-Base[[#This Row],[Risque]])*Base[[#This Row],[Présentéisme]]*Base[[#This Row],['[Prod']Jours_ouvrés]]</f>
        <v>0.12085195061376301</v>
      </c>
      <c r="CC306" s="4">
        <f>Base[[#This Row],['[Prod']'[Présentéisme']Jours_avant]]-Base[[#This Row],['[Prod']'[Présentéisme']Jours_après]]</f>
        <v>3.0132688728100557E-2</v>
      </c>
      <c r="CD306" s="4">
        <f>Base[[#This Row],['[Prod']'[Présentéisme']Jours_gagnés]]/Base[[#This Row],['[Prod']Jours_ouvrés]]</f>
        <v>1.1863263278779747E-4</v>
      </c>
      <c r="CE306">
        <v>7.5880726467531134E-2</v>
      </c>
      <c r="CF306">
        <v>1.989821358241517E-2</v>
      </c>
      <c r="CG306" s="4">
        <v>11</v>
      </c>
      <c r="CH306" s="4">
        <v>0.68054183762612652</v>
      </c>
      <c r="CI306" s="4">
        <v>1.2135452577082654E-2</v>
      </c>
      <c r="CJ306" s="4">
        <f>IF(Base[[#This Row],[Secteur]]&lt;&gt;"Moyenne",Base[[#This Row],['[Prod']'[Turnover']DMC_initiale]]*(1+Base[[#This Row],['[Prod']'[Turnover']Ecart_accidents]]*Base[[#This Row],['[Prod']Impact_motifs_turnover]]),CJ289*CI289+CJ290*CI290+CJ291*CI291+CJ292*CI292+CJ293*CI293+CJ294*CI294+CJ295*CI295+CJ296*CI296+CJ297*CI297+CJ298*CI298+CJ299*CI299+CJ300*CI300+CJ301*CI301+CJ302*CI302+CJ303*CI303+CJ304*CI304+CJ305*CI305)</f>
        <v>11.148957235205394</v>
      </c>
      <c r="CK306" s="4">
        <f>1/Base[[#This Row],['[Prod']'[Turnover']DMC_initiale]]</f>
        <v>9.0909090909090912E-2</v>
      </c>
      <c r="CL306" s="4">
        <f>1/Base[[#This Row],['[Prod']'[Turnover']DMC_finale]]</f>
        <v>8.9694487018236124E-2</v>
      </c>
    </row>
    <row r="307" spans="2:90" x14ac:dyDescent="0.25">
      <c r="B307" s="4" t="s">
        <v>317</v>
      </c>
      <c r="C307">
        <v>15</v>
      </c>
      <c r="D307" t="s">
        <v>83</v>
      </c>
      <c r="E307" t="s">
        <v>6</v>
      </c>
      <c r="F307" s="3">
        <v>0.1995745319487322</v>
      </c>
      <c r="G307" s="3">
        <v>8.741584028593305E-3</v>
      </c>
      <c r="H307" s="3">
        <v>8.741584028593305E-3</v>
      </c>
      <c r="I307" s="3">
        <v>6.8000000000000005E-2</v>
      </c>
      <c r="J307" s="3">
        <v>16.260750000000002</v>
      </c>
      <c r="K307" s="3">
        <v>7.0000000000000007E-2</v>
      </c>
      <c r="L307" s="2">
        <f>Base[[#This Row],[Coût]]*Base[[#This Row],[Part_ménages_dépenses_santé]]</f>
        <v>1.1382525000000001</v>
      </c>
      <c r="M307" s="2">
        <v>0.99809973356799431</v>
      </c>
      <c r="N307" s="6">
        <v>27700000</v>
      </c>
      <c r="O307" s="7">
        <f>Base[[#This Row],[Coût_salarié]]*10^9*Base[[#This Row],[Risque]]*Base[[#This Row],[Prévalence]]*Base[[#This Row],[Part_coûts_salarié]]/Base[[#This Row],[Population_emploi]]</f>
        <v>7.1553031685242463E-2</v>
      </c>
      <c r="P307">
        <v>50</v>
      </c>
      <c r="Q307">
        <v>50</v>
      </c>
      <c r="R307" s="2">
        <v>9.9999999999999978E-2</v>
      </c>
      <c r="S307" s="2">
        <v>0.33340000000000003</v>
      </c>
      <c r="T307" s="4">
        <v>8.741584028593305E-3</v>
      </c>
      <c r="U307" s="4">
        <f>IF(Bases_annexes!$F$5=0,16.6587111018772,0.77*Bases_annexes!$F$5/(IF(OR(ISBLANK('Données_d''entrée'!$E$44),'Données_d''entrée'!$E$44=0),35,'Données_d''entrée'!$E$44)*52))</f>
        <v>16.658711101877199</v>
      </c>
      <c r="V307" s="4">
        <v>80.324106187301894</v>
      </c>
      <c r="W3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07" s="4">
        <v>234.5</v>
      </c>
      <c r="Y307" s="4">
        <f>(Base[[#This Row],['[Maladies']Coûts_évités_par_salarié]]+Base[[#This Row],['[Travail']Coûts_évités_par_salarié]])/Base[[#This Row],[Budget_santé_salarié]]</f>
        <v>4.7432479224152977E-3</v>
      </c>
      <c r="Z307" s="4">
        <v>0.8</v>
      </c>
      <c r="AA307" s="4">
        <f>Base[[#This Row],[Coût]]*Base[[#This Row],[Part_société_dépenses_santé]]</f>
        <v>13.008600000000001</v>
      </c>
      <c r="AB307" s="4">
        <v>67635124</v>
      </c>
      <c r="AC307" s="4">
        <v>82.297079063317852</v>
      </c>
      <c r="AD307" s="4">
        <v>8.741584028593305E-3</v>
      </c>
      <c r="AE307" s="4">
        <f>Base[[#This Row],['[SC']Prévalence_travail]]*Base[[#This Row],[Population_emploi]]</f>
        <v>242141.87759203455</v>
      </c>
      <c r="AF307" s="4">
        <f>Base[[#This Row],[Risque]]*Base[[#This Row],['[SC']Patients_en_emploi]]</f>
        <v>48325.3518856175</v>
      </c>
      <c r="AG307" s="4">
        <v>1022040000</v>
      </c>
      <c r="AH307" s="4">
        <f>IFERROR(Base[[#This Row],['[SC']Prestations]]/Base[[#This Row],['[SC']Patients_en_emploi]],0)</f>
        <v>4220.8312340005614</v>
      </c>
      <c r="AI307" s="4">
        <v>51.7</v>
      </c>
      <c r="AJ3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07" s="4">
        <f>Base[[#This Row],['[SC']'[Travail']Coûts_évités]]/Base[[#This Row],[Population_emploi]]</f>
        <v>7.3636517918008035</v>
      </c>
      <c r="AL307" s="4">
        <f>Base[[#This Row],[Coût_société]]*10^9*Base[[#This Row],[Risque]]*Base[[#This Row],[Prévalence]]*Base[[#This Row],[Part_coûts_salarié]]/Base[[#This Row],[Population_emploi]]</f>
        <v>0.81774893354562839</v>
      </c>
      <c r="AM307" s="4">
        <f>IF(Base[[#This Row],[Pathologie]]&lt;&gt;"Dépendance",0,14909.24243952)</f>
        <v>0</v>
      </c>
      <c r="AN307" s="4">
        <f>IF(Base[[#This Row],[Pathologie]]&lt;&gt;"Dépendance",0,1316000)</f>
        <v>0</v>
      </c>
      <c r="AO307" s="4">
        <f>IF(Base[[#This Row],[Pathologie]]&lt;&gt;"Dépendance",0,Base[[#This Row],['[SC']Coût_personne_dépendante]]*Base[[#This Row],['[SC']Nb_personnes_dépendantes]])</f>
        <v>0</v>
      </c>
      <c r="AP307" s="4">
        <f>IF(Base[[#This Row],[Pathologie]]&lt;&gt;"Dépendance",0,Base[[#This Row],['[SC']Coût_total_dépendance]]/Base[[#This Row],[Population_totale]])</f>
        <v>0</v>
      </c>
      <c r="AQ307" s="4">
        <f>IF(Base[[#This Row],[Pathologie]]&lt;&gt;"Dépendance",0,4.5)</f>
        <v>0</v>
      </c>
      <c r="AR307" s="4">
        <v>0.83987615528424797</v>
      </c>
      <c r="AS307" s="4">
        <f>Base[[#This Row],[Espérance_vie]]+Base[[#This Row],['[SC']Hausse_esp_de_vie]]-Base[[#This Row],['[SC']Durée_moyenne_dépendance_avt]]+Base[[#This Row],[Risque]]</f>
        <v>83.336529750550824</v>
      </c>
      <c r="AT3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7" s="4">
        <v>62.9</v>
      </c>
      <c r="AW307" s="4">
        <f t="shared" si="0"/>
        <v>336905600000</v>
      </c>
      <c r="AX307" s="4">
        <v>15049171</v>
      </c>
      <c r="AY307" s="4">
        <f>Base[[#This Row],['[SC']Budget_total_retraites]]/Base[[#This Row],['[SC']Nombre_de_retraités]]</f>
        <v>22386.987296509556</v>
      </c>
      <c r="AZ307" s="4">
        <f>Base[[#This Row],['[SC']Budget_par_retraité]]*Base[[#This Row],['[SC']Nb_personnes_dépendantes]]</f>
        <v>0</v>
      </c>
      <c r="BA307" s="4">
        <f>Base[[#This Row],['[SC']'[Dépendance']Coût_retraite_personnes_dépendantes]]/Base[[#This Row],[Population_totale]]</f>
        <v>0</v>
      </c>
      <c r="BB30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7" s="4">
        <f>Base[[#This Row],['[SC']'[Dépendance']Gains]]-Base[[#This Row],['[SC']'[Dépendance']Coûts]]</f>
        <v>0</v>
      </c>
      <c r="BD307" s="4">
        <f>IF(Base[[#This Row],[Pathologie]]&lt;&gt;"Mort prématurée",0,Base[[#This Row],[Risque]]*Base[[#This Row],[Prévalence]]*Base[[#This Row],[Population_totale]])</f>
        <v>0</v>
      </c>
      <c r="BE307" s="4">
        <v>52.74</v>
      </c>
      <c r="BF307" s="4">
        <f>Base[[#This Row],['[SC']Âge_moyen_retraite]]-Base[[#This Row],['[SC']'[Mort_prématurée']Âge_moyen_mort précoce]]</f>
        <v>10.159999999999997</v>
      </c>
      <c r="BG307" s="4">
        <f>Base[[#This Row],[Espérance_vie]]+Base[[#This Row],['[SC']Hausse_esp_de_vie]]-Base[[#This Row],['[SC']Âge_moyen_retraite]]</f>
        <v>20.236955218602098</v>
      </c>
      <c r="BH307" s="4">
        <v>106583.42676924677</v>
      </c>
      <c r="BI307" s="4">
        <v>97601.789429271477</v>
      </c>
      <c r="BJ307" s="4">
        <v>302038.31496633729</v>
      </c>
      <c r="BK307" s="4">
        <v>117293.58934859755</v>
      </c>
      <c r="BL307" s="4">
        <v>1523999.9999999995</v>
      </c>
      <c r="BM3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7" s="4">
        <v>294804.96027377353</v>
      </c>
      <c r="BO3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7" s="4">
        <f>(Base[[#This Row],['[SC']'[Mort_prématurée']Gains]]-Base[[#This Row],['[SC']'[Mort_prématurée']Coûts]])/Base[[#This Row],[Population_totale]]</f>
        <v>0</v>
      </c>
      <c r="BQ307" s="4">
        <f>IF(Base[[#This Row],[Pathologie]]&lt;&gt;"Mort prématurée",0,Base[[#This Row],[Risque]])</f>
        <v>0</v>
      </c>
      <c r="BR307" s="4">
        <v>2680</v>
      </c>
      <c r="BS3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07" s="4">
        <f>Base[[#This Row],[Prévalence_prod]]*(1-Base[[#This Row],[Risque]])*Base[[#This Row],[Durée_arrêt]]*Base[[#This Row],[Population_emploi]]</f>
        <v>15568139.191696171</v>
      </c>
      <c r="BV307" s="4">
        <f>Base[[#This Row],['[Prod']'[Absentéisme']Total_jours_absence_avant]]-Base[[#This Row],['[Prod']'[Absentéisme']Total_jours_absence_après]]</f>
        <v>3881690.6963990703</v>
      </c>
      <c r="BW307" s="4">
        <f>IF(AND(Base[[#This Row],[Pathologie]]&lt;&gt;"Dépendance",Base[[#This Row],[Pathologie]]&lt;&gt;"Mort prématurée",Base[[#This Row],[Pathologie]]&lt;&gt;"Migraine"),0.0619,0)</f>
        <v>6.1899999999999997E-2</v>
      </c>
      <c r="BX307" s="4">
        <v>254</v>
      </c>
      <c r="BY307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07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07" s="4">
        <f>Base[[#This Row],[Prévalence_prod]]*Base[[#This Row],[Présentéisme]]*Base[[#This Row],['[Prod']Jours_ouvrés]]</f>
        <v>0.15098463934186357</v>
      </c>
      <c r="CB307" s="4">
        <f>Base[[#This Row],[Prévalence_prod]]*(1-Base[[#This Row],[Risque]])*Base[[#This Row],[Présentéisme]]*Base[[#This Row],['[Prod']Jours_ouvrés]]</f>
        <v>0.12085195061376301</v>
      </c>
      <c r="CC307" s="4">
        <f>Base[[#This Row],['[Prod']'[Présentéisme']Jours_avant]]-Base[[#This Row],['[Prod']'[Présentéisme']Jours_après]]</f>
        <v>3.0132688728100557E-2</v>
      </c>
      <c r="CD307" s="4">
        <f>Base[[#This Row],['[Prod']'[Présentéisme']Jours_gagnés]]/Base[[#This Row],['[Prod']Jours_ouvrés]]</f>
        <v>1.1863263278779747E-4</v>
      </c>
      <c r="CE307">
        <v>7.5880726467531134E-2</v>
      </c>
      <c r="CF307">
        <v>1.989821358241517E-2</v>
      </c>
      <c r="CG307" s="4">
        <v>11</v>
      </c>
      <c r="CH307" s="4">
        <v>0.31563677172153043</v>
      </c>
      <c r="CI307" s="4">
        <v>1.3003350630813707E-4</v>
      </c>
      <c r="CJ307" s="4">
        <f>IF(Base[[#This Row],[Secteur]]&lt;&gt;"Moyenne",Base[[#This Row],['[Prod']'[Turnover']DMC_initiale]]*(1+Base[[#This Row],['[Prod']'[Turnover']Ecart_accidents]]*Base[[#This Row],['[Prod']Impact_motifs_turnover]]),CJ290*CI290+CJ291*CI291+CJ292*CI292+CJ293*CI293+CJ294*CI294+CJ295*CI295+CJ296*CI296+CJ297*CI297+CJ298*CI298+CJ299*CI299+CJ300*CI300+CJ301*CI301+CJ302*CI302+CJ303*CI303+CJ304*CI304+CJ305*CI305+CJ306*CI306)</f>
        <v>11.069086686879968</v>
      </c>
      <c r="CK307" s="4">
        <f>1/Base[[#This Row],['[Prod']'[Turnover']DMC_initiale]]</f>
        <v>9.0909090909090912E-2</v>
      </c>
      <c r="CL307" s="4">
        <f>1/Base[[#This Row],['[Prod']'[Turnover']DMC_finale]]</f>
        <v>9.0341690176235209E-2</v>
      </c>
    </row>
    <row r="308" spans="2:90" x14ac:dyDescent="0.25">
      <c r="B308" s="4" t="s">
        <v>318</v>
      </c>
      <c r="C308">
        <v>15</v>
      </c>
      <c r="D308" t="s">
        <v>83</v>
      </c>
      <c r="E308" t="s">
        <v>6</v>
      </c>
      <c r="F308" s="3">
        <v>0.1995745319487322</v>
      </c>
      <c r="G308" s="3">
        <v>8.741584028593305E-3</v>
      </c>
      <c r="H308" s="3">
        <v>8.741584028593305E-3</v>
      </c>
      <c r="I308" s="3">
        <v>6.8000000000000005E-2</v>
      </c>
      <c r="J308" s="3">
        <v>16.260750000000002</v>
      </c>
      <c r="K308" s="3">
        <v>7.0000000000000007E-2</v>
      </c>
      <c r="L308" s="2">
        <f>Base[[#This Row],[Coût]]*Base[[#This Row],[Part_ménages_dépenses_santé]]</f>
        <v>1.1382525000000001</v>
      </c>
      <c r="M308" s="2">
        <v>0.99809973356799431</v>
      </c>
      <c r="N308" s="6">
        <v>27700000</v>
      </c>
      <c r="O308" s="7">
        <f>Base[[#This Row],[Coût_salarié]]*10^9*Base[[#This Row],[Risque]]*Base[[#This Row],[Prévalence]]*Base[[#This Row],[Part_coûts_salarié]]/Base[[#This Row],[Population_emploi]]</f>
        <v>7.1553031685242463E-2</v>
      </c>
      <c r="P308">
        <v>50</v>
      </c>
      <c r="Q308">
        <v>50</v>
      </c>
      <c r="R308" s="2">
        <v>9.9999999999999978E-2</v>
      </c>
      <c r="S308" s="2">
        <v>0.33340000000000003</v>
      </c>
      <c r="T308" s="4">
        <v>8.741584028593305E-3</v>
      </c>
      <c r="U308" s="4">
        <f>IF(Bases_annexes!$F$5=0,16.6587111018772,0.77*Bases_annexes!$F$5/(IF(OR(ISBLANK('Données_d''entrée'!$E$44),'Données_d''entrée'!$E$44=0),35,'Données_d''entrée'!$E$44)*52))</f>
        <v>16.658711101877199</v>
      </c>
      <c r="V308" s="4">
        <v>80.324106187301894</v>
      </c>
      <c r="W3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08" s="4">
        <v>234.5</v>
      </c>
      <c r="Y308" s="4">
        <f>(Base[[#This Row],['[Maladies']Coûts_évités_par_salarié]]+Base[[#This Row],['[Travail']Coûts_évités_par_salarié]])/Base[[#This Row],[Budget_santé_salarié]]</f>
        <v>4.7432479224152977E-3</v>
      </c>
      <c r="Z308" s="4">
        <v>0.8</v>
      </c>
      <c r="AA308" s="4">
        <f>Base[[#This Row],[Coût]]*Base[[#This Row],[Part_société_dépenses_santé]]</f>
        <v>13.008600000000001</v>
      </c>
      <c r="AB308" s="4">
        <v>67635124</v>
      </c>
      <c r="AC308" s="4">
        <v>82.297079063317852</v>
      </c>
      <c r="AD308" s="4">
        <v>8.741584028593305E-3</v>
      </c>
      <c r="AE308" s="4">
        <f>Base[[#This Row],['[SC']Prévalence_travail]]*Base[[#This Row],[Population_emploi]]</f>
        <v>242141.87759203455</v>
      </c>
      <c r="AF308" s="4">
        <f>Base[[#This Row],[Risque]]*Base[[#This Row],['[SC']Patients_en_emploi]]</f>
        <v>48325.3518856175</v>
      </c>
      <c r="AG308" s="4">
        <v>1022040000</v>
      </c>
      <c r="AH308" s="4">
        <f>IFERROR(Base[[#This Row],['[SC']Prestations]]/Base[[#This Row],['[SC']Patients_en_emploi]],0)</f>
        <v>4220.8312340005614</v>
      </c>
      <c r="AI308" s="4">
        <v>51.7</v>
      </c>
      <c r="AJ3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08" s="4">
        <f>Base[[#This Row],['[SC']'[Travail']Coûts_évités]]/Base[[#This Row],[Population_emploi]]</f>
        <v>7.3636517918008035</v>
      </c>
      <c r="AL308" s="4">
        <f>Base[[#This Row],[Coût_société]]*10^9*Base[[#This Row],[Risque]]*Base[[#This Row],[Prévalence]]*Base[[#This Row],[Part_coûts_salarié]]/Base[[#This Row],[Population_emploi]]</f>
        <v>0.81774893354562839</v>
      </c>
      <c r="AM308" s="4">
        <f>IF(Base[[#This Row],[Pathologie]]&lt;&gt;"Dépendance",0,14909.24243952)</f>
        <v>0</v>
      </c>
      <c r="AN308" s="4">
        <f>IF(Base[[#This Row],[Pathologie]]&lt;&gt;"Dépendance",0,1316000)</f>
        <v>0</v>
      </c>
      <c r="AO308" s="4">
        <f>IF(Base[[#This Row],[Pathologie]]&lt;&gt;"Dépendance",0,Base[[#This Row],['[SC']Coût_personne_dépendante]]*Base[[#This Row],['[SC']Nb_personnes_dépendantes]])</f>
        <v>0</v>
      </c>
      <c r="AP308" s="4">
        <f>IF(Base[[#This Row],[Pathologie]]&lt;&gt;"Dépendance",0,Base[[#This Row],['[SC']Coût_total_dépendance]]/Base[[#This Row],[Population_totale]])</f>
        <v>0</v>
      </c>
      <c r="AQ308" s="4">
        <f>IF(Base[[#This Row],[Pathologie]]&lt;&gt;"Dépendance",0,4.5)</f>
        <v>0</v>
      </c>
      <c r="AR308" s="4">
        <v>0.83987615528424797</v>
      </c>
      <c r="AS308" s="4">
        <f>Base[[#This Row],[Espérance_vie]]+Base[[#This Row],['[SC']Hausse_esp_de_vie]]-Base[[#This Row],['[SC']Durée_moyenne_dépendance_avt]]+Base[[#This Row],[Risque]]</f>
        <v>83.336529750550824</v>
      </c>
      <c r="AT3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8" s="4">
        <v>62.9</v>
      </c>
      <c r="AW308" s="4">
        <f t="shared" si="0"/>
        <v>336905600000</v>
      </c>
      <c r="AX308" s="4">
        <v>15049171</v>
      </c>
      <c r="AY308" s="4">
        <f>Base[[#This Row],['[SC']Budget_total_retraites]]/Base[[#This Row],['[SC']Nombre_de_retraités]]</f>
        <v>22386.987296509556</v>
      </c>
      <c r="AZ308" s="4">
        <f>Base[[#This Row],['[SC']Budget_par_retraité]]*Base[[#This Row],['[SC']Nb_personnes_dépendantes]]</f>
        <v>0</v>
      </c>
      <c r="BA308" s="4">
        <f>Base[[#This Row],['[SC']'[Dépendance']Coût_retraite_personnes_dépendantes]]/Base[[#This Row],[Population_totale]]</f>
        <v>0</v>
      </c>
      <c r="BB30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8" s="4">
        <f>Base[[#This Row],['[SC']'[Dépendance']Gains]]-Base[[#This Row],['[SC']'[Dépendance']Coûts]]</f>
        <v>0</v>
      </c>
      <c r="BD308" s="4">
        <f>IF(Base[[#This Row],[Pathologie]]&lt;&gt;"Mort prématurée",0,Base[[#This Row],[Risque]]*Base[[#This Row],[Prévalence]]*Base[[#This Row],[Population_totale]])</f>
        <v>0</v>
      </c>
      <c r="BE308" s="4">
        <v>52.74</v>
      </c>
      <c r="BF308" s="4">
        <f>Base[[#This Row],['[SC']Âge_moyen_retraite]]-Base[[#This Row],['[SC']'[Mort_prématurée']Âge_moyen_mort précoce]]</f>
        <v>10.159999999999997</v>
      </c>
      <c r="BG308" s="4">
        <f>Base[[#This Row],[Espérance_vie]]+Base[[#This Row],['[SC']Hausse_esp_de_vie]]-Base[[#This Row],['[SC']Âge_moyen_retraite]]</f>
        <v>20.236955218602098</v>
      </c>
      <c r="BH308" s="4">
        <v>106583.42676924677</v>
      </c>
      <c r="BI308" s="4">
        <v>97601.789429271477</v>
      </c>
      <c r="BJ308" s="4">
        <v>302038.31496633729</v>
      </c>
      <c r="BK308" s="4">
        <v>117293.58934859755</v>
      </c>
      <c r="BL308" s="4">
        <v>1523999.9999999995</v>
      </c>
      <c r="BM3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8" s="4">
        <v>294804.96027377353</v>
      </c>
      <c r="BO3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8" s="4">
        <f>(Base[[#This Row],['[SC']'[Mort_prématurée']Gains]]-Base[[#This Row],['[SC']'[Mort_prématurée']Coûts]])/Base[[#This Row],[Population_totale]]</f>
        <v>0</v>
      </c>
      <c r="BQ308" s="4">
        <f>IF(Base[[#This Row],[Pathologie]]&lt;&gt;"Mort prématurée",0,Base[[#This Row],[Risque]])</f>
        <v>0</v>
      </c>
      <c r="BR308" s="4">
        <v>2680</v>
      </c>
      <c r="BS3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08" s="4">
        <f>Base[[#This Row],[Prévalence_prod]]*(1-Base[[#This Row],[Risque]])*Base[[#This Row],[Durée_arrêt]]*Base[[#This Row],[Population_emploi]]</f>
        <v>15568139.191696171</v>
      </c>
      <c r="BV308" s="4">
        <f>Base[[#This Row],['[Prod']'[Absentéisme']Total_jours_absence_avant]]-Base[[#This Row],['[Prod']'[Absentéisme']Total_jours_absence_après]]</f>
        <v>3881690.6963990703</v>
      </c>
      <c r="BW308" s="4">
        <f>IF(AND(Base[[#This Row],[Pathologie]]&lt;&gt;"Dépendance",Base[[#This Row],[Pathologie]]&lt;&gt;"Mort prématurée",Base[[#This Row],[Pathologie]]&lt;&gt;"Migraine"),0.0619,0)</f>
        <v>6.1899999999999997E-2</v>
      </c>
      <c r="BX308" s="4">
        <v>254</v>
      </c>
      <c r="BY308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08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08" s="4">
        <f>Base[[#This Row],[Prévalence_prod]]*Base[[#This Row],[Présentéisme]]*Base[[#This Row],['[Prod']Jours_ouvrés]]</f>
        <v>0.15098463934186357</v>
      </c>
      <c r="CB308" s="4">
        <f>Base[[#This Row],[Prévalence_prod]]*(1-Base[[#This Row],[Risque]])*Base[[#This Row],[Présentéisme]]*Base[[#This Row],['[Prod']Jours_ouvrés]]</f>
        <v>0.12085195061376301</v>
      </c>
      <c r="CC308" s="4">
        <f>Base[[#This Row],['[Prod']'[Présentéisme']Jours_avant]]-Base[[#This Row],['[Prod']'[Présentéisme']Jours_après]]</f>
        <v>3.0132688728100557E-2</v>
      </c>
      <c r="CD308" s="4">
        <f>Base[[#This Row],['[Prod']'[Présentéisme']Jours_gagnés]]/Base[[#This Row],['[Prod']Jours_ouvrés]]</f>
        <v>1.1863263278779747E-4</v>
      </c>
      <c r="CE308">
        <v>7.5880726467531134E-2</v>
      </c>
      <c r="CF308">
        <v>1.989821358241517E-2</v>
      </c>
      <c r="CG308" s="4">
        <v>11</v>
      </c>
      <c r="CH308" s="4">
        <v>1.1688035738877327</v>
      </c>
      <c r="CI308" s="4">
        <v>9.6557438521367826E-3</v>
      </c>
      <c r="CJ308" s="4">
        <f>IF(Base[[#This Row],[Secteur]]&lt;&gt;"Moyenne",Base[[#This Row],['[Prod']'[Turnover']DMC_initiale]]*(1+Base[[#This Row],['[Prod']'[Turnover']Ecart_accidents]]*Base[[#This Row],['[Prod']Impact_motifs_turnover]]),CJ291*CI291+CJ292*CI292+CJ293*CI293+CJ294*CI294+CJ295*CI295+CJ296*CI296+CJ297*CI297+CJ298*CI298+CJ299*CI299+CJ300*CI300+CJ301*CI301+CJ302*CI302+CJ303*CI303+CJ304*CI304+CJ305*CI305+CJ306*CI306+CJ307*CI307)</f>
        <v>11.25582813464019</v>
      </c>
      <c r="CK308" s="4">
        <f>1/Base[[#This Row],['[Prod']'[Turnover']DMC_initiale]]</f>
        <v>9.0909090909090912E-2</v>
      </c>
      <c r="CL308" s="4">
        <f>1/Base[[#This Row],['[Prod']'[Turnover']DMC_finale]]</f>
        <v>8.8842863273868436E-2</v>
      </c>
    </row>
    <row r="309" spans="2:90" x14ac:dyDescent="0.25">
      <c r="B309" s="4" t="s">
        <v>319</v>
      </c>
      <c r="C309">
        <v>15</v>
      </c>
      <c r="D309" t="s">
        <v>83</v>
      </c>
      <c r="E309" t="s">
        <v>6</v>
      </c>
      <c r="F309" s="3">
        <v>0.1995745319487322</v>
      </c>
      <c r="G309" s="3">
        <v>8.741584028593305E-3</v>
      </c>
      <c r="H309" s="3">
        <v>8.741584028593305E-3</v>
      </c>
      <c r="I309" s="3">
        <v>6.8000000000000005E-2</v>
      </c>
      <c r="J309" s="3">
        <v>16.260750000000002</v>
      </c>
      <c r="K309" s="3">
        <v>7.0000000000000007E-2</v>
      </c>
      <c r="L309" s="2">
        <f>Base[[#This Row],[Coût]]*Base[[#This Row],[Part_ménages_dépenses_santé]]</f>
        <v>1.1382525000000001</v>
      </c>
      <c r="M309" s="2">
        <v>0.99809973356799431</v>
      </c>
      <c r="N309" s="6">
        <v>27700000</v>
      </c>
      <c r="O309" s="7">
        <f>Base[[#This Row],[Coût_salarié]]*10^9*Base[[#This Row],[Risque]]*Base[[#This Row],[Prévalence]]*Base[[#This Row],[Part_coûts_salarié]]/Base[[#This Row],[Population_emploi]]</f>
        <v>7.1553031685242463E-2</v>
      </c>
      <c r="P309">
        <v>50</v>
      </c>
      <c r="Q309">
        <v>50</v>
      </c>
      <c r="R309" s="2">
        <v>9.9999999999999978E-2</v>
      </c>
      <c r="S309" s="2">
        <v>0.33340000000000003</v>
      </c>
      <c r="T309" s="4">
        <v>8.741584028593305E-3</v>
      </c>
      <c r="U309" s="4">
        <f>IF(Bases_annexes!$F$5=0,16.6587111018772,0.77*Bases_annexes!$F$5/(IF(OR(ISBLANK('Données_d''entrée'!$E$44),'Données_d''entrée'!$E$44=0),35,'Données_d''entrée'!$E$44)*52))</f>
        <v>16.658711101877199</v>
      </c>
      <c r="V309" s="4">
        <v>80.324106187301894</v>
      </c>
      <c r="W3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09" s="4">
        <v>234.5</v>
      </c>
      <c r="Y309" s="4">
        <f>(Base[[#This Row],['[Maladies']Coûts_évités_par_salarié]]+Base[[#This Row],['[Travail']Coûts_évités_par_salarié]])/Base[[#This Row],[Budget_santé_salarié]]</f>
        <v>4.7432479224152977E-3</v>
      </c>
      <c r="Z309" s="4">
        <v>0.8</v>
      </c>
      <c r="AA309" s="4">
        <f>Base[[#This Row],[Coût]]*Base[[#This Row],[Part_société_dépenses_santé]]</f>
        <v>13.008600000000001</v>
      </c>
      <c r="AB309" s="4">
        <v>67635124</v>
      </c>
      <c r="AC309" s="4">
        <v>82.297079063317852</v>
      </c>
      <c r="AD309" s="4">
        <v>8.741584028593305E-3</v>
      </c>
      <c r="AE309" s="4">
        <f>Base[[#This Row],['[SC']Prévalence_travail]]*Base[[#This Row],[Population_emploi]]</f>
        <v>242141.87759203455</v>
      </c>
      <c r="AF309" s="4">
        <f>Base[[#This Row],[Risque]]*Base[[#This Row],['[SC']Patients_en_emploi]]</f>
        <v>48325.3518856175</v>
      </c>
      <c r="AG309" s="4">
        <v>1022040000</v>
      </c>
      <c r="AH309" s="4">
        <f>IFERROR(Base[[#This Row],['[SC']Prestations]]/Base[[#This Row],['[SC']Patients_en_emploi]],0)</f>
        <v>4220.8312340005614</v>
      </c>
      <c r="AI309" s="4">
        <v>51.7</v>
      </c>
      <c r="AJ3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09" s="4">
        <f>Base[[#This Row],['[SC']'[Travail']Coûts_évités]]/Base[[#This Row],[Population_emploi]]</f>
        <v>7.3636517918008035</v>
      </c>
      <c r="AL309" s="4">
        <f>Base[[#This Row],[Coût_société]]*10^9*Base[[#This Row],[Risque]]*Base[[#This Row],[Prévalence]]*Base[[#This Row],[Part_coûts_salarié]]/Base[[#This Row],[Population_emploi]]</f>
        <v>0.81774893354562839</v>
      </c>
      <c r="AM309" s="4">
        <f>IF(Base[[#This Row],[Pathologie]]&lt;&gt;"Dépendance",0,14909.24243952)</f>
        <v>0</v>
      </c>
      <c r="AN309" s="4">
        <f>IF(Base[[#This Row],[Pathologie]]&lt;&gt;"Dépendance",0,1316000)</f>
        <v>0</v>
      </c>
      <c r="AO309" s="4">
        <f>IF(Base[[#This Row],[Pathologie]]&lt;&gt;"Dépendance",0,Base[[#This Row],['[SC']Coût_personne_dépendante]]*Base[[#This Row],['[SC']Nb_personnes_dépendantes]])</f>
        <v>0</v>
      </c>
      <c r="AP309" s="4">
        <f>IF(Base[[#This Row],[Pathologie]]&lt;&gt;"Dépendance",0,Base[[#This Row],['[SC']Coût_total_dépendance]]/Base[[#This Row],[Population_totale]])</f>
        <v>0</v>
      </c>
      <c r="AQ309" s="4">
        <f>IF(Base[[#This Row],[Pathologie]]&lt;&gt;"Dépendance",0,4.5)</f>
        <v>0</v>
      </c>
      <c r="AR309" s="4">
        <v>0.83987615528424797</v>
      </c>
      <c r="AS309" s="4">
        <f>Base[[#This Row],[Espérance_vie]]+Base[[#This Row],['[SC']Hausse_esp_de_vie]]-Base[[#This Row],['[SC']Durée_moyenne_dépendance_avt]]+Base[[#This Row],[Risque]]</f>
        <v>83.336529750550824</v>
      </c>
      <c r="AT3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09" s="4">
        <v>62.9</v>
      </c>
      <c r="AW309" s="4">
        <f t="shared" si="0"/>
        <v>336905600000</v>
      </c>
      <c r="AX309" s="4">
        <v>15049171</v>
      </c>
      <c r="AY309" s="4">
        <f>Base[[#This Row],['[SC']Budget_total_retraites]]/Base[[#This Row],['[SC']Nombre_de_retraités]]</f>
        <v>22386.987296509556</v>
      </c>
      <c r="AZ309" s="4">
        <f>Base[[#This Row],['[SC']Budget_par_retraité]]*Base[[#This Row],['[SC']Nb_personnes_dépendantes]]</f>
        <v>0</v>
      </c>
      <c r="BA309" s="4">
        <f>Base[[#This Row],['[SC']'[Dépendance']Coût_retraite_personnes_dépendantes]]/Base[[#This Row],[Population_totale]]</f>
        <v>0</v>
      </c>
      <c r="BB30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09" s="4">
        <f>Base[[#This Row],['[SC']'[Dépendance']Gains]]-Base[[#This Row],['[SC']'[Dépendance']Coûts]]</f>
        <v>0</v>
      </c>
      <c r="BD309" s="4">
        <f>IF(Base[[#This Row],[Pathologie]]&lt;&gt;"Mort prématurée",0,Base[[#This Row],[Risque]]*Base[[#This Row],[Prévalence]]*Base[[#This Row],[Population_totale]])</f>
        <v>0</v>
      </c>
      <c r="BE309" s="4">
        <v>52.74</v>
      </c>
      <c r="BF309" s="4">
        <f>Base[[#This Row],['[SC']Âge_moyen_retraite]]-Base[[#This Row],['[SC']'[Mort_prématurée']Âge_moyen_mort précoce]]</f>
        <v>10.159999999999997</v>
      </c>
      <c r="BG309" s="4">
        <f>Base[[#This Row],[Espérance_vie]]+Base[[#This Row],['[SC']Hausse_esp_de_vie]]-Base[[#This Row],['[SC']Âge_moyen_retraite]]</f>
        <v>20.236955218602098</v>
      </c>
      <c r="BH309" s="4">
        <v>106583.42676924677</v>
      </c>
      <c r="BI309" s="4">
        <v>97601.789429271477</v>
      </c>
      <c r="BJ309" s="4">
        <v>302038.31496633729</v>
      </c>
      <c r="BK309" s="4">
        <v>117293.58934859755</v>
      </c>
      <c r="BL309" s="4">
        <v>1523999.9999999995</v>
      </c>
      <c r="BM3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09" s="4">
        <v>294804.96027377353</v>
      </c>
      <c r="BO3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09" s="4">
        <f>(Base[[#This Row],['[SC']'[Mort_prématurée']Gains]]-Base[[#This Row],['[SC']'[Mort_prématurée']Coûts]])/Base[[#This Row],[Population_totale]]</f>
        <v>0</v>
      </c>
      <c r="BQ309" s="4">
        <f>IF(Base[[#This Row],[Pathologie]]&lt;&gt;"Mort prématurée",0,Base[[#This Row],[Risque]])</f>
        <v>0</v>
      </c>
      <c r="BR309" s="4">
        <v>2680</v>
      </c>
      <c r="BS3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09" s="4">
        <f>Base[[#This Row],[Prévalence_prod]]*(1-Base[[#This Row],[Risque]])*Base[[#This Row],[Durée_arrêt]]*Base[[#This Row],[Population_emploi]]</f>
        <v>15568139.191696171</v>
      </c>
      <c r="BV309" s="4">
        <f>Base[[#This Row],['[Prod']'[Absentéisme']Total_jours_absence_avant]]-Base[[#This Row],['[Prod']'[Absentéisme']Total_jours_absence_après]]</f>
        <v>3881690.6963990703</v>
      </c>
      <c r="BW309" s="4">
        <f>IF(AND(Base[[#This Row],[Pathologie]]&lt;&gt;"Dépendance",Base[[#This Row],[Pathologie]]&lt;&gt;"Mort prématurée",Base[[#This Row],[Pathologie]]&lt;&gt;"Migraine"),0.0619,0)</f>
        <v>6.1899999999999997E-2</v>
      </c>
      <c r="BX309" s="4">
        <v>254</v>
      </c>
      <c r="BY309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09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09" s="4">
        <f>Base[[#This Row],[Prévalence_prod]]*Base[[#This Row],[Présentéisme]]*Base[[#This Row],['[Prod']Jours_ouvrés]]</f>
        <v>0.15098463934186357</v>
      </c>
      <c r="CB309" s="4">
        <f>Base[[#This Row],[Prévalence_prod]]*(1-Base[[#This Row],[Risque]])*Base[[#This Row],[Présentéisme]]*Base[[#This Row],['[Prod']Jours_ouvrés]]</f>
        <v>0.12085195061376301</v>
      </c>
      <c r="CC309" s="4">
        <f>Base[[#This Row],['[Prod']'[Présentéisme']Jours_avant]]-Base[[#This Row],['[Prod']'[Présentéisme']Jours_après]]</f>
        <v>3.0132688728100557E-2</v>
      </c>
      <c r="CD309" s="4">
        <f>Base[[#This Row],['[Prod']'[Présentéisme']Jours_gagnés]]/Base[[#This Row],['[Prod']Jours_ouvrés]]</f>
        <v>1.1863263278779747E-4</v>
      </c>
      <c r="CE309">
        <v>7.5880726467531134E-2</v>
      </c>
      <c r="CF309">
        <v>1.989821358241517E-2</v>
      </c>
      <c r="CG309" s="4">
        <v>11</v>
      </c>
      <c r="CH309" s="4">
        <v>0.52204401140486179</v>
      </c>
      <c r="CI309" s="4">
        <v>1.2443904150185675E-2</v>
      </c>
      <c r="CJ309" s="4">
        <f>IF(Base[[#This Row],[Secteur]]&lt;&gt;"Moyenne",Base[[#This Row],['[Prod']'[Turnover']DMC_initiale]]*(1+Base[[#This Row],['[Prod']'[Turnover']Ecart_accidents]]*Base[[#This Row],['[Prod']Impact_motifs_turnover]]),CJ292*CI292+CJ293*CI293+CJ294*CI294+CJ295*CI295+CJ296*CI296+CJ297*CI297+CJ298*CI298+CJ299*CI299+CJ300*CI300+CJ301*CI301+CJ302*CI302+CJ303*CI303+CJ304*CI304+CJ305*CI305+CJ306*CI306+CJ307*CI307+CJ308*CI308)</f>
        <v>11.114265175621902</v>
      </c>
      <c r="CK309" s="4">
        <f>1/Base[[#This Row],['[Prod']'[Turnover']DMC_initiale]]</f>
        <v>9.0909090909090912E-2</v>
      </c>
      <c r="CL309" s="4">
        <f>1/Base[[#This Row],['[Prod']'[Turnover']DMC_finale]]</f>
        <v>8.9974459327586145E-2</v>
      </c>
    </row>
    <row r="310" spans="2:90" x14ac:dyDescent="0.25">
      <c r="B310" s="4" t="s">
        <v>320</v>
      </c>
      <c r="C310">
        <v>15</v>
      </c>
      <c r="D310" t="s">
        <v>83</v>
      </c>
      <c r="E310" t="s">
        <v>6</v>
      </c>
      <c r="F310" s="3">
        <v>0.1995745319487322</v>
      </c>
      <c r="G310" s="3">
        <v>8.741584028593305E-3</v>
      </c>
      <c r="H310" s="3">
        <v>8.741584028593305E-3</v>
      </c>
      <c r="I310" s="3">
        <v>6.8000000000000005E-2</v>
      </c>
      <c r="J310" s="3">
        <v>16.260750000000002</v>
      </c>
      <c r="K310" s="3">
        <v>7.0000000000000007E-2</v>
      </c>
      <c r="L310" s="2">
        <f>Base[[#This Row],[Coût]]*Base[[#This Row],[Part_ménages_dépenses_santé]]</f>
        <v>1.1382525000000001</v>
      </c>
      <c r="M310" s="2">
        <v>0.99809973356799431</v>
      </c>
      <c r="N310" s="6">
        <v>27700000</v>
      </c>
      <c r="O310" s="7">
        <f>Base[[#This Row],[Coût_salarié]]*10^9*Base[[#This Row],[Risque]]*Base[[#This Row],[Prévalence]]*Base[[#This Row],[Part_coûts_salarié]]/Base[[#This Row],[Population_emploi]]</f>
        <v>7.1553031685242463E-2</v>
      </c>
      <c r="P310">
        <v>50</v>
      </c>
      <c r="Q310">
        <v>50</v>
      </c>
      <c r="R310" s="2">
        <v>9.9999999999999978E-2</v>
      </c>
      <c r="S310" s="2">
        <v>0.33340000000000003</v>
      </c>
      <c r="T310" s="4">
        <v>8.741584028593305E-3</v>
      </c>
      <c r="U310" s="4">
        <f>IF(Bases_annexes!$F$5=0,16.6587111018772,0.77*Bases_annexes!$F$5/(IF(OR(ISBLANK('Données_d''entrée'!$E$44),'Données_d''entrée'!$E$44=0),35,'Données_d''entrée'!$E$44)*52))</f>
        <v>16.658711101877199</v>
      </c>
      <c r="V310" s="4">
        <v>80.324106187301894</v>
      </c>
      <c r="W3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0" s="4">
        <v>234.5</v>
      </c>
      <c r="Y310" s="4">
        <f>(Base[[#This Row],['[Maladies']Coûts_évités_par_salarié]]+Base[[#This Row],['[Travail']Coûts_évités_par_salarié]])/Base[[#This Row],[Budget_santé_salarié]]</f>
        <v>4.7432479224152977E-3</v>
      </c>
      <c r="Z310" s="4">
        <v>0.8</v>
      </c>
      <c r="AA310" s="4">
        <f>Base[[#This Row],[Coût]]*Base[[#This Row],[Part_société_dépenses_santé]]</f>
        <v>13.008600000000001</v>
      </c>
      <c r="AB310" s="4">
        <v>67635124</v>
      </c>
      <c r="AC310" s="4">
        <v>82.297079063317852</v>
      </c>
      <c r="AD310" s="4">
        <v>8.741584028593305E-3</v>
      </c>
      <c r="AE310" s="4">
        <f>Base[[#This Row],['[SC']Prévalence_travail]]*Base[[#This Row],[Population_emploi]]</f>
        <v>242141.87759203455</v>
      </c>
      <c r="AF310" s="4">
        <f>Base[[#This Row],[Risque]]*Base[[#This Row],['[SC']Patients_en_emploi]]</f>
        <v>48325.3518856175</v>
      </c>
      <c r="AG310" s="4">
        <v>1022040000</v>
      </c>
      <c r="AH310" s="4">
        <f>IFERROR(Base[[#This Row],['[SC']Prestations]]/Base[[#This Row],['[SC']Patients_en_emploi]],0)</f>
        <v>4220.8312340005614</v>
      </c>
      <c r="AI310" s="4">
        <v>51.7</v>
      </c>
      <c r="AJ3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0" s="4">
        <f>Base[[#This Row],['[SC']'[Travail']Coûts_évités]]/Base[[#This Row],[Population_emploi]]</f>
        <v>7.3636517918008035</v>
      </c>
      <c r="AL310" s="4">
        <f>Base[[#This Row],[Coût_société]]*10^9*Base[[#This Row],[Risque]]*Base[[#This Row],[Prévalence]]*Base[[#This Row],[Part_coûts_salarié]]/Base[[#This Row],[Population_emploi]]</f>
        <v>0.81774893354562839</v>
      </c>
      <c r="AM310" s="4">
        <f>IF(Base[[#This Row],[Pathologie]]&lt;&gt;"Dépendance",0,14909.24243952)</f>
        <v>0</v>
      </c>
      <c r="AN310" s="4">
        <f>IF(Base[[#This Row],[Pathologie]]&lt;&gt;"Dépendance",0,1316000)</f>
        <v>0</v>
      </c>
      <c r="AO310" s="4">
        <f>IF(Base[[#This Row],[Pathologie]]&lt;&gt;"Dépendance",0,Base[[#This Row],['[SC']Coût_personne_dépendante]]*Base[[#This Row],['[SC']Nb_personnes_dépendantes]])</f>
        <v>0</v>
      </c>
      <c r="AP310" s="4">
        <f>IF(Base[[#This Row],[Pathologie]]&lt;&gt;"Dépendance",0,Base[[#This Row],['[SC']Coût_total_dépendance]]/Base[[#This Row],[Population_totale]])</f>
        <v>0</v>
      </c>
      <c r="AQ310" s="4">
        <f>IF(Base[[#This Row],[Pathologie]]&lt;&gt;"Dépendance",0,4.5)</f>
        <v>0</v>
      </c>
      <c r="AR310" s="4">
        <v>0.83987615528424797</v>
      </c>
      <c r="AS310" s="4">
        <f>Base[[#This Row],[Espérance_vie]]+Base[[#This Row],['[SC']Hausse_esp_de_vie]]-Base[[#This Row],['[SC']Durée_moyenne_dépendance_avt]]+Base[[#This Row],[Risque]]</f>
        <v>83.336529750550824</v>
      </c>
      <c r="AT3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0" s="4">
        <v>62.9</v>
      </c>
      <c r="AW310" s="4">
        <f t="shared" ref="AW310:AW322" si="3">336905600000</f>
        <v>336905600000</v>
      </c>
      <c r="AX310" s="4">
        <v>15049171</v>
      </c>
      <c r="AY310" s="4">
        <f>Base[[#This Row],['[SC']Budget_total_retraites]]/Base[[#This Row],['[SC']Nombre_de_retraités]]</f>
        <v>22386.987296509556</v>
      </c>
      <c r="AZ310" s="4">
        <f>Base[[#This Row],['[SC']Budget_par_retraité]]*Base[[#This Row],['[SC']Nb_personnes_dépendantes]]</f>
        <v>0</v>
      </c>
      <c r="BA310" s="4">
        <f>Base[[#This Row],['[SC']'[Dépendance']Coût_retraite_personnes_dépendantes]]/Base[[#This Row],[Population_totale]]</f>
        <v>0</v>
      </c>
      <c r="BB31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0" s="4">
        <f>Base[[#This Row],['[SC']'[Dépendance']Gains]]-Base[[#This Row],['[SC']'[Dépendance']Coûts]]</f>
        <v>0</v>
      </c>
      <c r="BD310" s="4">
        <f>IF(Base[[#This Row],[Pathologie]]&lt;&gt;"Mort prématurée",0,Base[[#This Row],[Risque]]*Base[[#This Row],[Prévalence]]*Base[[#This Row],[Population_totale]])</f>
        <v>0</v>
      </c>
      <c r="BE310" s="4">
        <v>52.74</v>
      </c>
      <c r="BF310" s="4">
        <f>Base[[#This Row],['[SC']Âge_moyen_retraite]]-Base[[#This Row],['[SC']'[Mort_prématurée']Âge_moyen_mort précoce]]</f>
        <v>10.159999999999997</v>
      </c>
      <c r="BG310" s="4">
        <f>Base[[#This Row],[Espérance_vie]]+Base[[#This Row],['[SC']Hausse_esp_de_vie]]-Base[[#This Row],['[SC']Âge_moyen_retraite]]</f>
        <v>20.236955218602098</v>
      </c>
      <c r="BH310" s="4">
        <v>106583.42676924677</v>
      </c>
      <c r="BI310" s="4">
        <v>97601.789429271477</v>
      </c>
      <c r="BJ310" s="4">
        <v>302038.31496633729</v>
      </c>
      <c r="BK310" s="4">
        <v>117293.58934859755</v>
      </c>
      <c r="BL310" s="4">
        <v>1523999.9999999995</v>
      </c>
      <c r="BM3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0" s="4">
        <v>294804.96027377353</v>
      </c>
      <c r="BO3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0" s="4">
        <f>(Base[[#This Row],['[SC']'[Mort_prématurée']Gains]]-Base[[#This Row],['[SC']'[Mort_prématurée']Coûts]])/Base[[#This Row],[Population_totale]]</f>
        <v>0</v>
      </c>
      <c r="BQ310" s="4">
        <f>IF(Base[[#This Row],[Pathologie]]&lt;&gt;"Mort prématurée",0,Base[[#This Row],[Risque]])</f>
        <v>0</v>
      </c>
      <c r="BR310" s="4">
        <v>2680</v>
      </c>
      <c r="BS3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0" s="4">
        <f>Base[[#This Row],[Prévalence_prod]]*(1-Base[[#This Row],[Risque]])*Base[[#This Row],[Durée_arrêt]]*Base[[#This Row],[Population_emploi]]</f>
        <v>15568139.191696171</v>
      </c>
      <c r="BV310" s="4">
        <f>Base[[#This Row],['[Prod']'[Absentéisme']Total_jours_absence_avant]]-Base[[#This Row],['[Prod']'[Absentéisme']Total_jours_absence_après]]</f>
        <v>3881690.6963990703</v>
      </c>
      <c r="BW310" s="4">
        <f>IF(AND(Base[[#This Row],[Pathologie]]&lt;&gt;"Dépendance",Base[[#This Row],[Pathologie]]&lt;&gt;"Mort prématurée",Base[[#This Row],[Pathologie]]&lt;&gt;"Migraine"),0.0619,0)</f>
        <v>6.1899999999999997E-2</v>
      </c>
      <c r="BX310" s="4">
        <v>254</v>
      </c>
      <c r="BY310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0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0" s="4">
        <f>Base[[#This Row],[Prévalence_prod]]*Base[[#This Row],[Présentéisme]]*Base[[#This Row],['[Prod']Jours_ouvrés]]</f>
        <v>0.15098463934186357</v>
      </c>
      <c r="CB310" s="4">
        <f>Base[[#This Row],[Prévalence_prod]]*(1-Base[[#This Row],[Risque]])*Base[[#This Row],[Présentéisme]]*Base[[#This Row],['[Prod']Jours_ouvrés]]</f>
        <v>0.12085195061376301</v>
      </c>
      <c r="CC310" s="4">
        <f>Base[[#This Row],['[Prod']'[Présentéisme']Jours_avant]]-Base[[#This Row],['[Prod']'[Présentéisme']Jours_après]]</f>
        <v>3.0132688728100557E-2</v>
      </c>
      <c r="CD310" s="4">
        <f>Base[[#This Row],['[Prod']'[Présentéisme']Jours_gagnés]]/Base[[#This Row],['[Prod']Jours_ouvrés]]</f>
        <v>1.1863263278779747E-4</v>
      </c>
      <c r="CE310">
        <v>7.5880726467531134E-2</v>
      </c>
      <c r="CF310">
        <v>1.989821358241517E-2</v>
      </c>
      <c r="CG310" s="4">
        <v>11</v>
      </c>
      <c r="CH310" s="4">
        <v>0.49446424657188709</v>
      </c>
      <c r="CI310" s="4">
        <v>1.0795805058605798E-2</v>
      </c>
      <c r="CJ310" s="4">
        <f>IF(Base[[#This Row],[Secteur]]&lt;&gt;"Moyenne",Base[[#This Row],['[Prod']'[Turnover']DMC_initiale]]*(1+Base[[#This Row],['[Prod']'[Turnover']Ecart_accidents]]*Base[[#This Row],['[Prod']Impact_motifs_turnover]]),CJ293*CI293+CJ294*CI294+CJ295*CI295+CJ296*CI296+CJ297*CI297+CJ298*CI298+CJ299*CI299+CJ300*CI300+CJ301*CI301+CJ302*CI302+CJ303*CI303+CJ304*CI304+CJ305*CI305+CJ306*CI306+CJ307*CI307+CJ308*CI308+CJ309*CI309)</f>
        <v>11.108228507058708</v>
      </c>
      <c r="CK310" s="4">
        <f>1/Base[[#This Row],['[Prod']'[Turnover']DMC_initiale]]</f>
        <v>9.0909090909090912E-2</v>
      </c>
      <c r="CL310" s="4">
        <f>1/Base[[#This Row],['[Prod']'[Turnover']DMC_finale]]</f>
        <v>9.0023355151953477E-2</v>
      </c>
    </row>
    <row r="311" spans="2:90" x14ac:dyDescent="0.25">
      <c r="B311" s="4" t="s">
        <v>321</v>
      </c>
      <c r="C311">
        <v>15</v>
      </c>
      <c r="D311" t="s">
        <v>83</v>
      </c>
      <c r="E311" t="s">
        <v>6</v>
      </c>
      <c r="F311" s="3">
        <v>0.1995745319487322</v>
      </c>
      <c r="G311" s="3">
        <v>8.741584028593305E-3</v>
      </c>
      <c r="H311" s="3">
        <v>8.741584028593305E-3</v>
      </c>
      <c r="I311" s="3">
        <v>6.8000000000000005E-2</v>
      </c>
      <c r="J311" s="3">
        <v>16.260750000000002</v>
      </c>
      <c r="K311" s="3">
        <v>7.0000000000000007E-2</v>
      </c>
      <c r="L311" s="2">
        <f>Base[[#This Row],[Coût]]*Base[[#This Row],[Part_ménages_dépenses_santé]]</f>
        <v>1.1382525000000001</v>
      </c>
      <c r="M311" s="2">
        <v>0.99809973356799431</v>
      </c>
      <c r="N311" s="6">
        <v>27700000</v>
      </c>
      <c r="O311" s="7">
        <f>Base[[#This Row],[Coût_salarié]]*10^9*Base[[#This Row],[Risque]]*Base[[#This Row],[Prévalence]]*Base[[#This Row],[Part_coûts_salarié]]/Base[[#This Row],[Population_emploi]]</f>
        <v>7.1553031685242463E-2</v>
      </c>
      <c r="P311">
        <v>50</v>
      </c>
      <c r="Q311">
        <v>50</v>
      </c>
      <c r="R311" s="2">
        <v>9.9999999999999978E-2</v>
      </c>
      <c r="S311" s="2">
        <v>0.33340000000000003</v>
      </c>
      <c r="T311" s="4">
        <v>8.741584028593305E-3</v>
      </c>
      <c r="U311" s="4">
        <f>IF(Bases_annexes!$F$5=0,16.6587111018772,0.77*Bases_annexes!$F$5/(IF(OR(ISBLANK('Données_d''entrée'!$E$44),'Données_d''entrée'!$E$44=0),35,'Données_d''entrée'!$E$44)*52))</f>
        <v>16.658711101877199</v>
      </c>
      <c r="V311" s="4">
        <v>80.324106187301894</v>
      </c>
      <c r="W3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1" s="4">
        <v>234.5</v>
      </c>
      <c r="Y311" s="4">
        <f>(Base[[#This Row],['[Maladies']Coûts_évités_par_salarié]]+Base[[#This Row],['[Travail']Coûts_évités_par_salarié]])/Base[[#This Row],[Budget_santé_salarié]]</f>
        <v>4.7432479224152977E-3</v>
      </c>
      <c r="Z311" s="4">
        <v>0.8</v>
      </c>
      <c r="AA311" s="4">
        <f>Base[[#This Row],[Coût]]*Base[[#This Row],[Part_société_dépenses_santé]]</f>
        <v>13.008600000000001</v>
      </c>
      <c r="AB311" s="4">
        <v>67635124</v>
      </c>
      <c r="AC311" s="4">
        <v>82.297079063317852</v>
      </c>
      <c r="AD311" s="4">
        <v>8.741584028593305E-3</v>
      </c>
      <c r="AE311" s="4">
        <f>Base[[#This Row],['[SC']Prévalence_travail]]*Base[[#This Row],[Population_emploi]]</f>
        <v>242141.87759203455</v>
      </c>
      <c r="AF311" s="4">
        <f>Base[[#This Row],[Risque]]*Base[[#This Row],['[SC']Patients_en_emploi]]</f>
        <v>48325.3518856175</v>
      </c>
      <c r="AG311" s="4">
        <v>1022040000</v>
      </c>
      <c r="AH311" s="4">
        <f>IFERROR(Base[[#This Row],['[SC']Prestations]]/Base[[#This Row],['[SC']Patients_en_emploi]],0)</f>
        <v>4220.8312340005614</v>
      </c>
      <c r="AI311" s="4">
        <v>51.7</v>
      </c>
      <c r="AJ3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1" s="4">
        <f>Base[[#This Row],['[SC']'[Travail']Coûts_évités]]/Base[[#This Row],[Population_emploi]]</f>
        <v>7.3636517918008035</v>
      </c>
      <c r="AL311" s="4">
        <f>Base[[#This Row],[Coût_société]]*10^9*Base[[#This Row],[Risque]]*Base[[#This Row],[Prévalence]]*Base[[#This Row],[Part_coûts_salarié]]/Base[[#This Row],[Population_emploi]]</f>
        <v>0.81774893354562839</v>
      </c>
      <c r="AM311" s="4">
        <f>IF(Base[[#This Row],[Pathologie]]&lt;&gt;"Dépendance",0,14909.24243952)</f>
        <v>0</v>
      </c>
      <c r="AN311" s="4">
        <f>IF(Base[[#This Row],[Pathologie]]&lt;&gt;"Dépendance",0,1316000)</f>
        <v>0</v>
      </c>
      <c r="AO311" s="4">
        <f>IF(Base[[#This Row],[Pathologie]]&lt;&gt;"Dépendance",0,Base[[#This Row],['[SC']Coût_personne_dépendante]]*Base[[#This Row],['[SC']Nb_personnes_dépendantes]])</f>
        <v>0</v>
      </c>
      <c r="AP311" s="4">
        <f>IF(Base[[#This Row],[Pathologie]]&lt;&gt;"Dépendance",0,Base[[#This Row],['[SC']Coût_total_dépendance]]/Base[[#This Row],[Population_totale]])</f>
        <v>0</v>
      </c>
      <c r="AQ311" s="4">
        <f>IF(Base[[#This Row],[Pathologie]]&lt;&gt;"Dépendance",0,4.5)</f>
        <v>0</v>
      </c>
      <c r="AR311" s="4">
        <v>0.83987615528424797</v>
      </c>
      <c r="AS311" s="4">
        <f>Base[[#This Row],[Espérance_vie]]+Base[[#This Row],['[SC']Hausse_esp_de_vie]]-Base[[#This Row],['[SC']Durée_moyenne_dépendance_avt]]+Base[[#This Row],[Risque]]</f>
        <v>83.336529750550824</v>
      </c>
      <c r="AT3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1" s="4">
        <v>62.9</v>
      </c>
      <c r="AW311" s="4">
        <f t="shared" si="3"/>
        <v>336905600000</v>
      </c>
      <c r="AX311" s="4">
        <v>15049171</v>
      </c>
      <c r="AY311" s="4">
        <f>Base[[#This Row],['[SC']Budget_total_retraites]]/Base[[#This Row],['[SC']Nombre_de_retraités]]</f>
        <v>22386.987296509556</v>
      </c>
      <c r="AZ311" s="4">
        <f>Base[[#This Row],['[SC']Budget_par_retraité]]*Base[[#This Row],['[SC']Nb_personnes_dépendantes]]</f>
        <v>0</v>
      </c>
      <c r="BA311" s="4">
        <f>Base[[#This Row],['[SC']'[Dépendance']Coût_retraite_personnes_dépendantes]]/Base[[#This Row],[Population_totale]]</f>
        <v>0</v>
      </c>
      <c r="BB31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1" s="4">
        <f>Base[[#This Row],['[SC']'[Dépendance']Gains]]-Base[[#This Row],['[SC']'[Dépendance']Coûts]]</f>
        <v>0</v>
      </c>
      <c r="BD311" s="4">
        <f>IF(Base[[#This Row],[Pathologie]]&lt;&gt;"Mort prématurée",0,Base[[#This Row],[Risque]]*Base[[#This Row],[Prévalence]]*Base[[#This Row],[Population_totale]])</f>
        <v>0</v>
      </c>
      <c r="BE311" s="4">
        <v>52.74</v>
      </c>
      <c r="BF311" s="4">
        <f>Base[[#This Row],['[SC']Âge_moyen_retraite]]-Base[[#This Row],['[SC']'[Mort_prématurée']Âge_moyen_mort précoce]]</f>
        <v>10.159999999999997</v>
      </c>
      <c r="BG311" s="4">
        <f>Base[[#This Row],[Espérance_vie]]+Base[[#This Row],['[SC']Hausse_esp_de_vie]]-Base[[#This Row],['[SC']Âge_moyen_retraite]]</f>
        <v>20.236955218602098</v>
      </c>
      <c r="BH311" s="4">
        <v>106583.42676924677</v>
      </c>
      <c r="BI311" s="4">
        <v>97601.789429271477</v>
      </c>
      <c r="BJ311" s="4">
        <v>302038.31496633729</v>
      </c>
      <c r="BK311" s="4">
        <v>117293.58934859755</v>
      </c>
      <c r="BL311" s="4">
        <v>1523999.9999999995</v>
      </c>
      <c r="BM3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1" s="4">
        <v>294804.96027377353</v>
      </c>
      <c r="BO3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1" s="4">
        <f>(Base[[#This Row],['[SC']'[Mort_prématurée']Gains]]-Base[[#This Row],['[SC']'[Mort_prématurée']Coûts]])/Base[[#This Row],[Population_totale]]</f>
        <v>0</v>
      </c>
      <c r="BQ311" s="4">
        <f>IF(Base[[#This Row],[Pathologie]]&lt;&gt;"Mort prématurée",0,Base[[#This Row],[Risque]])</f>
        <v>0</v>
      </c>
      <c r="BR311" s="4">
        <v>2680</v>
      </c>
      <c r="BS3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1" s="4">
        <f>Base[[#This Row],[Prévalence_prod]]*(1-Base[[#This Row],[Risque]])*Base[[#This Row],[Durée_arrêt]]*Base[[#This Row],[Population_emploi]]</f>
        <v>15568139.191696171</v>
      </c>
      <c r="BV311" s="4">
        <f>Base[[#This Row],['[Prod']'[Absentéisme']Total_jours_absence_avant]]-Base[[#This Row],['[Prod']'[Absentéisme']Total_jours_absence_après]]</f>
        <v>3881690.6963990703</v>
      </c>
      <c r="BW311" s="4">
        <f>IF(AND(Base[[#This Row],[Pathologie]]&lt;&gt;"Dépendance",Base[[#This Row],[Pathologie]]&lt;&gt;"Mort prématurée",Base[[#This Row],[Pathologie]]&lt;&gt;"Migraine"),0.0619,0)</f>
        <v>6.1899999999999997E-2</v>
      </c>
      <c r="BX311" s="4">
        <v>254</v>
      </c>
      <c r="BY31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1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1" s="4">
        <f>Base[[#This Row],[Prévalence_prod]]*Base[[#This Row],[Présentéisme]]*Base[[#This Row],['[Prod']Jours_ouvrés]]</f>
        <v>0.15098463934186357</v>
      </c>
      <c r="CB311" s="4">
        <f>Base[[#This Row],[Prévalence_prod]]*(1-Base[[#This Row],[Risque]])*Base[[#This Row],[Présentéisme]]*Base[[#This Row],['[Prod']Jours_ouvrés]]</f>
        <v>0.12085195061376301</v>
      </c>
      <c r="CC311" s="4">
        <f>Base[[#This Row],['[Prod']'[Présentéisme']Jours_avant]]-Base[[#This Row],['[Prod']'[Présentéisme']Jours_après]]</f>
        <v>3.0132688728100557E-2</v>
      </c>
      <c r="CD311" s="4">
        <f>Base[[#This Row],['[Prod']'[Présentéisme']Jours_gagnés]]/Base[[#This Row],['[Prod']Jours_ouvrés]]</f>
        <v>1.1863263278779747E-4</v>
      </c>
      <c r="CE311">
        <v>7.5880726467531134E-2</v>
      </c>
      <c r="CF311">
        <v>1.989821358241517E-2</v>
      </c>
      <c r="CG311" s="4">
        <v>11</v>
      </c>
      <c r="CH311" s="4">
        <v>0.85274500894619554</v>
      </c>
      <c r="CI311" s="4">
        <v>4.2903496994109176E-2</v>
      </c>
      <c r="CJ311" s="4">
        <f>IF(Base[[#This Row],[Secteur]]&lt;&gt;"Moyenne",Base[[#This Row],['[Prod']'[Turnover']DMC_initiale]]*(1+Base[[#This Row],['[Prod']'[Turnover']Ecart_accidents]]*Base[[#This Row],['[Prod']Impact_motifs_turnover]]),CJ294*CI294+CJ295*CI295+CJ296*CI296+CJ297*CI297+CJ298*CI298+CJ299*CI299+CJ300*CI300+CJ301*CI301+CJ302*CI302+CJ303*CI303+CJ304*CI304+CJ305*CI305+CJ306*CI306+CJ307*CI307+CJ308*CI308+CJ309*CI309+CJ310*CI310)</f>
        <v>11.186649125512849</v>
      </c>
      <c r="CK311" s="4">
        <f>1/Base[[#This Row],['[Prod']'[Turnover']DMC_initiale]]</f>
        <v>9.0909090909090912E-2</v>
      </c>
      <c r="CL311" s="4">
        <f>1/Base[[#This Row],['[Prod']'[Turnover']DMC_finale]]</f>
        <v>8.9392273663017496E-2</v>
      </c>
    </row>
    <row r="312" spans="2:90" x14ac:dyDescent="0.25">
      <c r="B312" s="4" t="s">
        <v>322</v>
      </c>
      <c r="C312">
        <v>15</v>
      </c>
      <c r="D312" t="s">
        <v>83</v>
      </c>
      <c r="E312" t="s">
        <v>6</v>
      </c>
      <c r="F312" s="3">
        <v>0.1995745319487322</v>
      </c>
      <c r="G312" s="3">
        <v>8.741584028593305E-3</v>
      </c>
      <c r="H312" s="3">
        <v>8.741584028593305E-3</v>
      </c>
      <c r="I312" s="3">
        <v>6.8000000000000005E-2</v>
      </c>
      <c r="J312" s="3">
        <v>16.260750000000002</v>
      </c>
      <c r="K312" s="3">
        <v>7.0000000000000007E-2</v>
      </c>
      <c r="L312" s="2">
        <f>Base[[#This Row],[Coût]]*Base[[#This Row],[Part_ménages_dépenses_santé]]</f>
        <v>1.1382525000000001</v>
      </c>
      <c r="M312" s="2">
        <v>0.99809973356799431</v>
      </c>
      <c r="N312" s="6">
        <v>27700000</v>
      </c>
      <c r="O312" s="7">
        <f>Base[[#This Row],[Coût_salarié]]*10^9*Base[[#This Row],[Risque]]*Base[[#This Row],[Prévalence]]*Base[[#This Row],[Part_coûts_salarié]]/Base[[#This Row],[Population_emploi]]</f>
        <v>7.1553031685242463E-2</v>
      </c>
      <c r="P312">
        <v>50</v>
      </c>
      <c r="Q312">
        <v>50</v>
      </c>
      <c r="R312" s="2">
        <v>9.9999999999999978E-2</v>
      </c>
      <c r="S312" s="2">
        <v>0.33340000000000003</v>
      </c>
      <c r="T312" s="4">
        <v>8.741584028593305E-3</v>
      </c>
      <c r="U312" s="4">
        <f>IF(Bases_annexes!$F$5=0,16.6587111018772,0.77*Bases_annexes!$F$5/(IF(OR(ISBLANK('Données_d''entrée'!$E$44),'Données_d''entrée'!$E$44=0),35,'Données_d''entrée'!$E$44)*52))</f>
        <v>16.658711101877199</v>
      </c>
      <c r="V312" s="4">
        <v>80.324106187301894</v>
      </c>
      <c r="W3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2" s="4">
        <v>234.5</v>
      </c>
      <c r="Y312" s="4">
        <f>(Base[[#This Row],['[Maladies']Coûts_évités_par_salarié]]+Base[[#This Row],['[Travail']Coûts_évités_par_salarié]])/Base[[#This Row],[Budget_santé_salarié]]</f>
        <v>4.7432479224152977E-3</v>
      </c>
      <c r="Z312" s="4">
        <v>0.8</v>
      </c>
      <c r="AA312" s="4">
        <f>Base[[#This Row],[Coût]]*Base[[#This Row],[Part_société_dépenses_santé]]</f>
        <v>13.008600000000001</v>
      </c>
      <c r="AB312" s="4">
        <v>67635124</v>
      </c>
      <c r="AC312" s="4">
        <v>82.297079063317852</v>
      </c>
      <c r="AD312" s="4">
        <v>8.741584028593305E-3</v>
      </c>
      <c r="AE312" s="4">
        <f>Base[[#This Row],['[SC']Prévalence_travail]]*Base[[#This Row],[Population_emploi]]</f>
        <v>242141.87759203455</v>
      </c>
      <c r="AF312" s="4">
        <f>Base[[#This Row],[Risque]]*Base[[#This Row],['[SC']Patients_en_emploi]]</f>
        <v>48325.3518856175</v>
      </c>
      <c r="AG312" s="4">
        <v>1022040000</v>
      </c>
      <c r="AH312" s="4">
        <f>IFERROR(Base[[#This Row],['[SC']Prestations]]/Base[[#This Row],['[SC']Patients_en_emploi]],0)</f>
        <v>4220.8312340005614</v>
      </c>
      <c r="AI312" s="4">
        <v>51.7</v>
      </c>
      <c r="AJ3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2" s="4">
        <f>Base[[#This Row],['[SC']'[Travail']Coûts_évités]]/Base[[#This Row],[Population_emploi]]</f>
        <v>7.3636517918008035</v>
      </c>
      <c r="AL312" s="4">
        <f>Base[[#This Row],[Coût_société]]*10^9*Base[[#This Row],[Risque]]*Base[[#This Row],[Prévalence]]*Base[[#This Row],[Part_coûts_salarié]]/Base[[#This Row],[Population_emploi]]</f>
        <v>0.81774893354562839</v>
      </c>
      <c r="AM312" s="4">
        <f>IF(Base[[#This Row],[Pathologie]]&lt;&gt;"Dépendance",0,14909.24243952)</f>
        <v>0</v>
      </c>
      <c r="AN312" s="4">
        <f>IF(Base[[#This Row],[Pathologie]]&lt;&gt;"Dépendance",0,1316000)</f>
        <v>0</v>
      </c>
      <c r="AO312" s="4">
        <f>IF(Base[[#This Row],[Pathologie]]&lt;&gt;"Dépendance",0,Base[[#This Row],['[SC']Coût_personne_dépendante]]*Base[[#This Row],['[SC']Nb_personnes_dépendantes]])</f>
        <v>0</v>
      </c>
      <c r="AP312" s="4">
        <f>IF(Base[[#This Row],[Pathologie]]&lt;&gt;"Dépendance",0,Base[[#This Row],['[SC']Coût_total_dépendance]]/Base[[#This Row],[Population_totale]])</f>
        <v>0</v>
      </c>
      <c r="AQ312" s="4">
        <f>IF(Base[[#This Row],[Pathologie]]&lt;&gt;"Dépendance",0,4.5)</f>
        <v>0</v>
      </c>
      <c r="AR312" s="4">
        <v>0.83987615528424797</v>
      </c>
      <c r="AS312" s="4">
        <f>Base[[#This Row],[Espérance_vie]]+Base[[#This Row],['[SC']Hausse_esp_de_vie]]-Base[[#This Row],['[SC']Durée_moyenne_dépendance_avt]]+Base[[#This Row],[Risque]]</f>
        <v>83.336529750550824</v>
      </c>
      <c r="AT3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2" s="4">
        <v>62.9</v>
      </c>
      <c r="AW312" s="4">
        <f t="shared" si="3"/>
        <v>336905600000</v>
      </c>
      <c r="AX312" s="4">
        <v>15049171</v>
      </c>
      <c r="AY312" s="4">
        <f>Base[[#This Row],['[SC']Budget_total_retraites]]/Base[[#This Row],['[SC']Nombre_de_retraités]]</f>
        <v>22386.987296509556</v>
      </c>
      <c r="AZ312" s="4">
        <f>Base[[#This Row],['[SC']Budget_par_retraité]]*Base[[#This Row],['[SC']Nb_personnes_dépendantes]]</f>
        <v>0</v>
      </c>
      <c r="BA312" s="4">
        <f>Base[[#This Row],['[SC']'[Dépendance']Coût_retraite_personnes_dépendantes]]/Base[[#This Row],[Population_totale]]</f>
        <v>0</v>
      </c>
      <c r="BB31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2" s="4">
        <f>Base[[#This Row],['[SC']'[Dépendance']Gains]]-Base[[#This Row],['[SC']'[Dépendance']Coûts]]</f>
        <v>0</v>
      </c>
      <c r="BD312" s="4">
        <f>IF(Base[[#This Row],[Pathologie]]&lt;&gt;"Mort prématurée",0,Base[[#This Row],[Risque]]*Base[[#This Row],[Prévalence]]*Base[[#This Row],[Population_totale]])</f>
        <v>0</v>
      </c>
      <c r="BE312" s="4">
        <v>52.74</v>
      </c>
      <c r="BF312" s="4">
        <f>Base[[#This Row],['[SC']Âge_moyen_retraite]]-Base[[#This Row],['[SC']'[Mort_prématurée']Âge_moyen_mort précoce]]</f>
        <v>10.159999999999997</v>
      </c>
      <c r="BG312" s="4">
        <f>Base[[#This Row],[Espérance_vie]]+Base[[#This Row],['[SC']Hausse_esp_de_vie]]-Base[[#This Row],['[SC']Âge_moyen_retraite]]</f>
        <v>20.236955218602098</v>
      </c>
      <c r="BH312" s="4">
        <v>106583.42676924677</v>
      </c>
      <c r="BI312" s="4">
        <v>97601.789429271477</v>
      </c>
      <c r="BJ312" s="4">
        <v>302038.31496633729</v>
      </c>
      <c r="BK312" s="4">
        <v>117293.58934859755</v>
      </c>
      <c r="BL312" s="4">
        <v>1523999.9999999995</v>
      </c>
      <c r="BM3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2" s="4">
        <v>294804.96027377353</v>
      </c>
      <c r="BO3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2" s="4">
        <f>(Base[[#This Row],['[SC']'[Mort_prématurée']Gains]]-Base[[#This Row],['[SC']'[Mort_prématurée']Coûts]])/Base[[#This Row],[Population_totale]]</f>
        <v>0</v>
      </c>
      <c r="BQ312" s="4">
        <f>IF(Base[[#This Row],[Pathologie]]&lt;&gt;"Mort prématurée",0,Base[[#This Row],[Risque]])</f>
        <v>0</v>
      </c>
      <c r="BR312" s="4">
        <v>2680</v>
      </c>
      <c r="BS3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2" s="4">
        <f>Base[[#This Row],[Prévalence_prod]]*(1-Base[[#This Row],[Risque]])*Base[[#This Row],[Durée_arrêt]]*Base[[#This Row],[Population_emploi]]</f>
        <v>15568139.191696171</v>
      </c>
      <c r="BV312" s="4">
        <f>Base[[#This Row],['[Prod']'[Absentéisme']Total_jours_absence_avant]]-Base[[#This Row],['[Prod']'[Absentéisme']Total_jours_absence_après]]</f>
        <v>3881690.6963990703</v>
      </c>
      <c r="BW312" s="4">
        <f>IF(AND(Base[[#This Row],[Pathologie]]&lt;&gt;"Dépendance",Base[[#This Row],[Pathologie]]&lt;&gt;"Mort prématurée",Base[[#This Row],[Pathologie]]&lt;&gt;"Migraine"),0.0619,0)</f>
        <v>6.1899999999999997E-2</v>
      </c>
      <c r="BX312" s="4">
        <v>254</v>
      </c>
      <c r="BY31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2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2" s="4">
        <f>Base[[#This Row],[Prévalence_prod]]*Base[[#This Row],[Présentéisme]]*Base[[#This Row],['[Prod']Jours_ouvrés]]</f>
        <v>0.15098463934186357</v>
      </c>
      <c r="CB312" s="4">
        <f>Base[[#This Row],[Prévalence_prod]]*(1-Base[[#This Row],[Risque]])*Base[[#This Row],[Présentéisme]]*Base[[#This Row],['[Prod']Jours_ouvrés]]</f>
        <v>0.12085195061376301</v>
      </c>
      <c r="CC312" s="4">
        <f>Base[[#This Row],['[Prod']'[Présentéisme']Jours_avant]]-Base[[#This Row],['[Prod']'[Présentéisme']Jours_après]]</f>
        <v>3.0132688728100557E-2</v>
      </c>
      <c r="CD312" s="4">
        <f>Base[[#This Row],['[Prod']'[Présentéisme']Jours_gagnés]]/Base[[#This Row],['[Prod']Jours_ouvrés]]</f>
        <v>1.1863263278779747E-4</v>
      </c>
      <c r="CE312">
        <v>7.5880726467531134E-2</v>
      </c>
      <c r="CF312">
        <v>1.989821358241517E-2</v>
      </c>
      <c r="CG312" s="4">
        <v>11</v>
      </c>
      <c r="CH312" s="4">
        <v>1.6219398392978641</v>
      </c>
      <c r="CI312" s="4">
        <v>9.628527536862988E-2</v>
      </c>
      <c r="CJ312" s="4">
        <f>IF(Base[[#This Row],[Secteur]]&lt;&gt;"Moyenne",Base[[#This Row],['[Prod']'[Turnover']DMC_initiale]]*(1+Base[[#This Row],['[Prod']'[Turnover']Ecart_accidents]]*Base[[#This Row],['[Prod']Impact_motifs_turnover]]),CJ295*CI295+CJ296*CI296+CJ297*CI297+CJ298*CI298+CJ299*CI299+CJ300*CI300+CJ301*CI301+CJ302*CI302+CJ303*CI303+CJ304*CI304+CJ305*CI305+CJ306*CI306+CJ307*CI307+CJ308*CI308+CJ309*CI309+CJ310*CI310+CJ311*CI311)</f>
        <v>11.355010758741946</v>
      </c>
      <c r="CK312" s="4">
        <f>1/Base[[#This Row],['[Prod']'[Turnover']DMC_initiale]]</f>
        <v>9.0909090909090912E-2</v>
      </c>
      <c r="CL312" s="4">
        <f>1/Base[[#This Row],['[Prod']'[Turnover']DMC_finale]]</f>
        <v>8.8066847425056327E-2</v>
      </c>
    </row>
    <row r="313" spans="2:90" x14ac:dyDescent="0.25">
      <c r="B313" s="4" t="s">
        <v>323</v>
      </c>
      <c r="C313">
        <v>15</v>
      </c>
      <c r="D313" t="s">
        <v>83</v>
      </c>
      <c r="E313" t="s">
        <v>6</v>
      </c>
      <c r="F313" s="3">
        <v>0.1995745319487322</v>
      </c>
      <c r="G313" s="3">
        <v>8.741584028593305E-3</v>
      </c>
      <c r="H313" s="3">
        <v>8.741584028593305E-3</v>
      </c>
      <c r="I313" s="3">
        <v>6.8000000000000005E-2</v>
      </c>
      <c r="J313" s="3">
        <v>16.260750000000002</v>
      </c>
      <c r="K313" s="3">
        <v>7.0000000000000007E-2</v>
      </c>
      <c r="L313" s="2">
        <f>Base[[#This Row],[Coût]]*Base[[#This Row],[Part_ménages_dépenses_santé]]</f>
        <v>1.1382525000000001</v>
      </c>
      <c r="M313" s="2">
        <v>0.99809973356799431</v>
      </c>
      <c r="N313" s="6">
        <v>27700000</v>
      </c>
      <c r="O313" s="7">
        <f>Base[[#This Row],[Coût_salarié]]*10^9*Base[[#This Row],[Risque]]*Base[[#This Row],[Prévalence]]*Base[[#This Row],[Part_coûts_salarié]]/Base[[#This Row],[Population_emploi]]</f>
        <v>7.1553031685242463E-2</v>
      </c>
      <c r="P313">
        <v>50</v>
      </c>
      <c r="Q313">
        <v>50</v>
      </c>
      <c r="R313" s="2">
        <v>9.9999999999999978E-2</v>
      </c>
      <c r="S313" s="2">
        <v>0.33340000000000003</v>
      </c>
      <c r="T313" s="4">
        <v>8.741584028593305E-3</v>
      </c>
      <c r="U313" s="4">
        <f>IF(Bases_annexes!$F$5=0,16.6587111018772,0.77*Bases_annexes!$F$5/(IF(OR(ISBLANK('Données_d''entrée'!$E$44),'Données_d''entrée'!$E$44=0),35,'Données_d''entrée'!$E$44)*52))</f>
        <v>16.658711101877199</v>
      </c>
      <c r="V313" s="4">
        <v>80.324106187301894</v>
      </c>
      <c r="W3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3" s="4">
        <v>234.5</v>
      </c>
      <c r="Y313" s="4">
        <f>(Base[[#This Row],['[Maladies']Coûts_évités_par_salarié]]+Base[[#This Row],['[Travail']Coûts_évités_par_salarié]])/Base[[#This Row],[Budget_santé_salarié]]</f>
        <v>4.7432479224152977E-3</v>
      </c>
      <c r="Z313" s="4">
        <v>0.8</v>
      </c>
      <c r="AA313" s="4">
        <f>Base[[#This Row],[Coût]]*Base[[#This Row],[Part_société_dépenses_santé]]</f>
        <v>13.008600000000001</v>
      </c>
      <c r="AB313" s="4">
        <v>67635124</v>
      </c>
      <c r="AC313" s="4">
        <v>82.297079063317852</v>
      </c>
      <c r="AD313" s="4">
        <v>8.741584028593305E-3</v>
      </c>
      <c r="AE313" s="4">
        <f>Base[[#This Row],['[SC']Prévalence_travail]]*Base[[#This Row],[Population_emploi]]</f>
        <v>242141.87759203455</v>
      </c>
      <c r="AF313" s="4">
        <f>Base[[#This Row],[Risque]]*Base[[#This Row],['[SC']Patients_en_emploi]]</f>
        <v>48325.3518856175</v>
      </c>
      <c r="AG313" s="4">
        <v>1022040000</v>
      </c>
      <c r="AH313" s="4">
        <f>IFERROR(Base[[#This Row],['[SC']Prestations]]/Base[[#This Row],['[SC']Patients_en_emploi]],0)</f>
        <v>4220.8312340005614</v>
      </c>
      <c r="AI313" s="4">
        <v>51.7</v>
      </c>
      <c r="AJ3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3" s="4">
        <f>Base[[#This Row],['[SC']'[Travail']Coûts_évités]]/Base[[#This Row],[Population_emploi]]</f>
        <v>7.3636517918008035</v>
      </c>
      <c r="AL313" s="4">
        <f>Base[[#This Row],[Coût_société]]*10^9*Base[[#This Row],[Risque]]*Base[[#This Row],[Prévalence]]*Base[[#This Row],[Part_coûts_salarié]]/Base[[#This Row],[Population_emploi]]</f>
        <v>0.81774893354562839</v>
      </c>
      <c r="AM313" s="4">
        <f>IF(Base[[#This Row],[Pathologie]]&lt;&gt;"Dépendance",0,14909.24243952)</f>
        <v>0</v>
      </c>
      <c r="AN313" s="4">
        <f>IF(Base[[#This Row],[Pathologie]]&lt;&gt;"Dépendance",0,1316000)</f>
        <v>0</v>
      </c>
      <c r="AO313" s="4">
        <f>IF(Base[[#This Row],[Pathologie]]&lt;&gt;"Dépendance",0,Base[[#This Row],['[SC']Coût_personne_dépendante]]*Base[[#This Row],['[SC']Nb_personnes_dépendantes]])</f>
        <v>0</v>
      </c>
      <c r="AP313" s="4">
        <f>IF(Base[[#This Row],[Pathologie]]&lt;&gt;"Dépendance",0,Base[[#This Row],['[SC']Coût_total_dépendance]]/Base[[#This Row],[Population_totale]])</f>
        <v>0</v>
      </c>
      <c r="AQ313" s="4">
        <f>IF(Base[[#This Row],[Pathologie]]&lt;&gt;"Dépendance",0,4.5)</f>
        <v>0</v>
      </c>
      <c r="AR313" s="4">
        <v>0.83987615528424797</v>
      </c>
      <c r="AS313" s="4">
        <f>Base[[#This Row],[Espérance_vie]]+Base[[#This Row],['[SC']Hausse_esp_de_vie]]-Base[[#This Row],['[SC']Durée_moyenne_dépendance_avt]]+Base[[#This Row],[Risque]]</f>
        <v>83.336529750550824</v>
      </c>
      <c r="AT3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3" s="4">
        <v>62.9</v>
      </c>
      <c r="AW313" s="4">
        <f t="shared" si="3"/>
        <v>336905600000</v>
      </c>
      <c r="AX313" s="4">
        <v>15049171</v>
      </c>
      <c r="AY313" s="4">
        <f>Base[[#This Row],['[SC']Budget_total_retraites]]/Base[[#This Row],['[SC']Nombre_de_retraités]]</f>
        <v>22386.987296509556</v>
      </c>
      <c r="AZ313" s="4">
        <f>Base[[#This Row],['[SC']Budget_par_retraité]]*Base[[#This Row],['[SC']Nb_personnes_dépendantes]]</f>
        <v>0</v>
      </c>
      <c r="BA313" s="4">
        <f>Base[[#This Row],['[SC']'[Dépendance']Coût_retraite_personnes_dépendantes]]/Base[[#This Row],[Population_totale]]</f>
        <v>0</v>
      </c>
      <c r="BB31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3" s="4">
        <f>Base[[#This Row],['[SC']'[Dépendance']Gains]]-Base[[#This Row],['[SC']'[Dépendance']Coûts]]</f>
        <v>0</v>
      </c>
      <c r="BD313" s="4">
        <f>IF(Base[[#This Row],[Pathologie]]&lt;&gt;"Mort prématurée",0,Base[[#This Row],[Risque]]*Base[[#This Row],[Prévalence]]*Base[[#This Row],[Population_totale]])</f>
        <v>0</v>
      </c>
      <c r="BE313" s="4">
        <v>52.74</v>
      </c>
      <c r="BF313" s="4">
        <f>Base[[#This Row],['[SC']Âge_moyen_retraite]]-Base[[#This Row],['[SC']'[Mort_prématurée']Âge_moyen_mort précoce]]</f>
        <v>10.159999999999997</v>
      </c>
      <c r="BG313" s="4">
        <f>Base[[#This Row],[Espérance_vie]]+Base[[#This Row],['[SC']Hausse_esp_de_vie]]-Base[[#This Row],['[SC']Âge_moyen_retraite]]</f>
        <v>20.236955218602098</v>
      </c>
      <c r="BH313" s="4">
        <v>106583.42676924677</v>
      </c>
      <c r="BI313" s="4">
        <v>97601.789429271477</v>
      </c>
      <c r="BJ313" s="4">
        <v>302038.31496633729</v>
      </c>
      <c r="BK313" s="4">
        <v>117293.58934859755</v>
      </c>
      <c r="BL313" s="4">
        <v>1523999.9999999995</v>
      </c>
      <c r="BM3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3" s="4">
        <v>294804.96027377353</v>
      </c>
      <c r="BO3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3" s="4">
        <f>(Base[[#This Row],['[SC']'[Mort_prématurée']Gains]]-Base[[#This Row],['[SC']'[Mort_prématurée']Coûts]])/Base[[#This Row],[Population_totale]]</f>
        <v>0</v>
      </c>
      <c r="BQ313" s="4">
        <f>IF(Base[[#This Row],[Pathologie]]&lt;&gt;"Mort prématurée",0,Base[[#This Row],[Risque]])</f>
        <v>0</v>
      </c>
      <c r="BR313" s="4">
        <v>2680</v>
      </c>
      <c r="BS3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3" s="4">
        <f>Base[[#This Row],[Prévalence_prod]]*(1-Base[[#This Row],[Risque]])*Base[[#This Row],[Durée_arrêt]]*Base[[#This Row],[Population_emploi]]</f>
        <v>15568139.191696171</v>
      </c>
      <c r="BV313" s="4">
        <f>Base[[#This Row],['[Prod']'[Absentéisme']Total_jours_absence_avant]]-Base[[#This Row],['[Prod']'[Absentéisme']Total_jours_absence_après]]</f>
        <v>3881690.6963990703</v>
      </c>
      <c r="BW313" s="4">
        <f>IF(AND(Base[[#This Row],[Pathologie]]&lt;&gt;"Dépendance",Base[[#This Row],[Pathologie]]&lt;&gt;"Mort prématurée",Base[[#This Row],[Pathologie]]&lt;&gt;"Migraine"),0.0619,0)</f>
        <v>6.1899999999999997E-2</v>
      </c>
      <c r="BX313" s="4">
        <v>254</v>
      </c>
      <c r="BY313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3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3" s="4">
        <f>Base[[#This Row],[Prévalence_prod]]*Base[[#This Row],[Présentéisme]]*Base[[#This Row],['[Prod']Jours_ouvrés]]</f>
        <v>0.15098463934186357</v>
      </c>
      <c r="CB313" s="4">
        <f>Base[[#This Row],[Prévalence_prod]]*(1-Base[[#This Row],[Risque]])*Base[[#This Row],[Présentéisme]]*Base[[#This Row],['[Prod']Jours_ouvrés]]</f>
        <v>0.12085195061376301</v>
      </c>
      <c r="CC313" s="4">
        <f>Base[[#This Row],['[Prod']'[Présentéisme']Jours_avant]]-Base[[#This Row],['[Prod']'[Présentéisme']Jours_après]]</f>
        <v>3.0132688728100557E-2</v>
      </c>
      <c r="CD313" s="4">
        <f>Base[[#This Row],['[Prod']'[Présentéisme']Jours_gagnés]]/Base[[#This Row],['[Prod']Jours_ouvrés]]</f>
        <v>1.1863263278779747E-4</v>
      </c>
      <c r="CE313">
        <v>7.5880726467531134E-2</v>
      </c>
      <c r="CF313">
        <v>1.989821358241517E-2</v>
      </c>
      <c r="CG313" s="4">
        <v>11</v>
      </c>
      <c r="CH313" s="4">
        <v>0.96913802401210614</v>
      </c>
      <c r="CI313" s="4">
        <v>0.10293966445307301</v>
      </c>
      <c r="CJ313" s="4">
        <f>IF(Base[[#This Row],[Secteur]]&lt;&gt;"Moyenne",Base[[#This Row],['[Prod']'[Turnover']DMC_initiale]]*(1+Base[[#This Row],['[Prod']'[Turnover']Ecart_accidents]]*Base[[#This Row],['[Prod']Impact_motifs_turnover]]),CJ296*CI296+CJ297*CI297+CJ298*CI298+CJ299*CI299+CJ300*CI300+CJ301*CI301+CJ302*CI302+CJ303*CI303+CJ304*CI304+CJ305*CI305+CJ306*CI306+CJ307*CI307+CJ308*CI308+CJ309*CI309+CJ310*CI310+CJ311*CI311+CJ312*CI312)</f>
        <v>11.212125269318959</v>
      </c>
      <c r="CK313" s="4">
        <f>1/Base[[#This Row],['[Prod']'[Turnover']DMC_initiale]]</f>
        <v>9.0909090909090912E-2</v>
      </c>
      <c r="CL313" s="4">
        <f>1/Base[[#This Row],['[Prod']'[Turnover']DMC_finale]]</f>
        <v>8.9189156915363429E-2</v>
      </c>
    </row>
    <row r="314" spans="2:90" x14ac:dyDescent="0.25">
      <c r="B314" s="4" t="s">
        <v>324</v>
      </c>
      <c r="C314">
        <v>15</v>
      </c>
      <c r="D314" t="s">
        <v>83</v>
      </c>
      <c r="E314" t="s">
        <v>6</v>
      </c>
      <c r="F314" s="3">
        <v>0.1995745319487322</v>
      </c>
      <c r="G314" s="3">
        <v>8.741584028593305E-3</v>
      </c>
      <c r="H314" s="3">
        <v>8.741584028593305E-3</v>
      </c>
      <c r="I314" s="3">
        <v>6.8000000000000005E-2</v>
      </c>
      <c r="J314" s="3">
        <v>16.260750000000002</v>
      </c>
      <c r="K314" s="3">
        <v>7.0000000000000007E-2</v>
      </c>
      <c r="L314" s="2">
        <f>Base[[#This Row],[Coût]]*Base[[#This Row],[Part_ménages_dépenses_santé]]</f>
        <v>1.1382525000000001</v>
      </c>
      <c r="M314" s="2">
        <v>0.99809973356799431</v>
      </c>
      <c r="N314" s="6">
        <v>27700000</v>
      </c>
      <c r="O314" s="7">
        <f>Base[[#This Row],[Coût_salarié]]*10^9*Base[[#This Row],[Risque]]*Base[[#This Row],[Prévalence]]*Base[[#This Row],[Part_coûts_salarié]]/Base[[#This Row],[Population_emploi]]</f>
        <v>7.1553031685242463E-2</v>
      </c>
      <c r="P314">
        <v>50</v>
      </c>
      <c r="Q314">
        <v>50</v>
      </c>
      <c r="R314" s="2">
        <v>9.9999999999999978E-2</v>
      </c>
      <c r="S314" s="2">
        <v>0.33340000000000003</v>
      </c>
      <c r="T314" s="4">
        <v>8.741584028593305E-3</v>
      </c>
      <c r="U314" s="4">
        <f>IF(Bases_annexes!$F$5=0,16.6587111018772,0.77*Bases_annexes!$F$5/(IF(OR(ISBLANK('Données_d''entrée'!$E$44),'Données_d''entrée'!$E$44=0),35,'Données_d''entrée'!$E$44)*52))</f>
        <v>16.658711101877199</v>
      </c>
      <c r="V314" s="4">
        <v>80.324106187301894</v>
      </c>
      <c r="W3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4" s="4">
        <v>234.5</v>
      </c>
      <c r="Y314" s="4">
        <f>(Base[[#This Row],['[Maladies']Coûts_évités_par_salarié]]+Base[[#This Row],['[Travail']Coûts_évités_par_salarié]])/Base[[#This Row],[Budget_santé_salarié]]</f>
        <v>4.7432479224152977E-3</v>
      </c>
      <c r="Z314" s="4">
        <v>0.8</v>
      </c>
      <c r="AA314" s="4">
        <f>Base[[#This Row],[Coût]]*Base[[#This Row],[Part_société_dépenses_santé]]</f>
        <v>13.008600000000001</v>
      </c>
      <c r="AB314" s="4">
        <v>67635124</v>
      </c>
      <c r="AC314" s="4">
        <v>82.297079063317852</v>
      </c>
      <c r="AD314" s="4">
        <v>8.741584028593305E-3</v>
      </c>
      <c r="AE314" s="4">
        <f>Base[[#This Row],['[SC']Prévalence_travail]]*Base[[#This Row],[Population_emploi]]</f>
        <v>242141.87759203455</v>
      </c>
      <c r="AF314" s="4">
        <f>Base[[#This Row],[Risque]]*Base[[#This Row],['[SC']Patients_en_emploi]]</f>
        <v>48325.3518856175</v>
      </c>
      <c r="AG314" s="4">
        <v>1022040000</v>
      </c>
      <c r="AH314" s="4">
        <f>IFERROR(Base[[#This Row],['[SC']Prestations]]/Base[[#This Row],['[SC']Patients_en_emploi]],0)</f>
        <v>4220.8312340005614</v>
      </c>
      <c r="AI314" s="4">
        <v>51.7</v>
      </c>
      <c r="AJ3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4" s="4">
        <f>Base[[#This Row],['[SC']'[Travail']Coûts_évités]]/Base[[#This Row],[Population_emploi]]</f>
        <v>7.3636517918008035</v>
      </c>
      <c r="AL314" s="4">
        <f>Base[[#This Row],[Coût_société]]*10^9*Base[[#This Row],[Risque]]*Base[[#This Row],[Prévalence]]*Base[[#This Row],[Part_coûts_salarié]]/Base[[#This Row],[Population_emploi]]</f>
        <v>0.81774893354562839</v>
      </c>
      <c r="AM314" s="4">
        <f>IF(Base[[#This Row],[Pathologie]]&lt;&gt;"Dépendance",0,14909.24243952)</f>
        <v>0</v>
      </c>
      <c r="AN314" s="4">
        <f>IF(Base[[#This Row],[Pathologie]]&lt;&gt;"Dépendance",0,1316000)</f>
        <v>0</v>
      </c>
      <c r="AO314" s="4">
        <f>IF(Base[[#This Row],[Pathologie]]&lt;&gt;"Dépendance",0,Base[[#This Row],['[SC']Coût_personne_dépendante]]*Base[[#This Row],['[SC']Nb_personnes_dépendantes]])</f>
        <v>0</v>
      </c>
      <c r="AP314" s="4">
        <f>IF(Base[[#This Row],[Pathologie]]&lt;&gt;"Dépendance",0,Base[[#This Row],['[SC']Coût_total_dépendance]]/Base[[#This Row],[Population_totale]])</f>
        <v>0</v>
      </c>
      <c r="AQ314" s="4">
        <f>IF(Base[[#This Row],[Pathologie]]&lt;&gt;"Dépendance",0,4.5)</f>
        <v>0</v>
      </c>
      <c r="AR314" s="4">
        <v>0.83987615528424797</v>
      </c>
      <c r="AS314" s="4">
        <f>Base[[#This Row],[Espérance_vie]]+Base[[#This Row],['[SC']Hausse_esp_de_vie]]-Base[[#This Row],['[SC']Durée_moyenne_dépendance_avt]]+Base[[#This Row],[Risque]]</f>
        <v>83.336529750550824</v>
      </c>
      <c r="AT3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4" s="4">
        <v>62.9</v>
      </c>
      <c r="AW314" s="4">
        <f t="shared" si="3"/>
        <v>336905600000</v>
      </c>
      <c r="AX314" s="4">
        <v>15049171</v>
      </c>
      <c r="AY314" s="4">
        <f>Base[[#This Row],['[SC']Budget_total_retraites]]/Base[[#This Row],['[SC']Nombre_de_retraités]]</f>
        <v>22386.987296509556</v>
      </c>
      <c r="AZ314" s="4">
        <f>Base[[#This Row],['[SC']Budget_par_retraité]]*Base[[#This Row],['[SC']Nb_personnes_dépendantes]]</f>
        <v>0</v>
      </c>
      <c r="BA314" s="4">
        <f>Base[[#This Row],['[SC']'[Dépendance']Coût_retraite_personnes_dépendantes]]/Base[[#This Row],[Population_totale]]</f>
        <v>0</v>
      </c>
      <c r="BB31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4" s="4">
        <f>Base[[#This Row],['[SC']'[Dépendance']Gains]]-Base[[#This Row],['[SC']'[Dépendance']Coûts]]</f>
        <v>0</v>
      </c>
      <c r="BD314" s="4">
        <f>IF(Base[[#This Row],[Pathologie]]&lt;&gt;"Mort prématurée",0,Base[[#This Row],[Risque]]*Base[[#This Row],[Prévalence]]*Base[[#This Row],[Population_totale]])</f>
        <v>0</v>
      </c>
      <c r="BE314" s="4">
        <v>52.74</v>
      </c>
      <c r="BF314" s="4">
        <f>Base[[#This Row],['[SC']Âge_moyen_retraite]]-Base[[#This Row],['[SC']'[Mort_prématurée']Âge_moyen_mort précoce]]</f>
        <v>10.159999999999997</v>
      </c>
      <c r="BG314" s="4">
        <f>Base[[#This Row],[Espérance_vie]]+Base[[#This Row],['[SC']Hausse_esp_de_vie]]-Base[[#This Row],['[SC']Âge_moyen_retraite]]</f>
        <v>20.236955218602098</v>
      </c>
      <c r="BH314" s="4">
        <v>106583.42676924677</v>
      </c>
      <c r="BI314" s="4">
        <v>97601.789429271477</v>
      </c>
      <c r="BJ314" s="4">
        <v>302038.31496633729</v>
      </c>
      <c r="BK314" s="4">
        <v>117293.58934859755</v>
      </c>
      <c r="BL314" s="4">
        <v>1523999.9999999995</v>
      </c>
      <c r="BM3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4" s="4">
        <v>294804.96027377353</v>
      </c>
      <c r="BO3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4" s="4">
        <f>(Base[[#This Row],['[SC']'[Mort_prématurée']Gains]]-Base[[#This Row],['[SC']'[Mort_prématurée']Coûts]])/Base[[#This Row],[Population_totale]]</f>
        <v>0</v>
      </c>
      <c r="BQ314" s="4">
        <f>IF(Base[[#This Row],[Pathologie]]&lt;&gt;"Mort prématurée",0,Base[[#This Row],[Risque]])</f>
        <v>0</v>
      </c>
      <c r="BR314" s="4">
        <v>2680</v>
      </c>
      <c r="BS3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4" s="4">
        <f>Base[[#This Row],[Prévalence_prod]]*(1-Base[[#This Row],[Risque]])*Base[[#This Row],[Durée_arrêt]]*Base[[#This Row],[Population_emploi]]</f>
        <v>15568139.191696171</v>
      </c>
      <c r="BV314" s="4">
        <f>Base[[#This Row],['[Prod']'[Absentéisme']Total_jours_absence_avant]]-Base[[#This Row],['[Prod']'[Absentéisme']Total_jours_absence_après]]</f>
        <v>3881690.6963990703</v>
      </c>
      <c r="BW314" s="4">
        <f>IF(AND(Base[[#This Row],[Pathologie]]&lt;&gt;"Dépendance",Base[[#This Row],[Pathologie]]&lt;&gt;"Mort prématurée",Base[[#This Row],[Pathologie]]&lt;&gt;"Migraine"),0.0619,0)</f>
        <v>6.1899999999999997E-2</v>
      </c>
      <c r="BX314" s="4">
        <v>254</v>
      </c>
      <c r="BY314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4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4" s="4">
        <f>Base[[#This Row],[Prévalence_prod]]*Base[[#This Row],[Présentéisme]]*Base[[#This Row],['[Prod']Jours_ouvrés]]</f>
        <v>0.15098463934186357</v>
      </c>
      <c r="CB314" s="4">
        <f>Base[[#This Row],[Prévalence_prod]]*(1-Base[[#This Row],[Risque]])*Base[[#This Row],[Présentéisme]]*Base[[#This Row],['[Prod']Jours_ouvrés]]</f>
        <v>0.12085195061376301</v>
      </c>
      <c r="CC314" s="4">
        <f>Base[[#This Row],['[Prod']'[Présentéisme']Jours_avant]]-Base[[#This Row],['[Prod']'[Présentéisme']Jours_après]]</f>
        <v>3.0132688728100557E-2</v>
      </c>
      <c r="CD314" s="4">
        <f>Base[[#This Row],['[Prod']'[Présentéisme']Jours_gagnés]]/Base[[#This Row],['[Prod']Jours_ouvrés]]</f>
        <v>1.1863263278779747E-4</v>
      </c>
      <c r="CE314">
        <v>7.5880726467531134E-2</v>
      </c>
      <c r="CF314">
        <v>1.989821358241517E-2</v>
      </c>
      <c r="CG314" s="4">
        <v>11</v>
      </c>
      <c r="CH314" s="4">
        <v>1.3987208237662601</v>
      </c>
      <c r="CI314" s="4">
        <v>2.1768516166491274E-2</v>
      </c>
      <c r="CJ314" s="4">
        <f>IF(Base[[#This Row],[Secteur]]&lt;&gt;"Moyenne",Base[[#This Row],['[Prod']'[Turnover']DMC_initiale]]*(1+Base[[#This Row],['[Prod']'[Turnover']Ecart_accidents]]*Base[[#This Row],['[Prod']Impact_motifs_turnover]]),CJ297*CI297+CJ298*CI298+CJ299*CI299+CJ300*CI300+CJ301*CI301+CJ302*CI302+CJ303*CI303+CJ304*CI304+CJ305*CI305+CJ306*CI306+CJ307*CI307+CJ308*CI308+CJ309*CI309+CJ310*CI310+CJ311*CI311+CJ312*CI312+CJ313*CI313)</f>
        <v>11.306152502628199</v>
      </c>
      <c r="CK314" s="4">
        <f>1/Base[[#This Row],['[Prod']'[Turnover']DMC_initiale]]</f>
        <v>9.0909090909090912E-2</v>
      </c>
      <c r="CL314" s="4">
        <f>1/Base[[#This Row],['[Prod']'[Turnover']DMC_finale]]</f>
        <v>8.8447418320913546E-2</v>
      </c>
    </row>
    <row r="315" spans="2:90" x14ac:dyDescent="0.25">
      <c r="B315" s="4" t="s">
        <v>325</v>
      </c>
      <c r="C315">
        <v>15</v>
      </c>
      <c r="D315" t="s">
        <v>83</v>
      </c>
      <c r="E315" t="s">
        <v>6</v>
      </c>
      <c r="F315" s="3">
        <v>0.1995745319487322</v>
      </c>
      <c r="G315" s="3">
        <v>8.741584028593305E-3</v>
      </c>
      <c r="H315" s="3">
        <v>8.741584028593305E-3</v>
      </c>
      <c r="I315" s="3">
        <v>6.8000000000000005E-2</v>
      </c>
      <c r="J315" s="3">
        <v>16.260750000000002</v>
      </c>
      <c r="K315" s="3">
        <v>7.0000000000000007E-2</v>
      </c>
      <c r="L315" s="2">
        <f>Base[[#This Row],[Coût]]*Base[[#This Row],[Part_ménages_dépenses_santé]]</f>
        <v>1.1382525000000001</v>
      </c>
      <c r="M315" s="2">
        <v>0.99809973356799431</v>
      </c>
      <c r="N315" s="6">
        <v>27700000</v>
      </c>
      <c r="O315" s="7">
        <f>Base[[#This Row],[Coût_salarié]]*10^9*Base[[#This Row],[Risque]]*Base[[#This Row],[Prévalence]]*Base[[#This Row],[Part_coûts_salarié]]/Base[[#This Row],[Population_emploi]]</f>
        <v>7.1553031685242463E-2</v>
      </c>
      <c r="P315">
        <v>50</v>
      </c>
      <c r="Q315">
        <v>50</v>
      </c>
      <c r="R315" s="2">
        <v>9.9999999999999978E-2</v>
      </c>
      <c r="S315" s="2">
        <v>0.33340000000000003</v>
      </c>
      <c r="T315" s="4">
        <v>8.741584028593305E-3</v>
      </c>
      <c r="U315" s="4">
        <f>IF(Bases_annexes!$F$5=0,16.6587111018772,0.77*Bases_annexes!$F$5/(IF(OR(ISBLANK('Données_d''entrée'!$E$44),'Données_d''entrée'!$E$44=0),35,'Données_d''entrée'!$E$44)*52))</f>
        <v>16.658711101877199</v>
      </c>
      <c r="V315" s="4">
        <v>80.324106187301894</v>
      </c>
      <c r="W3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5" s="4">
        <v>234.5</v>
      </c>
      <c r="Y315" s="4">
        <f>(Base[[#This Row],['[Maladies']Coûts_évités_par_salarié]]+Base[[#This Row],['[Travail']Coûts_évités_par_salarié]])/Base[[#This Row],[Budget_santé_salarié]]</f>
        <v>4.7432479224152977E-3</v>
      </c>
      <c r="Z315" s="4">
        <v>0.8</v>
      </c>
      <c r="AA315" s="4">
        <f>Base[[#This Row],[Coût]]*Base[[#This Row],[Part_société_dépenses_santé]]</f>
        <v>13.008600000000001</v>
      </c>
      <c r="AB315" s="4">
        <v>67635124</v>
      </c>
      <c r="AC315" s="4">
        <v>82.297079063317852</v>
      </c>
      <c r="AD315" s="4">
        <v>8.741584028593305E-3</v>
      </c>
      <c r="AE315" s="4">
        <f>Base[[#This Row],['[SC']Prévalence_travail]]*Base[[#This Row],[Population_emploi]]</f>
        <v>242141.87759203455</v>
      </c>
      <c r="AF315" s="4">
        <f>Base[[#This Row],[Risque]]*Base[[#This Row],['[SC']Patients_en_emploi]]</f>
        <v>48325.3518856175</v>
      </c>
      <c r="AG315" s="4">
        <v>1022040000</v>
      </c>
      <c r="AH315" s="4">
        <f>IFERROR(Base[[#This Row],['[SC']Prestations]]/Base[[#This Row],['[SC']Patients_en_emploi]],0)</f>
        <v>4220.8312340005614</v>
      </c>
      <c r="AI315" s="4">
        <v>51.7</v>
      </c>
      <c r="AJ3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5" s="4">
        <f>Base[[#This Row],['[SC']'[Travail']Coûts_évités]]/Base[[#This Row],[Population_emploi]]</f>
        <v>7.3636517918008035</v>
      </c>
      <c r="AL315" s="4">
        <f>Base[[#This Row],[Coût_société]]*10^9*Base[[#This Row],[Risque]]*Base[[#This Row],[Prévalence]]*Base[[#This Row],[Part_coûts_salarié]]/Base[[#This Row],[Population_emploi]]</f>
        <v>0.81774893354562839</v>
      </c>
      <c r="AM315" s="4">
        <f>IF(Base[[#This Row],[Pathologie]]&lt;&gt;"Dépendance",0,14909.24243952)</f>
        <v>0</v>
      </c>
      <c r="AN315" s="4">
        <f>IF(Base[[#This Row],[Pathologie]]&lt;&gt;"Dépendance",0,1316000)</f>
        <v>0</v>
      </c>
      <c r="AO315" s="4">
        <f>IF(Base[[#This Row],[Pathologie]]&lt;&gt;"Dépendance",0,Base[[#This Row],['[SC']Coût_personne_dépendante]]*Base[[#This Row],['[SC']Nb_personnes_dépendantes]])</f>
        <v>0</v>
      </c>
      <c r="AP315" s="4">
        <f>IF(Base[[#This Row],[Pathologie]]&lt;&gt;"Dépendance",0,Base[[#This Row],['[SC']Coût_total_dépendance]]/Base[[#This Row],[Population_totale]])</f>
        <v>0</v>
      </c>
      <c r="AQ315" s="4">
        <f>IF(Base[[#This Row],[Pathologie]]&lt;&gt;"Dépendance",0,4.5)</f>
        <v>0</v>
      </c>
      <c r="AR315" s="4">
        <v>0.83987615528424797</v>
      </c>
      <c r="AS315" s="4">
        <f>Base[[#This Row],[Espérance_vie]]+Base[[#This Row],['[SC']Hausse_esp_de_vie]]-Base[[#This Row],['[SC']Durée_moyenne_dépendance_avt]]+Base[[#This Row],[Risque]]</f>
        <v>83.336529750550824</v>
      </c>
      <c r="AT3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5" s="4">
        <v>62.9</v>
      </c>
      <c r="AW315" s="4">
        <f t="shared" si="3"/>
        <v>336905600000</v>
      </c>
      <c r="AX315" s="4">
        <v>15049171</v>
      </c>
      <c r="AY315" s="4">
        <f>Base[[#This Row],['[SC']Budget_total_retraites]]/Base[[#This Row],['[SC']Nombre_de_retraités]]</f>
        <v>22386.987296509556</v>
      </c>
      <c r="AZ315" s="4">
        <f>Base[[#This Row],['[SC']Budget_par_retraité]]*Base[[#This Row],['[SC']Nb_personnes_dépendantes]]</f>
        <v>0</v>
      </c>
      <c r="BA315" s="4">
        <f>Base[[#This Row],['[SC']'[Dépendance']Coût_retraite_personnes_dépendantes]]/Base[[#This Row],[Population_totale]]</f>
        <v>0</v>
      </c>
      <c r="BB31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5" s="4">
        <f>Base[[#This Row],['[SC']'[Dépendance']Gains]]-Base[[#This Row],['[SC']'[Dépendance']Coûts]]</f>
        <v>0</v>
      </c>
      <c r="BD315" s="4">
        <f>IF(Base[[#This Row],[Pathologie]]&lt;&gt;"Mort prématurée",0,Base[[#This Row],[Risque]]*Base[[#This Row],[Prévalence]]*Base[[#This Row],[Population_totale]])</f>
        <v>0</v>
      </c>
      <c r="BE315" s="4">
        <v>52.74</v>
      </c>
      <c r="BF315" s="4">
        <f>Base[[#This Row],['[SC']Âge_moyen_retraite]]-Base[[#This Row],['[SC']'[Mort_prématurée']Âge_moyen_mort précoce]]</f>
        <v>10.159999999999997</v>
      </c>
      <c r="BG315" s="4">
        <f>Base[[#This Row],[Espérance_vie]]+Base[[#This Row],['[SC']Hausse_esp_de_vie]]-Base[[#This Row],['[SC']Âge_moyen_retraite]]</f>
        <v>20.236955218602098</v>
      </c>
      <c r="BH315" s="4">
        <v>106583.42676924677</v>
      </c>
      <c r="BI315" s="4">
        <v>97601.789429271477</v>
      </c>
      <c r="BJ315" s="4">
        <v>302038.31496633729</v>
      </c>
      <c r="BK315" s="4">
        <v>117293.58934859755</v>
      </c>
      <c r="BL315" s="4">
        <v>1523999.9999999995</v>
      </c>
      <c r="BM3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5" s="4">
        <v>294804.96027377353</v>
      </c>
      <c r="BO3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5" s="4">
        <f>(Base[[#This Row],['[SC']'[Mort_prématurée']Gains]]-Base[[#This Row],['[SC']'[Mort_prématurée']Coûts]])/Base[[#This Row],[Population_totale]]</f>
        <v>0</v>
      </c>
      <c r="BQ315" s="4">
        <f>IF(Base[[#This Row],[Pathologie]]&lt;&gt;"Mort prématurée",0,Base[[#This Row],[Risque]])</f>
        <v>0</v>
      </c>
      <c r="BR315" s="4">
        <v>2680</v>
      </c>
      <c r="BS3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5" s="4">
        <f>Base[[#This Row],[Prévalence_prod]]*(1-Base[[#This Row],[Risque]])*Base[[#This Row],[Durée_arrêt]]*Base[[#This Row],[Population_emploi]]</f>
        <v>15568139.191696171</v>
      </c>
      <c r="BV315" s="4">
        <f>Base[[#This Row],['[Prod']'[Absentéisme']Total_jours_absence_avant]]-Base[[#This Row],['[Prod']'[Absentéisme']Total_jours_absence_après]]</f>
        <v>3881690.6963990703</v>
      </c>
      <c r="BW315" s="4">
        <f>IF(AND(Base[[#This Row],[Pathologie]]&lt;&gt;"Dépendance",Base[[#This Row],[Pathologie]]&lt;&gt;"Mort prématurée",Base[[#This Row],[Pathologie]]&lt;&gt;"Migraine"),0.0619,0)</f>
        <v>6.1899999999999997E-2</v>
      </c>
      <c r="BX315" s="4">
        <v>254</v>
      </c>
      <c r="BY31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5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5" s="4">
        <f>Base[[#This Row],[Prévalence_prod]]*Base[[#This Row],[Présentéisme]]*Base[[#This Row],['[Prod']Jours_ouvrés]]</f>
        <v>0.15098463934186357</v>
      </c>
      <c r="CB315" s="4">
        <f>Base[[#This Row],[Prévalence_prod]]*(1-Base[[#This Row],[Risque]])*Base[[#This Row],[Présentéisme]]*Base[[#This Row],['[Prod']Jours_ouvrés]]</f>
        <v>0.12085195061376301</v>
      </c>
      <c r="CC315" s="4">
        <f>Base[[#This Row],['[Prod']'[Présentéisme']Jours_avant]]-Base[[#This Row],['[Prod']'[Présentéisme']Jours_après]]</f>
        <v>3.0132688728100557E-2</v>
      </c>
      <c r="CD315" s="4">
        <f>Base[[#This Row],['[Prod']'[Présentéisme']Jours_gagnés]]/Base[[#This Row],['[Prod']Jours_ouvrés]]</f>
        <v>1.1863263278779747E-4</v>
      </c>
      <c r="CE315">
        <v>7.5880726467531134E-2</v>
      </c>
      <c r="CF315">
        <v>1.989821358241517E-2</v>
      </c>
      <c r="CG315" s="4">
        <v>11</v>
      </c>
      <c r="CH315" s="4">
        <v>1.1624525375985588</v>
      </c>
      <c r="CI315" s="4">
        <v>3.7953151649308701E-2</v>
      </c>
      <c r="CJ315" s="4">
        <f>IF(Base[[#This Row],[Secteur]]&lt;&gt;"Moyenne",Base[[#This Row],['[Prod']'[Turnover']DMC_initiale]]*(1+Base[[#This Row],['[Prod']'[Turnover']Ecart_accidents]]*Base[[#This Row],['[Prod']Impact_motifs_turnover]]),CJ298*CI298+CJ299*CI299+CJ300*CI300+CJ301*CI301+CJ302*CI302+CJ303*CI303+CJ304*CI304+CJ305*CI305+CJ306*CI306+CJ307*CI307+CJ308*CI308+CJ309*CI309+CJ310*CI310+CJ311*CI311+CJ312*CI312+CJ313*CI313+CJ314*CI314)</f>
        <v>11.254438017598122</v>
      </c>
      <c r="CK315" s="4">
        <f>1/Base[[#This Row],['[Prod']'[Turnover']DMC_initiale]]</f>
        <v>9.0909090909090912E-2</v>
      </c>
      <c r="CL315" s="4">
        <f>1/Base[[#This Row],['[Prod']'[Turnover']DMC_finale]]</f>
        <v>8.885383689850522E-2</v>
      </c>
    </row>
    <row r="316" spans="2:90" x14ac:dyDescent="0.25">
      <c r="B316" s="4" t="s">
        <v>326</v>
      </c>
      <c r="C316">
        <v>15</v>
      </c>
      <c r="D316" t="s">
        <v>83</v>
      </c>
      <c r="E316" t="s">
        <v>6</v>
      </c>
      <c r="F316" s="3">
        <v>0.1995745319487322</v>
      </c>
      <c r="G316" s="3">
        <v>8.741584028593305E-3</v>
      </c>
      <c r="H316" s="3">
        <v>8.741584028593305E-3</v>
      </c>
      <c r="I316" s="3">
        <v>6.8000000000000005E-2</v>
      </c>
      <c r="J316" s="3">
        <v>16.260750000000002</v>
      </c>
      <c r="K316" s="3">
        <v>7.0000000000000007E-2</v>
      </c>
      <c r="L316" s="2">
        <f>Base[[#This Row],[Coût]]*Base[[#This Row],[Part_ménages_dépenses_santé]]</f>
        <v>1.1382525000000001</v>
      </c>
      <c r="M316" s="2">
        <v>0.99809973356799431</v>
      </c>
      <c r="N316" s="6">
        <v>27700000</v>
      </c>
      <c r="O316" s="7">
        <f>Base[[#This Row],[Coût_salarié]]*10^9*Base[[#This Row],[Risque]]*Base[[#This Row],[Prévalence]]*Base[[#This Row],[Part_coûts_salarié]]/Base[[#This Row],[Population_emploi]]</f>
        <v>7.1553031685242463E-2</v>
      </c>
      <c r="P316">
        <v>50</v>
      </c>
      <c r="Q316">
        <v>50</v>
      </c>
      <c r="R316" s="2">
        <v>9.9999999999999978E-2</v>
      </c>
      <c r="S316" s="2">
        <v>0.33340000000000003</v>
      </c>
      <c r="T316" s="4">
        <v>8.741584028593305E-3</v>
      </c>
      <c r="U316" s="4">
        <f>IF(Bases_annexes!$F$5=0,16.6587111018772,0.77*Bases_annexes!$F$5/(IF(OR(ISBLANK('Données_d''entrée'!$E$44),'Données_d''entrée'!$E$44=0),35,'Données_d''entrée'!$E$44)*52))</f>
        <v>16.658711101877199</v>
      </c>
      <c r="V316" s="4">
        <v>80.324106187301894</v>
      </c>
      <c r="W3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6" s="4">
        <v>234.5</v>
      </c>
      <c r="Y316" s="4">
        <f>(Base[[#This Row],['[Maladies']Coûts_évités_par_salarié]]+Base[[#This Row],['[Travail']Coûts_évités_par_salarié]])/Base[[#This Row],[Budget_santé_salarié]]</f>
        <v>4.7432479224152977E-3</v>
      </c>
      <c r="Z316" s="4">
        <v>0.8</v>
      </c>
      <c r="AA316" s="4">
        <f>Base[[#This Row],[Coût]]*Base[[#This Row],[Part_société_dépenses_santé]]</f>
        <v>13.008600000000001</v>
      </c>
      <c r="AB316" s="4">
        <v>67635124</v>
      </c>
      <c r="AC316" s="4">
        <v>82.297079063317852</v>
      </c>
      <c r="AD316" s="4">
        <v>8.741584028593305E-3</v>
      </c>
      <c r="AE316" s="4">
        <f>Base[[#This Row],['[SC']Prévalence_travail]]*Base[[#This Row],[Population_emploi]]</f>
        <v>242141.87759203455</v>
      </c>
      <c r="AF316" s="4">
        <f>Base[[#This Row],[Risque]]*Base[[#This Row],['[SC']Patients_en_emploi]]</f>
        <v>48325.3518856175</v>
      </c>
      <c r="AG316" s="4">
        <v>1022040000</v>
      </c>
      <c r="AH316" s="4">
        <f>IFERROR(Base[[#This Row],['[SC']Prestations]]/Base[[#This Row],['[SC']Patients_en_emploi]],0)</f>
        <v>4220.8312340005614</v>
      </c>
      <c r="AI316" s="4">
        <v>51.7</v>
      </c>
      <c r="AJ3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6" s="4">
        <f>Base[[#This Row],['[SC']'[Travail']Coûts_évités]]/Base[[#This Row],[Population_emploi]]</f>
        <v>7.3636517918008035</v>
      </c>
      <c r="AL316" s="4">
        <f>Base[[#This Row],[Coût_société]]*10^9*Base[[#This Row],[Risque]]*Base[[#This Row],[Prévalence]]*Base[[#This Row],[Part_coûts_salarié]]/Base[[#This Row],[Population_emploi]]</f>
        <v>0.81774893354562839</v>
      </c>
      <c r="AM316" s="4">
        <f>IF(Base[[#This Row],[Pathologie]]&lt;&gt;"Dépendance",0,14909.24243952)</f>
        <v>0</v>
      </c>
      <c r="AN316" s="4">
        <f>IF(Base[[#This Row],[Pathologie]]&lt;&gt;"Dépendance",0,1316000)</f>
        <v>0</v>
      </c>
      <c r="AO316" s="4">
        <f>IF(Base[[#This Row],[Pathologie]]&lt;&gt;"Dépendance",0,Base[[#This Row],['[SC']Coût_personne_dépendante]]*Base[[#This Row],['[SC']Nb_personnes_dépendantes]])</f>
        <v>0</v>
      </c>
      <c r="AP316" s="4">
        <f>IF(Base[[#This Row],[Pathologie]]&lt;&gt;"Dépendance",0,Base[[#This Row],['[SC']Coût_total_dépendance]]/Base[[#This Row],[Population_totale]])</f>
        <v>0</v>
      </c>
      <c r="AQ316" s="4">
        <f>IF(Base[[#This Row],[Pathologie]]&lt;&gt;"Dépendance",0,4.5)</f>
        <v>0</v>
      </c>
      <c r="AR316" s="4">
        <v>0.83987615528424797</v>
      </c>
      <c r="AS316" s="4">
        <f>Base[[#This Row],[Espérance_vie]]+Base[[#This Row],['[SC']Hausse_esp_de_vie]]-Base[[#This Row],['[SC']Durée_moyenne_dépendance_avt]]+Base[[#This Row],[Risque]]</f>
        <v>83.336529750550824</v>
      </c>
      <c r="AT3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6" s="4">
        <v>62.9</v>
      </c>
      <c r="AW316" s="4">
        <f t="shared" si="3"/>
        <v>336905600000</v>
      </c>
      <c r="AX316" s="4">
        <v>15049171</v>
      </c>
      <c r="AY316" s="4">
        <f>Base[[#This Row],['[SC']Budget_total_retraites]]/Base[[#This Row],['[SC']Nombre_de_retraités]]</f>
        <v>22386.987296509556</v>
      </c>
      <c r="AZ316" s="4">
        <f>Base[[#This Row],['[SC']Budget_par_retraité]]*Base[[#This Row],['[SC']Nb_personnes_dépendantes]]</f>
        <v>0</v>
      </c>
      <c r="BA316" s="4">
        <f>Base[[#This Row],['[SC']'[Dépendance']Coût_retraite_personnes_dépendantes]]/Base[[#This Row],[Population_totale]]</f>
        <v>0</v>
      </c>
      <c r="BB31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6" s="4">
        <f>Base[[#This Row],['[SC']'[Dépendance']Gains]]-Base[[#This Row],['[SC']'[Dépendance']Coûts]]</f>
        <v>0</v>
      </c>
      <c r="BD316" s="4">
        <f>IF(Base[[#This Row],[Pathologie]]&lt;&gt;"Mort prématurée",0,Base[[#This Row],[Risque]]*Base[[#This Row],[Prévalence]]*Base[[#This Row],[Population_totale]])</f>
        <v>0</v>
      </c>
      <c r="BE316" s="4">
        <v>52.74</v>
      </c>
      <c r="BF316" s="4">
        <f>Base[[#This Row],['[SC']Âge_moyen_retraite]]-Base[[#This Row],['[SC']'[Mort_prématurée']Âge_moyen_mort précoce]]</f>
        <v>10.159999999999997</v>
      </c>
      <c r="BG316" s="4">
        <f>Base[[#This Row],[Espérance_vie]]+Base[[#This Row],['[SC']Hausse_esp_de_vie]]-Base[[#This Row],['[SC']Âge_moyen_retraite]]</f>
        <v>20.236955218602098</v>
      </c>
      <c r="BH316" s="4">
        <v>106583.42676924677</v>
      </c>
      <c r="BI316" s="4">
        <v>97601.789429271477</v>
      </c>
      <c r="BJ316" s="4">
        <v>302038.31496633729</v>
      </c>
      <c r="BK316" s="4">
        <v>117293.58934859755</v>
      </c>
      <c r="BL316" s="4">
        <v>1523999.9999999995</v>
      </c>
      <c r="BM3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6" s="4">
        <v>294804.96027377353</v>
      </c>
      <c r="BO3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6" s="4">
        <f>(Base[[#This Row],['[SC']'[Mort_prématurée']Gains]]-Base[[#This Row],['[SC']'[Mort_prématurée']Coûts]])/Base[[#This Row],[Population_totale]]</f>
        <v>0</v>
      </c>
      <c r="BQ316" s="4">
        <f>IF(Base[[#This Row],[Pathologie]]&lt;&gt;"Mort prématurée",0,Base[[#This Row],[Risque]])</f>
        <v>0</v>
      </c>
      <c r="BR316" s="4">
        <v>2680</v>
      </c>
      <c r="BS3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6" s="4">
        <f>Base[[#This Row],[Prévalence_prod]]*(1-Base[[#This Row],[Risque]])*Base[[#This Row],[Durée_arrêt]]*Base[[#This Row],[Population_emploi]]</f>
        <v>15568139.191696171</v>
      </c>
      <c r="BV316" s="4">
        <f>Base[[#This Row],['[Prod']'[Absentéisme']Total_jours_absence_avant]]-Base[[#This Row],['[Prod']'[Absentéisme']Total_jours_absence_après]]</f>
        <v>3881690.6963990703</v>
      </c>
      <c r="BW316" s="4">
        <f>IF(AND(Base[[#This Row],[Pathologie]]&lt;&gt;"Dépendance",Base[[#This Row],[Pathologie]]&lt;&gt;"Mort prématurée",Base[[#This Row],[Pathologie]]&lt;&gt;"Migraine"),0.0619,0)</f>
        <v>6.1899999999999997E-2</v>
      </c>
      <c r="BX316" s="4">
        <v>254</v>
      </c>
      <c r="BY31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6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6" s="4">
        <f>Base[[#This Row],[Prévalence_prod]]*Base[[#This Row],[Présentéisme]]*Base[[#This Row],['[Prod']Jours_ouvrés]]</f>
        <v>0.15098463934186357</v>
      </c>
      <c r="CB316" s="4">
        <f>Base[[#This Row],[Prévalence_prod]]*(1-Base[[#This Row],[Risque]])*Base[[#This Row],[Présentéisme]]*Base[[#This Row],['[Prod']Jours_ouvrés]]</f>
        <v>0.12085195061376301</v>
      </c>
      <c r="CC316" s="4">
        <f>Base[[#This Row],['[Prod']'[Présentéisme']Jours_avant]]-Base[[#This Row],['[Prod']'[Présentéisme']Jours_après]]</f>
        <v>3.0132688728100557E-2</v>
      </c>
      <c r="CD316" s="4">
        <f>Base[[#This Row],['[Prod']'[Présentéisme']Jours_gagnés]]/Base[[#This Row],['[Prod']Jours_ouvrés]]</f>
        <v>1.1863263278779747E-4</v>
      </c>
      <c r="CE316">
        <v>7.5880726467531134E-2</v>
      </c>
      <c r="CF316">
        <v>1.989821358241517E-2</v>
      </c>
      <c r="CG316" s="4">
        <v>11</v>
      </c>
      <c r="CH316" s="4">
        <v>0.19346787829229528</v>
      </c>
      <c r="CI316" s="4">
        <v>2.8126549817953091E-2</v>
      </c>
      <c r="CJ316" s="4">
        <f>IF(Base[[#This Row],[Secteur]]&lt;&gt;"Moyenne",Base[[#This Row],['[Prod']'[Turnover']DMC_initiale]]*(1+Base[[#This Row],['[Prod']'[Turnover']Ecart_accidents]]*Base[[#This Row],['[Prod']Impact_motifs_turnover]]),CJ299*CI299+CJ300*CI300+CJ301*CI301+CJ302*CI302+CJ303*CI303+CJ304*CI304+CJ305*CI305+CJ306*CI306+CJ307*CI307+CJ308*CI308+CJ309*CI309+CJ310*CI310+CJ311*CI311+CJ312*CI312+CJ313*CI313+CJ314*CI314+CJ315*CI315)</f>
        <v>11.042346316799566</v>
      </c>
      <c r="CK316" s="4">
        <f>1/Base[[#This Row],['[Prod']'[Turnover']DMC_initiale]]</f>
        <v>9.0909090909090912E-2</v>
      </c>
      <c r="CL316" s="4">
        <f>1/Base[[#This Row],['[Prod']'[Turnover']DMC_finale]]</f>
        <v>9.0560463447756881E-2</v>
      </c>
    </row>
    <row r="317" spans="2:90" x14ac:dyDescent="0.25">
      <c r="B317" s="4" t="s">
        <v>327</v>
      </c>
      <c r="C317">
        <v>15</v>
      </c>
      <c r="D317" t="s">
        <v>83</v>
      </c>
      <c r="E317" t="s">
        <v>6</v>
      </c>
      <c r="F317" s="3">
        <v>0.1995745319487322</v>
      </c>
      <c r="G317" s="3">
        <v>8.741584028593305E-3</v>
      </c>
      <c r="H317" s="3">
        <v>8.741584028593305E-3</v>
      </c>
      <c r="I317" s="3">
        <v>6.8000000000000005E-2</v>
      </c>
      <c r="J317" s="3">
        <v>16.260750000000002</v>
      </c>
      <c r="K317" s="3">
        <v>7.0000000000000007E-2</v>
      </c>
      <c r="L317" s="2">
        <f>Base[[#This Row],[Coût]]*Base[[#This Row],[Part_ménages_dépenses_santé]]</f>
        <v>1.1382525000000001</v>
      </c>
      <c r="M317" s="2">
        <v>0.99809973356799431</v>
      </c>
      <c r="N317" s="6">
        <v>27700000</v>
      </c>
      <c r="O317" s="7">
        <f>Base[[#This Row],[Coût_salarié]]*10^9*Base[[#This Row],[Risque]]*Base[[#This Row],[Prévalence]]*Base[[#This Row],[Part_coûts_salarié]]/Base[[#This Row],[Population_emploi]]</f>
        <v>7.1553031685242463E-2</v>
      </c>
      <c r="P317">
        <v>50</v>
      </c>
      <c r="Q317">
        <v>50</v>
      </c>
      <c r="R317" s="2">
        <v>9.9999999999999978E-2</v>
      </c>
      <c r="S317" s="2">
        <v>0.33340000000000003</v>
      </c>
      <c r="T317" s="4">
        <v>8.741584028593305E-3</v>
      </c>
      <c r="U317" s="4">
        <f>IF(Bases_annexes!$F$5=0,16.6587111018772,0.77*Bases_annexes!$F$5/(IF(OR(ISBLANK('Données_d''entrée'!$E$44),'Données_d''entrée'!$E$44=0),35,'Données_d''entrée'!$E$44)*52))</f>
        <v>16.658711101877199</v>
      </c>
      <c r="V317" s="4">
        <v>80.324106187301894</v>
      </c>
      <c r="W3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7" s="4">
        <v>234.5</v>
      </c>
      <c r="Y317" s="4">
        <f>(Base[[#This Row],['[Maladies']Coûts_évités_par_salarié]]+Base[[#This Row],['[Travail']Coûts_évités_par_salarié]])/Base[[#This Row],[Budget_santé_salarié]]</f>
        <v>4.7432479224152977E-3</v>
      </c>
      <c r="Z317" s="4">
        <v>0.8</v>
      </c>
      <c r="AA317" s="4">
        <f>Base[[#This Row],[Coût]]*Base[[#This Row],[Part_société_dépenses_santé]]</f>
        <v>13.008600000000001</v>
      </c>
      <c r="AB317" s="4">
        <v>67635124</v>
      </c>
      <c r="AC317" s="4">
        <v>82.297079063317852</v>
      </c>
      <c r="AD317" s="4">
        <v>8.741584028593305E-3</v>
      </c>
      <c r="AE317" s="4">
        <f>Base[[#This Row],['[SC']Prévalence_travail]]*Base[[#This Row],[Population_emploi]]</f>
        <v>242141.87759203455</v>
      </c>
      <c r="AF317" s="4">
        <f>Base[[#This Row],[Risque]]*Base[[#This Row],['[SC']Patients_en_emploi]]</f>
        <v>48325.3518856175</v>
      </c>
      <c r="AG317" s="4">
        <v>1022040000</v>
      </c>
      <c r="AH317" s="4">
        <f>IFERROR(Base[[#This Row],['[SC']Prestations]]/Base[[#This Row],['[SC']Patients_en_emploi]],0)</f>
        <v>4220.8312340005614</v>
      </c>
      <c r="AI317" s="4">
        <v>51.7</v>
      </c>
      <c r="AJ3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7" s="4">
        <f>Base[[#This Row],['[SC']'[Travail']Coûts_évités]]/Base[[#This Row],[Population_emploi]]</f>
        <v>7.3636517918008035</v>
      </c>
      <c r="AL317" s="4">
        <f>Base[[#This Row],[Coût_société]]*10^9*Base[[#This Row],[Risque]]*Base[[#This Row],[Prévalence]]*Base[[#This Row],[Part_coûts_salarié]]/Base[[#This Row],[Population_emploi]]</f>
        <v>0.81774893354562839</v>
      </c>
      <c r="AM317" s="4">
        <f>IF(Base[[#This Row],[Pathologie]]&lt;&gt;"Dépendance",0,14909.24243952)</f>
        <v>0</v>
      </c>
      <c r="AN317" s="4">
        <f>IF(Base[[#This Row],[Pathologie]]&lt;&gt;"Dépendance",0,1316000)</f>
        <v>0</v>
      </c>
      <c r="AO317" s="4">
        <f>IF(Base[[#This Row],[Pathologie]]&lt;&gt;"Dépendance",0,Base[[#This Row],['[SC']Coût_personne_dépendante]]*Base[[#This Row],['[SC']Nb_personnes_dépendantes]])</f>
        <v>0</v>
      </c>
      <c r="AP317" s="4">
        <f>IF(Base[[#This Row],[Pathologie]]&lt;&gt;"Dépendance",0,Base[[#This Row],['[SC']Coût_total_dépendance]]/Base[[#This Row],[Population_totale]])</f>
        <v>0</v>
      </c>
      <c r="AQ317" s="4">
        <f>IF(Base[[#This Row],[Pathologie]]&lt;&gt;"Dépendance",0,4.5)</f>
        <v>0</v>
      </c>
      <c r="AR317" s="4">
        <v>0.83987615528424797</v>
      </c>
      <c r="AS317" s="4">
        <f>Base[[#This Row],[Espérance_vie]]+Base[[#This Row],['[SC']Hausse_esp_de_vie]]-Base[[#This Row],['[SC']Durée_moyenne_dépendance_avt]]+Base[[#This Row],[Risque]]</f>
        <v>83.336529750550824</v>
      </c>
      <c r="AT3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7" s="4">
        <v>62.9</v>
      </c>
      <c r="AW317" s="4">
        <f t="shared" si="3"/>
        <v>336905600000</v>
      </c>
      <c r="AX317" s="4">
        <v>15049171</v>
      </c>
      <c r="AY317" s="4">
        <f>Base[[#This Row],['[SC']Budget_total_retraites]]/Base[[#This Row],['[SC']Nombre_de_retraités]]</f>
        <v>22386.987296509556</v>
      </c>
      <c r="AZ317" s="4">
        <f>Base[[#This Row],['[SC']Budget_par_retraité]]*Base[[#This Row],['[SC']Nb_personnes_dépendantes]]</f>
        <v>0</v>
      </c>
      <c r="BA317" s="4">
        <f>Base[[#This Row],['[SC']'[Dépendance']Coût_retraite_personnes_dépendantes]]/Base[[#This Row],[Population_totale]]</f>
        <v>0</v>
      </c>
      <c r="BB31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7" s="4">
        <f>Base[[#This Row],['[SC']'[Dépendance']Gains]]-Base[[#This Row],['[SC']'[Dépendance']Coûts]]</f>
        <v>0</v>
      </c>
      <c r="BD317" s="4">
        <f>IF(Base[[#This Row],[Pathologie]]&lt;&gt;"Mort prématurée",0,Base[[#This Row],[Risque]]*Base[[#This Row],[Prévalence]]*Base[[#This Row],[Population_totale]])</f>
        <v>0</v>
      </c>
      <c r="BE317" s="4">
        <v>52.74</v>
      </c>
      <c r="BF317" s="4">
        <f>Base[[#This Row],['[SC']Âge_moyen_retraite]]-Base[[#This Row],['[SC']'[Mort_prématurée']Âge_moyen_mort précoce]]</f>
        <v>10.159999999999997</v>
      </c>
      <c r="BG317" s="4">
        <f>Base[[#This Row],[Espérance_vie]]+Base[[#This Row],['[SC']Hausse_esp_de_vie]]-Base[[#This Row],['[SC']Âge_moyen_retraite]]</f>
        <v>20.236955218602098</v>
      </c>
      <c r="BH317" s="4">
        <v>106583.42676924677</v>
      </c>
      <c r="BI317" s="4">
        <v>97601.789429271477</v>
      </c>
      <c r="BJ317" s="4">
        <v>302038.31496633729</v>
      </c>
      <c r="BK317" s="4">
        <v>117293.58934859755</v>
      </c>
      <c r="BL317" s="4">
        <v>1523999.9999999995</v>
      </c>
      <c r="BM3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7" s="4">
        <v>294804.96027377353</v>
      </c>
      <c r="BO3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7" s="4">
        <f>(Base[[#This Row],['[SC']'[Mort_prématurée']Gains]]-Base[[#This Row],['[SC']'[Mort_prématurée']Coûts]])/Base[[#This Row],[Population_totale]]</f>
        <v>0</v>
      </c>
      <c r="BQ317" s="4">
        <f>IF(Base[[#This Row],[Pathologie]]&lt;&gt;"Mort prématurée",0,Base[[#This Row],[Risque]])</f>
        <v>0</v>
      </c>
      <c r="BR317" s="4">
        <v>2680</v>
      </c>
      <c r="BS3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7" s="4">
        <f>Base[[#This Row],[Prévalence_prod]]*(1-Base[[#This Row],[Risque]])*Base[[#This Row],[Durée_arrêt]]*Base[[#This Row],[Population_emploi]]</f>
        <v>15568139.191696171</v>
      </c>
      <c r="BV317" s="4">
        <f>Base[[#This Row],['[Prod']'[Absentéisme']Total_jours_absence_avant]]-Base[[#This Row],['[Prod']'[Absentéisme']Total_jours_absence_après]]</f>
        <v>3881690.6963990703</v>
      </c>
      <c r="BW317" s="4">
        <f>IF(AND(Base[[#This Row],[Pathologie]]&lt;&gt;"Dépendance",Base[[#This Row],[Pathologie]]&lt;&gt;"Mort prématurée",Base[[#This Row],[Pathologie]]&lt;&gt;"Migraine"),0.0619,0)</f>
        <v>6.1899999999999997E-2</v>
      </c>
      <c r="BX317" s="4">
        <v>254</v>
      </c>
      <c r="BY317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7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7" s="4">
        <f>Base[[#This Row],[Prévalence_prod]]*Base[[#This Row],[Présentéisme]]*Base[[#This Row],['[Prod']Jours_ouvrés]]</f>
        <v>0.15098463934186357</v>
      </c>
      <c r="CB317" s="4">
        <f>Base[[#This Row],[Prévalence_prod]]*(1-Base[[#This Row],[Risque]])*Base[[#This Row],[Présentéisme]]*Base[[#This Row],['[Prod']Jours_ouvrés]]</f>
        <v>0.12085195061376301</v>
      </c>
      <c r="CC317" s="4">
        <f>Base[[#This Row],['[Prod']'[Présentéisme']Jours_avant]]-Base[[#This Row],['[Prod']'[Présentéisme']Jours_après]]</f>
        <v>3.0132688728100557E-2</v>
      </c>
      <c r="CD317" s="4">
        <f>Base[[#This Row],['[Prod']'[Présentéisme']Jours_gagnés]]/Base[[#This Row],['[Prod']Jours_ouvrés]]</f>
        <v>1.1863263278779747E-4</v>
      </c>
      <c r="CE317">
        <v>7.5880726467531134E-2</v>
      </c>
      <c r="CF317">
        <v>1.989821358241517E-2</v>
      </c>
      <c r="CG317" s="4">
        <v>11</v>
      </c>
      <c r="CH317" s="4">
        <v>0.13729577077682142</v>
      </c>
      <c r="CI317" s="4">
        <v>1.373516710817578E-2</v>
      </c>
      <c r="CJ317" s="4">
        <f>IF(Base[[#This Row],[Secteur]]&lt;&gt;"Moyenne",Base[[#This Row],['[Prod']'[Turnover']DMC_initiale]]*(1+Base[[#This Row],['[Prod']'[Turnover']Ecart_accidents]]*Base[[#This Row],['[Prod']Impact_motifs_turnover]]),CJ300*CI300+CJ301*CI301+CJ302*CI302+CJ303*CI303+CJ304*CI304+CJ305*CI305+CJ306*CI306+CJ307*CI307+CJ308*CI308+CJ309*CI309+CJ310*CI310+CJ311*CI311+CJ312*CI312+CJ313*CI313+CJ314*CI314+CJ315*CI315+CJ316*CI316)</f>
        <v>11.030051346279674</v>
      </c>
      <c r="CK317" s="4">
        <f>1/Base[[#This Row],['[Prod']'[Turnover']DMC_initiale]]</f>
        <v>9.0909090909090912E-2</v>
      </c>
      <c r="CL317" s="4">
        <f>1/Base[[#This Row],['[Prod']'[Turnover']DMC_finale]]</f>
        <v>9.0661409326738093E-2</v>
      </c>
    </row>
    <row r="318" spans="2:90" x14ac:dyDescent="0.25">
      <c r="B318" s="4" t="s">
        <v>328</v>
      </c>
      <c r="C318">
        <v>15</v>
      </c>
      <c r="D318" t="s">
        <v>83</v>
      </c>
      <c r="E318" t="s">
        <v>6</v>
      </c>
      <c r="F318" s="3">
        <v>0.1995745319487322</v>
      </c>
      <c r="G318" s="3">
        <v>8.741584028593305E-3</v>
      </c>
      <c r="H318" s="3">
        <v>8.741584028593305E-3</v>
      </c>
      <c r="I318" s="3">
        <v>6.8000000000000005E-2</v>
      </c>
      <c r="J318" s="3">
        <v>16.260750000000002</v>
      </c>
      <c r="K318" s="3">
        <v>7.0000000000000007E-2</v>
      </c>
      <c r="L318" s="2">
        <f>Base[[#This Row],[Coût]]*Base[[#This Row],[Part_ménages_dépenses_santé]]</f>
        <v>1.1382525000000001</v>
      </c>
      <c r="M318" s="2">
        <v>0.99809973356799431</v>
      </c>
      <c r="N318" s="6">
        <v>27700000</v>
      </c>
      <c r="O318" s="7">
        <f>Base[[#This Row],[Coût_salarié]]*10^9*Base[[#This Row],[Risque]]*Base[[#This Row],[Prévalence]]*Base[[#This Row],[Part_coûts_salarié]]/Base[[#This Row],[Population_emploi]]</f>
        <v>7.1553031685242463E-2</v>
      </c>
      <c r="P318">
        <v>50</v>
      </c>
      <c r="Q318">
        <v>50</v>
      </c>
      <c r="R318" s="2">
        <v>9.9999999999999978E-2</v>
      </c>
      <c r="S318" s="2">
        <v>0.33340000000000003</v>
      </c>
      <c r="T318" s="4">
        <v>8.741584028593305E-3</v>
      </c>
      <c r="U318" s="4">
        <f>IF(Bases_annexes!$F$5=0,16.6587111018772,0.77*Bases_annexes!$F$5/(IF(OR(ISBLANK('Données_d''entrée'!$E$44),'Données_d''entrée'!$E$44=0),35,'Données_d''entrée'!$E$44)*52))</f>
        <v>16.658711101877199</v>
      </c>
      <c r="V318" s="4">
        <v>80.324106187301894</v>
      </c>
      <c r="W3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8" s="4">
        <v>234.5</v>
      </c>
      <c r="Y318" s="4">
        <f>(Base[[#This Row],['[Maladies']Coûts_évités_par_salarié]]+Base[[#This Row],['[Travail']Coûts_évités_par_salarié]])/Base[[#This Row],[Budget_santé_salarié]]</f>
        <v>4.7432479224152977E-3</v>
      </c>
      <c r="Z318" s="4">
        <v>0.8</v>
      </c>
      <c r="AA318" s="4">
        <f>Base[[#This Row],[Coût]]*Base[[#This Row],[Part_société_dépenses_santé]]</f>
        <v>13.008600000000001</v>
      </c>
      <c r="AB318" s="4">
        <v>67635124</v>
      </c>
      <c r="AC318" s="4">
        <v>82.297079063317852</v>
      </c>
      <c r="AD318" s="4">
        <v>8.741584028593305E-3</v>
      </c>
      <c r="AE318" s="4">
        <f>Base[[#This Row],['[SC']Prévalence_travail]]*Base[[#This Row],[Population_emploi]]</f>
        <v>242141.87759203455</v>
      </c>
      <c r="AF318" s="4">
        <f>Base[[#This Row],[Risque]]*Base[[#This Row],['[SC']Patients_en_emploi]]</f>
        <v>48325.3518856175</v>
      </c>
      <c r="AG318" s="4">
        <v>1022040000</v>
      </c>
      <c r="AH318" s="4">
        <f>IFERROR(Base[[#This Row],['[SC']Prestations]]/Base[[#This Row],['[SC']Patients_en_emploi]],0)</f>
        <v>4220.8312340005614</v>
      </c>
      <c r="AI318" s="4">
        <v>51.7</v>
      </c>
      <c r="AJ3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8" s="4">
        <f>Base[[#This Row],['[SC']'[Travail']Coûts_évités]]/Base[[#This Row],[Population_emploi]]</f>
        <v>7.3636517918008035</v>
      </c>
      <c r="AL318" s="4">
        <f>Base[[#This Row],[Coût_société]]*10^9*Base[[#This Row],[Risque]]*Base[[#This Row],[Prévalence]]*Base[[#This Row],[Part_coûts_salarié]]/Base[[#This Row],[Population_emploi]]</f>
        <v>0.81774893354562839</v>
      </c>
      <c r="AM318" s="4">
        <f>IF(Base[[#This Row],[Pathologie]]&lt;&gt;"Dépendance",0,14909.24243952)</f>
        <v>0</v>
      </c>
      <c r="AN318" s="4">
        <f>IF(Base[[#This Row],[Pathologie]]&lt;&gt;"Dépendance",0,1316000)</f>
        <v>0</v>
      </c>
      <c r="AO318" s="4">
        <f>IF(Base[[#This Row],[Pathologie]]&lt;&gt;"Dépendance",0,Base[[#This Row],['[SC']Coût_personne_dépendante]]*Base[[#This Row],['[SC']Nb_personnes_dépendantes]])</f>
        <v>0</v>
      </c>
      <c r="AP318" s="4">
        <f>IF(Base[[#This Row],[Pathologie]]&lt;&gt;"Dépendance",0,Base[[#This Row],['[SC']Coût_total_dépendance]]/Base[[#This Row],[Population_totale]])</f>
        <v>0</v>
      </c>
      <c r="AQ318" s="4">
        <f>IF(Base[[#This Row],[Pathologie]]&lt;&gt;"Dépendance",0,4.5)</f>
        <v>0</v>
      </c>
      <c r="AR318" s="4">
        <v>0.83987615528424797</v>
      </c>
      <c r="AS318" s="4">
        <f>Base[[#This Row],[Espérance_vie]]+Base[[#This Row],['[SC']Hausse_esp_de_vie]]-Base[[#This Row],['[SC']Durée_moyenne_dépendance_avt]]+Base[[#This Row],[Risque]]</f>
        <v>83.336529750550824</v>
      </c>
      <c r="AT3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8" s="4">
        <v>62.9</v>
      </c>
      <c r="AW318" s="4">
        <f t="shared" si="3"/>
        <v>336905600000</v>
      </c>
      <c r="AX318" s="4">
        <v>15049171</v>
      </c>
      <c r="AY318" s="4">
        <f>Base[[#This Row],['[SC']Budget_total_retraites]]/Base[[#This Row],['[SC']Nombre_de_retraités]]</f>
        <v>22386.987296509556</v>
      </c>
      <c r="AZ318" s="4">
        <f>Base[[#This Row],['[SC']Budget_par_retraité]]*Base[[#This Row],['[SC']Nb_personnes_dépendantes]]</f>
        <v>0</v>
      </c>
      <c r="BA318" s="4">
        <f>Base[[#This Row],['[SC']'[Dépendance']Coût_retraite_personnes_dépendantes]]/Base[[#This Row],[Population_totale]]</f>
        <v>0</v>
      </c>
      <c r="BB31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8" s="4">
        <f>Base[[#This Row],['[SC']'[Dépendance']Gains]]-Base[[#This Row],['[SC']'[Dépendance']Coûts]]</f>
        <v>0</v>
      </c>
      <c r="BD318" s="4">
        <f>IF(Base[[#This Row],[Pathologie]]&lt;&gt;"Mort prématurée",0,Base[[#This Row],[Risque]]*Base[[#This Row],[Prévalence]]*Base[[#This Row],[Population_totale]])</f>
        <v>0</v>
      </c>
      <c r="BE318" s="4">
        <v>52.74</v>
      </c>
      <c r="BF318" s="4">
        <f>Base[[#This Row],['[SC']Âge_moyen_retraite]]-Base[[#This Row],['[SC']'[Mort_prématurée']Âge_moyen_mort précoce]]</f>
        <v>10.159999999999997</v>
      </c>
      <c r="BG318" s="4">
        <f>Base[[#This Row],[Espérance_vie]]+Base[[#This Row],['[SC']Hausse_esp_de_vie]]-Base[[#This Row],['[SC']Âge_moyen_retraite]]</f>
        <v>20.236955218602098</v>
      </c>
      <c r="BH318" s="4">
        <v>106583.42676924677</v>
      </c>
      <c r="BI318" s="4">
        <v>97601.789429271477</v>
      </c>
      <c r="BJ318" s="4">
        <v>302038.31496633729</v>
      </c>
      <c r="BK318" s="4">
        <v>117293.58934859755</v>
      </c>
      <c r="BL318" s="4">
        <v>1523999.9999999995</v>
      </c>
      <c r="BM3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8" s="4">
        <v>294804.96027377353</v>
      </c>
      <c r="BO3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8" s="4">
        <f>(Base[[#This Row],['[SC']'[Mort_prématurée']Gains]]-Base[[#This Row],['[SC']'[Mort_prématurée']Coûts]])/Base[[#This Row],[Population_totale]]</f>
        <v>0</v>
      </c>
      <c r="BQ318" s="4">
        <f>IF(Base[[#This Row],[Pathologie]]&lt;&gt;"Mort prématurée",0,Base[[#This Row],[Risque]])</f>
        <v>0</v>
      </c>
      <c r="BR318" s="4">
        <v>2680</v>
      </c>
      <c r="BS3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8" s="4">
        <f>Base[[#This Row],[Prévalence_prod]]*(1-Base[[#This Row],[Risque]])*Base[[#This Row],[Durée_arrêt]]*Base[[#This Row],[Population_emploi]]</f>
        <v>15568139.191696171</v>
      </c>
      <c r="BV318" s="4">
        <f>Base[[#This Row],['[Prod']'[Absentéisme']Total_jours_absence_avant]]-Base[[#This Row],['[Prod']'[Absentéisme']Total_jours_absence_après]]</f>
        <v>3881690.6963990703</v>
      </c>
      <c r="BW318" s="4">
        <f>IF(AND(Base[[#This Row],[Pathologie]]&lt;&gt;"Dépendance",Base[[#This Row],[Pathologie]]&lt;&gt;"Mort prématurée",Base[[#This Row],[Pathologie]]&lt;&gt;"Migraine"),0.0619,0)</f>
        <v>6.1899999999999997E-2</v>
      </c>
      <c r="BX318" s="4">
        <v>254</v>
      </c>
      <c r="BY318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8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8" s="4">
        <f>Base[[#This Row],[Prévalence_prod]]*Base[[#This Row],[Présentéisme]]*Base[[#This Row],['[Prod']Jours_ouvrés]]</f>
        <v>0.15098463934186357</v>
      </c>
      <c r="CB318" s="4">
        <f>Base[[#This Row],[Prévalence_prod]]*(1-Base[[#This Row],[Risque]])*Base[[#This Row],[Présentéisme]]*Base[[#This Row],['[Prod']Jours_ouvrés]]</f>
        <v>0.12085195061376301</v>
      </c>
      <c r="CC318" s="4">
        <f>Base[[#This Row],['[Prod']'[Présentéisme']Jours_avant]]-Base[[#This Row],['[Prod']'[Présentéisme']Jours_après]]</f>
        <v>3.0132688728100557E-2</v>
      </c>
      <c r="CD318" s="4">
        <f>Base[[#This Row],['[Prod']'[Présentéisme']Jours_gagnés]]/Base[[#This Row],['[Prod']Jours_ouvrés]]</f>
        <v>1.1863263278779747E-4</v>
      </c>
      <c r="CE318">
        <v>7.5880726467531134E-2</v>
      </c>
      <c r="CF318">
        <v>1.989821358241517E-2</v>
      </c>
      <c r="CG318" s="4">
        <v>11</v>
      </c>
      <c r="CH318" s="4">
        <v>0.60922528771817497</v>
      </c>
      <c r="CI318" s="4">
        <v>3.8601807163334179E-3</v>
      </c>
      <c r="CJ318" s="4">
        <f>IF(Base[[#This Row],[Secteur]]&lt;&gt;"Moyenne",Base[[#This Row],['[Prod']'[Turnover']DMC_initiale]]*(1+Base[[#This Row],['[Prod']'[Turnover']Ecart_accidents]]*Base[[#This Row],['[Prod']Impact_motifs_turnover]]),CJ301*CI301+CJ302*CI302+CJ303*CI303+CJ304*CI304+CJ305*CI305+CJ306*CI306+CJ307*CI307+CJ308*CI308+CJ309*CI309+CJ310*CI310+CJ311*CI311+CJ312*CI312+CJ313*CI313+CJ314*CI314+CJ315*CI315+CJ316*CI316+CJ317*CI317)</f>
        <v>11.133347443843071</v>
      </c>
      <c r="CK318" s="4">
        <f>1/Base[[#This Row],['[Prod']'[Turnover']DMC_initiale]]</f>
        <v>9.0909090909090912E-2</v>
      </c>
      <c r="CL318" s="4">
        <f>1/Base[[#This Row],['[Prod']'[Turnover']DMC_finale]]</f>
        <v>8.9820245442265148E-2</v>
      </c>
    </row>
    <row r="319" spans="2:90" x14ac:dyDescent="0.25">
      <c r="B319" s="4" t="s">
        <v>329</v>
      </c>
      <c r="C319">
        <v>15</v>
      </c>
      <c r="D319" t="s">
        <v>83</v>
      </c>
      <c r="E319" t="s">
        <v>6</v>
      </c>
      <c r="F319" s="3">
        <v>0.1995745319487322</v>
      </c>
      <c r="G319" s="3">
        <v>8.741584028593305E-3</v>
      </c>
      <c r="H319" s="3">
        <v>8.741584028593305E-3</v>
      </c>
      <c r="I319" s="3">
        <v>6.8000000000000005E-2</v>
      </c>
      <c r="J319" s="3">
        <v>16.260750000000002</v>
      </c>
      <c r="K319" s="3">
        <v>7.0000000000000007E-2</v>
      </c>
      <c r="L319" s="2">
        <f>Base[[#This Row],[Coût]]*Base[[#This Row],[Part_ménages_dépenses_santé]]</f>
        <v>1.1382525000000001</v>
      </c>
      <c r="M319" s="2">
        <v>0.99809973356799431</v>
      </c>
      <c r="N319" s="6">
        <v>27700000</v>
      </c>
      <c r="O319" s="7">
        <f>Base[[#This Row],[Coût_salarié]]*10^9*Base[[#This Row],[Risque]]*Base[[#This Row],[Prévalence]]*Base[[#This Row],[Part_coûts_salarié]]/Base[[#This Row],[Population_emploi]]</f>
        <v>7.1553031685242463E-2</v>
      </c>
      <c r="P319">
        <v>50</v>
      </c>
      <c r="Q319">
        <v>50</v>
      </c>
      <c r="R319" s="2">
        <v>9.9999999999999978E-2</v>
      </c>
      <c r="S319" s="2">
        <v>0.33340000000000003</v>
      </c>
      <c r="T319" s="4">
        <v>8.741584028593305E-3</v>
      </c>
      <c r="U319" s="4">
        <f>IF(Bases_annexes!$F$5=0,16.6587111018772,0.77*Bases_annexes!$F$5/(IF(OR(ISBLANK('Données_d''entrée'!$E$44),'Données_d''entrée'!$E$44=0),35,'Données_d''entrée'!$E$44)*52))</f>
        <v>16.658711101877199</v>
      </c>
      <c r="V319" s="4">
        <v>80.324106187301894</v>
      </c>
      <c r="W3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19" s="4">
        <v>234.5</v>
      </c>
      <c r="Y319" s="4">
        <f>(Base[[#This Row],['[Maladies']Coûts_évités_par_salarié]]+Base[[#This Row],['[Travail']Coûts_évités_par_salarié]])/Base[[#This Row],[Budget_santé_salarié]]</f>
        <v>4.7432479224152977E-3</v>
      </c>
      <c r="Z319" s="4">
        <v>0.8</v>
      </c>
      <c r="AA319" s="4">
        <f>Base[[#This Row],[Coût]]*Base[[#This Row],[Part_société_dépenses_santé]]</f>
        <v>13.008600000000001</v>
      </c>
      <c r="AB319" s="4">
        <v>67635124</v>
      </c>
      <c r="AC319" s="4">
        <v>82.297079063317852</v>
      </c>
      <c r="AD319" s="4">
        <v>8.741584028593305E-3</v>
      </c>
      <c r="AE319" s="4">
        <f>Base[[#This Row],['[SC']Prévalence_travail]]*Base[[#This Row],[Population_emploi]]</f>
        <v>242141.87759203455</v>
      </c>
      <c r="AF319" s="4">
        <f>Base[[#This Row],[Risque]]*Base[[#This Row],['[SC']Patients_en_emploi]]</f>
        <v>48325.3518856175</v>
      </c>
      <c r="AG319" s="4">
        <v>1022040000</v>
      </c>
      <c r="AH319" s="4">
        <f>IFERROR(Base[[#This Row],['[SC']Prestations]]/Base[[#This Row],['[SC']Patients_en_emploi]],0)</f>
        <v>4220.8312340005614</v>
      </c>
      <c r="AI319" s="4">
        <v>51.7</v>
      </c>
      <c r="AJ3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19" s="4">
        <f>Base[[#This Row],['[SC']'[Travail']Coûts_évités]]/Base[[#This Row],[Population_emploi]]</f>
        <v>7.3636517918008035</v>
      </c>
      <c r="AL319" s="4">
        <f>Base[[#This Row],[Coût_société]]*10^9*Base[[#This Row],[Risque]]*Base[[#This Row],[Prévalence]]*Base[[#This Row],[Part_coûts_salarié]]/Base[[#This Row],[Population_emploi]]</f>
        <v>0.81774893354562839</v>
      </c>
      <c r="AM319" s="4">
        <f>IF(Base[[#This Row],[Pathologie]]&lt;&gt;"Dépendance",0,14909.24243952)</f>
        <v>0</v>
      </c>
      <c r="AN319" s="4">
        <f>IF(Base[[#This Row],[Pathologie]]&lt;&gt;"Dépendance",0,1316000)</f>
        <v>0</v>
      </c>
      <c r="AO319" s="4">
        <f>IF(Base[[#This Row],[Pathologie]]&lt;&gt;"Dépendance",0,Base[[#This Row],['[SC']Coût_personne_dépendante]]*Base[[#This Row],['[SC']Nb_personnes_dépendantes]])</f>
        <v>0</v>
      </c>
      <c r="AP319" s="4">
        <f>IF(Base[[#This Row],[Pathologie]]&lt;&gt;"Dépendance",0,Base[[#This Row],['[SC']Coût_total_dépendance]]/Base[[#This Row],[Population_totale]])</f>
        <v>0</v>
      </c>
      <c r="AQ319" s="4">
        <f>IF(Base[[#This Row],[Pathologie]]&lt;&gt;"Dépendance",0,4.5)</f>
        <v>0</v>
      </c>
      <c r="AR319" s="4">
        <v>0.83987615528424797</v>
      </c>
      <c r="AS319" s="4">
        <f>Base[[#This Row],[Espérance_vie]]+Base[[#This Row],['[SC']Hausse_esp_de_vie]]-Base[[#This Row],['[SC']Durée_moyenne_dépendance_avt]]+Base[[#This Row],[Risque]]</f>
        <v>83.336529750550824</v>
      </c>
      <c r="AT3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19" s="4">
        <v>62.9</v>
      </c>
      <c r="AW319" s="4">
        <f t="shared" si="3"/>
        <v>336905600000</v>
      </c>
      <c r="AX319" s="4">
        <v>15049171</v>
      </c>
      <c r="AY319" s="4">
        <f>Base[[#This Row],['[SC']Budget_total_retraites]]/Base[[#This Row],['[SC']Nombre_de_retraités]]</f>
        <v>22386.987296509556</v>
      </c>
      <c r="AZ319" s="4">
        <f>Base[[#This Row],['[SC']Budget_par_retraité]]*Base[[#This Row],['[SC']Nb_personnes_dépendantes]]</f>
        <v>0</v>
      </c>
      <c r="BA319" s="4">
        <f>Base[[#This Row],['[SC']'[Dépendance']Coût_retraite_personnes_dépendantes]]/Base[[#This Row],[Population_totale]]</f>
        <v>0</v>
      </c>
      <c r="BB31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19" s="4">
        <f>Base[[#This Row],['[SC']'[Dépendance']Gains]]-Base[[#This Row],['[SC']'[Dépendance']Coûts]]</f>
        <v>0</v>
      </c>
      <c r="BD319" s="4">
        <f>IF(Base[[#This Row],[Pathologie]]&lt;&gt;"Mort prématurée",0,Base[[#This Row],[Risque]]*Base[[#This Row],[Prévalence]]*Base[[#This Row],[Population_totale]])</f>
        <v>0</v>
      </c>
      <c r="BE319" s="4">
        <v>52.74</v>
      </c>
      <c r="BF319" s="4">
        <f>Base[[#This Row],['[SC']Âge_moyen_retraite]]-Base[[#This Row],['[SC']'[Mort_prématurée']Âge_moyen_mort précoce]]</f>
        <v>10.159999999999997</v>
      </c>
      <c r="BG319" s="4">
        <f>Base[[#This Row],[Espérance_vie]]+Base[[#This Row],['[SC']Hausse_esp_de_vie]]-Base[[#This Row],['[SC']Âge_moyen_retraite]]</f>
        <v>20.236955218602098</v>
      </c>
      <c r="BH319" s="4">
        <v>106583.42676924677</v>
      </c>
      <c r="BI319" s="4">
        <v>97601.789429271477</v>
      </c>
      <c r="BJ319" s="4">
        <v>302038.31496633729</v>
      </c>
      <c r="BK319" s="4">
        <v>117293.58934859755</v>
      </c>
      <c r="BL319" s="4">
        <v>1523999.9999999995</v>
      </c>
      <c r="BM3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19" s="4">
        <v>294804.96027377353</v>
      </c>
      <c r="BO3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19" s="4">
        <f>(Base[[#This Row],['[SC']'[Mort_prématurée']Gains]]-Base[[#This Row],['[SC']'[Mort_prématurée']Coûts]])/Base[[#This Row],[Population_totale]]</f>
        <v>0</v>
      </c>
      <c r="BQ319" s="4">
        <f>IF(Base[[#This Row],[Pathologie]]&lt;&gt;"Mort prématurée",0,Base[[#This Row],[Risque]])</f>
        <v>0</v>
      </c>
      <c r="BR319" s="4">
        <v>2680</v>
      </c>
      <c r="BS3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19" s="4">
        <f>Base[[#This Row],[Prévalence_prod]]*(1-Base[[#This Row],[Risque]])*Base[[#This Row],[Durée_arrêt]]*Base[[#This Row],[Population_emploi]]</f>
        <v>15568139.191696171</v>
      </c>
      <c r="BV319" s="4">
        <f>Base[[#This Row],['[Prod']'[Absentéisme']Total_jours_absence_avant]]-Base[[#This Row],['[Prod']'[Absentéisme']Total_jours_absence_après]]</f>
        <v>3881690.6963990703</v>
      </c>
      <c r="BW319" s="4">
        <f>IF(AND(Base[[#This Row],[Pathologie]]&lt;&gt;"Dépendance",Base[[#This Row],[Pathologie]]&lt;&gt;"Mort prématurée",Base[[#This Row],[Pathologie]]&lt;&gt;"Migraine"),0.0619,0)</f>
        <v>6.1899999999999997E-2</v>
      </c>
      <c r="BX319" s="4">
        <v>254</v>
      </c>
      <c r="BY319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19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19" s="4">
        <f>Base[[#This Row],[Prévalence_prod]]*Base[[#This Row],[Présentéisme]]*Base[[#This Row],['[Prod']Jours_ouvrés]]</f>
        <v>0.15098463934186357</v>
      </c>
      <c r="CB319" s="4">
        <f>Base[[#This Row],[Prévalence_prod]]*(1-Base[[#This Row],[Risque]])*Base[[#This Row],[Présentéisme]]*Base[[#This Row],['[Prod']Jours_ouvrés]]</f>
        <v>0.12085195061376301</v>
      </c>
      <c r="CC319" s="4">
        <f>Base[[#This Row],['[Prod']'[Présentéisme']Jours_avant]]-Base[[#This Row],['[Prod']'[Présentéisme']Jours_après]]</f>
        <v>3.0132688728100557E-2</v>
      </c>
      <c r="CD319" s="4">
        <f>Base[[#This Row],['[Prod']'[Présentéisme']Jours_gagnés]]/Base[[#This Row],['[Prod']Jours_ouvrés]]</f>
        <v>1.1863263278779747E-4</v>
      </c>
      <c r="CE319">
        <v>7.5880726467531134E-2</v>
      </c>
      <c r="CF319">
        <v>1.989821358241517E-2</v>
      </c>
      <c r="CG319" s="4">
        <v>11</v>
      </c>
      <c r="CH319" s="4">
        <v>0.78414927716175975</v>
      </c>
      <c r="CI319" s="4">
        <v>0.12835819090128339</v>
      </c>
      <c r="CJ319" s="4">
        <f>IF(Base[[#This Row],[Secteur]]&lt;&gt;"Moyenne",Base[[#This Row],['[Prod']'[Turnover']DMC_initiale]]*(1+Base[[#This Row],['[Prod']'[Turnover']Ecart_accidents]]*Base[[#This Row],['[Prod']Impact_motifs_turnover]]),CJ302*CI302+CJ303*CI303+CJ304*CI304+CJ305*CI305+CJ306*CI306+CJ307*CI307+CJ308*CI308+CJ309*CI309+CJ310*CI310+CJ311*CI311+CJ312*CI312+CJ313*CI313+CJ314*CI314+CJ315*CI315+CJ316*CI316+CJ317*CI317+CJ318*CI318)</f>
        <v>11.171634867772074</v>
      </c>
      <c r="CK319" s="4">
        <f>1/Base[[#This Row],['[Prod']'[Turnover']DMC_initiale]]</f>
        <v>9.0909090909090912E-2</v>
      </c>
      <c r="CL319" s="4">
        <f>1/Base[[#This Row],['[Prod']'[Turnover']DMC_finale]]</f>
        <v>8.9512413521927708E-2</v>
      </c>
    </row>
    <row r="320" spans="2:90" x14ac:dyDescent="0.25">
      <c r="B320" s="4" t="s">
        <v>330</v>
      </c>
      <c r="C320">
        <v>15</v>
      </c>
      <c r="D320" t="s">
        <v>83</v>
      </c>
      <c r="E320" t="s">
        <v>6</v>
      </c>
      <c r="F320" s="3">
        <v>0.1995745319487322</v>
      </c>
      <c r="G320" s="3">
        <v>8.741584028593305E-3</v>
      </c>
      <c r="H320" s="3">
        <v>8.741584028593305E-3</v>
      </c>
      <c r="I320" s="3">
        <v>6.8000000000000005E-2</v>
      </c>
      <c r="J320" s="3">
        <v>16.260750000000002</v>
      </c>
      <c r="K320" s="3">
        <v>7.0000000000000007E-2</v>
      </c>
      <c r="L320" s="2">
        <f>Base[[#This Row],[Coût]]*Base[[#This Row],[Part_ménages_dépenses_santé]]</f>
        <v>1.1382525000000001</v>
      </c>
      <c r="M320" s="2">
        <v>0.99809973356799431</v>
      </c>
      <c r="N320" s="6">
        <v>27700000</v>
      </c>
      <c r="O320" s="7">
        <f>Base[[#This Row],[Coût_salarié]]*10^9*Base[[#This Row],[Risque]]*Base[[#This Row],[Prévalence]]*Base[[#This Row],[Part_coûts_salarié]]/Base[[#This Row],[Population_emploi]]</f>
        <v>7.1553031685242463E-2</v>
      </c>
      <c r="P320">
        <v>50</v>
      </c>
      <c r="Q320">
        <v>50</v>
      </c>
      <c r="R320" s="2">
        <v>9.9999999999999978E-2</v>
      </c>
      <c r="S320" s="2">
        <v>0.33340000000000003</v>
      </c>
      <c r="T320" s="4">
        <v>8.741584028593305E-3</v>
      </c>
      <c r="U320" s="4">
        <f>IF(Bases_annexes!$F$5=0,16.6587111018772,0.77*Bases_annexes!$F$5/(IF(OR(ISBLANK('Données_d''entrée'!$E$44),'Données_d''entrée'!$E$44=0),35,'Données_d''entrée'!$E$44)*52))</f>
        <v>16.658711101877199</v>
      </c>
      <c r="V320" s="4">
        <v>80.324106187301894</v>
      </c>
      <c r="W3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20" s="4">
        <v>234.5</v>
      </c>
      <c r="Y320" s="4">
        <f>(Base[[#This Row],['[Maladies']Coûts_évités_par_salarié]]+Base[[#This Row],['[Travail']Coûts_évités_par_salarié]])/Base[[#This Row],[Budget_santé_salarié]]</f>
        <v>4.7432479224152977E-3</v>
      </c>
      <c r="Z320" s="4">
        <v>0.8</v>
      </c>
      <c r="AA320" s="4">
        <f>Base[[#This Row],[Coût]]*Base[[#This Row],[Part_société_dépenses_santé]]</f>
        <v>13.008600000000001</v>
      </c>
      <c r="AB320" s="4">
        <v>67635124</v>
      </c>
      <c r="AC320" s="4">
        <v>82.297079063317852</v>
      </c>
      <c r="AD320" s="4">
        <v>8.741584028593305E-3</v>
      </c>
      <c r="AE320" s="4">
        <f>Base[[#This Row],['[SC']Prévalence_travail]]*Base[[#This Row],[Population_emploi]]</f>
        <v>242141.87759203455</v>
      </c>
      <c r="AF320" s="4">
        <f>Base[[#This Row],[Risque]]*Base[[#This Row],['[SC']Patients_en_emploi]]</f>
        <v>48325.3518856175</v>
      </c>
      <c r="AG320" s="4">
        <v>1022040000</v>
      </c>
      <c r="AH320" s="4">
        <f>IFERROR(Base[[#This Row],['[SC']Prestations]]/Base[[#This Row],['[SC']Patients_en_emploi]],0)</f>
        <v>4220.8312340005614</v>
      </c>
      <c r="AI320" s="4">
        <v>51.7</v>
      </c>
      <c r="AJ3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20" s="4">
        <f>Base[[#This Row],['[SC']'[Travail']Coûts_évités]]/Base[[#This Row],[Population_emploi]]</f>
        <v>7.3636517918008035</v>
      </c>
      <c r="AL320" s="4">
        <f>Base[[#This Row],[Coût_société]]*10^9*Base[[#This Row],[Risque]]*Base[[#This Row],[Prévalence]]*Base[[#This Row],[Part_coûts_salarié]]/Base[[#This Row],[Population_emploi]]</f>
        <v>0.81774893354562839</v>
      </c>
      <c r="AM320" s="4">
        <f>IF(Base[[#This Row],[Pathologie]]&lt;&gt;"Dépendance",0,14909.24243952)</f>
        <v>0</v>
      </c>
      <c r="AN320" s="4">
        <f>IF(Base[[#This Row],[Pathologie]]&lt;&gt;"Dépendance",0,1316000)</f>
        <v>0</v>
      </c>
      <c r="AO320" s="4">
        <f>IF(Base[[#This Row],[Pathologie]]&lt;&gt;"Dépendance",0,Base[[#This Row],['[SC']Coût_personne_dépendante]]*Base[[#This Row],['[SC']Nb_personnes_dépendantes]])</f>
        <v>0</v>
      </c>
      <c r="AP320" s="4">
        <f>IF(Base[[#This Row],[Pathologie]]&lt;&gt;"Dépendance",0,Base[[#This Row],['[SC']Coût_total_dépendance]]/Base[[#This Row],[Population_totale]])</f>
        <v>0</v>
      </c>
      <c r="AQ320" s="4">
        <f>IF(Base[[#This Row],[Pathologie]]&lt;&gt;"Dépendance",0,4.5)</f>
        <v>0</v>
      </c>
      <c r="AR320" s="4">
        <v>0.83987615528424797</v>
      </c>
      <c r="AS320" s="4">
        <f>Base[[#This Row],[Espérance_vie]]+Base[[#This Row],['[SC']Hausse_esp_de_vie]]-Base[[#This Row],['[SC']Durée_moyenne_dépendance_avt]]+Base[[#This Row],[Risque]]</f>
        <v>83.336529750550824</v>
      </c>
      <c r="AT3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0" s="4">
        <v>62.9</v>
      </c>
      <c r="AW320" s="4">
        <f t="shared" si="3"/>
        <v>336905600000</v>
      </c>
      <c r="AX320" s="4">
        <v>15049171</v>
      </c>
      <c r="AY320" s="4">
        <f>Base[[#This Row],['[SC']Budget_total_retraites]]/Base[[#This Row],['[SC']Nombre_de_retraités]]</f>
        <v>22386.987296509556</v>
      </c>
      <c r="AZ320" s="4">
        <f>Base[[#This Row],['[SC']Budget_par_retraité]]*Base[[#This Row],['[SC']Nb_personnes_dépendantes]]</f>
        <v>0</v>
      </c>
      <c r="BA320" s="4">
        <f>Base[[#This Row],['[SC']'[Dépendance']Coût_retraite_personnes_dépendantes]]/Base[[#This Row],[Population_totale]]</f>
        <v>0</v>
      </c>
      <c r="BB32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0" s="4">
        <f>Base[[#This Row],['[SC']'[Dépendance']Gains]]-Base[[#This Row],['[SC']'[Dépendance']Coûts]]</f>
        <v>0</v>
      </c>
      <c r="BD320" s="4">
        <f>IF(Base[[#This Row],[Pathologie]]&lt;&gt;"Mort prématurée",0,Base[[#This Row],[Risque]]*Base[[#This Row],[Prévalence]]*Base[[#This Row],[Population_totale]])</f>
        <v>0</v>
      </c>
      <c r="BE320" s="4">
        <v>52.74</v>
      </c>
      <c r="BF320" s="4">
        <f>Base[[#This Row],['[SC']Âge_moyen_retraite]]-Base[[#This Row],['[SC']'[Mort_prématurée']Âge_moyen_mort précoce]]</f>
        <v>10.159999999999997</v>
      </c>
      <c r="BG320" s="4">
        <f>Base[[#This Row],[Espérance_vie]]+Base[[#This Row],['[SC']Hausse_esp_de_vie]]-Base[[#This Row],['[SC']Âge_moyen_retraite]]</f>
        <v>20.236955218602098</v>
      </c>
      <c r="BH320" s="4">
        <v>106583.42676924677</v>
      </c>
      <c r="BI320" s="4">
        <v>97601.789429271477</v>
      </c>
      <c r="BJ320" s="4">
        <v>302038.31496633729</v>
      </c>
      <c r="BK320" s="4">
        <v>117293.58934859755</v>
      </c>
      <c r="BL320" s="4">
        <v>1523999.9999999995</v>
      </c>
      <c r="BM3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0" s="4">
        <v>294804.96027377353</v>
      </c>
      <c r="BO3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0" s="4">
        <f>(Base[[#This Row],['[SC']'[Mort_prématurée']Gains]]-Base[[#This Row],['[SC']'[Mort_prématurée']Coûts]])/Base[[#This Row],[Population_totale]]</f>
        <v>0</v>
      </c>
      <c r="BQ320" s="4">
        <f>IF(Base[[#This Row],[Pathologie]]&lt;&gt;"Mort prématurée",0,Base[[#This Row],[Risque]])</f>
        <v>0</v>
      </c>
      <c r="BR320" s="4">
        <v>2680</v>
      </c>
      <c r="BS3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20" s="4">
        <f>Base[[#This Row],[Prévalence_prod]]*(1-Base[[#This Row],[Risque]])*Base[[#This Row],[Durée_arrêt]]*Base[[#This Row],[Population_emploi]]</f>
        <v>15568139.191696171</v>
      </c>
      <c r="BV320" s="4">
        <f>Base[[#This Row],['[Prod']'[Absentéisme']Total_jours_absence_avant]]-Base[[#This Row],['[Prod']'[Absentéisme']Total_jours_absence_après]]</f>
        <v>3881690.6963990703</v>
      </c>
      <c r="BW320" s="4">
        <f>IF(AND(Base[[#This Row],[Pathologie]]&lt;&gt;"Dépendance",Base[[#This Row],[Pathologie]]&lt;&gt;"Mort prématurée",Base[[#This Row],[Pathologie]]&lt;&gt;"Migraine"),0.0619,0)</f>
        <v>6.1899999999999997E-2</v>
      </c>
      <c r="BX320" s="4">
        <v>254</v>
      </c>
      <c r="BY320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20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20" s="4">
        <f>Base[[#This Row],[Prévalence_prod]]*Base[[#This Row],[Présentéisme]]*Base[[#This Row],['[Prod']Jours_ouvrés]]</f>
        <v>0.15098463934186357</v>
      </c>
      <c r="CB320" s="4">
        <f>Base[[#This Row],[Prévalence_prod]]*(1-Base[[#This Row],[Risque]])*Base[[#This Row],[Présentéisme]]*Base[[#This Row],['[Prod']Jours_ouvrés]]</f>
        <v>0.12085195061376301</v>
      </c>
      <c r="CC320" s="4">
        <f>Base[[#This Row],['[Prod']'[Présentéisme']Jours_avant]]-Base[[#This Row],['[Prod']'[Présentéisme']Jours_après]]</f>
        <v>3.0132688728100557E-2</v>
      </c>
      <c r="CD320" s="4">
        <f>Base[[#This Row],['[Prod']'[Présentéisme']Jours_gagnés]]/Base[[#This Row],['[Prod']Jours_ouvrés]]</f>
        <v>1.1863263278779747E-4</v>
      </c>
      <c r="CE320">
        <v>7.5880726467531134E-2</v>
      </c>
      <c r="CF320">
        <v>1.989821358241517E-2</v>
      </c>
      <c r="CG320" s="4">
        <v>11</v>
      </c>
      <c r="CH320" s="4">
        <v>0.99648427619813984</v>
      </c>
      <c r="CI320" s="4">
        <v>0.42377466100567313</v>
      </c>
      <c r="CJ320" s="4">
        <f>IF(Base[[#This Row],[Secteur]]&lt;&gt;"Moyenne",Base[[#This Row],['[Prod']'[Turnover']DMC_initiale]]*(1+Base[[#This Row],['[Prod']'[Turnover']Ecart_accidents]]*Base[[#This Row],['[Prod']Impact_motifs_turnover]]),CJ303*CI303+CJ304*CI304+CJ305*CI305+CJ306*CI306+CJ307*CI307+CJ308*CI308+CJ309*CI309+CJ310*CI310+CJ311*CI311+CJ312*CI312+CJ313*CI313+CJ314*CI314+CJ315*CI315+CJ316*CI316+CJ317*CI317+CJ318*CI318+CJ319*CI319)</f>
        <v>11.218110826552397</v>
      </c>
      <c r="CK320" s="4">
        <f>1/Base[[#This Row],['[Prod']'[Turnover']DMC_initiale]]</f>
        <v>9.0909090909090912E-2</v>
      </c>
      <c r="CL320" s="4">
        <f>1/Base[[#This Row],['[Prod']'[Turnover']DMC_finale]]</f>
        <v>8.9141568973723953E-2</v>
      </c>
    </row>
    <row r="321" spans="2:90" x14ac:dyDescent="0.25">
      <c r="B321" s="4" t="s">
        <v>331</v>
      </c>
      <c r="C321">
        <v>15</v>
      </c>
      <c r="D321" t="s">
        <v>83</v>
      </c>
      <c r="E321" t="s">
        <v>6</v>
      </c>
      <c r="F321" s="3">
        <v>0.1995745319487322</v>
      </c>
      <c r="G321" s="3">
        <v>8.741584028593305E-3</v>
      </c>
      <c r="H321" s="3">
        <v>8.741584028593305E-3</v>
      </c>
      <c r="I321" s="3">
        <v>6.8000000000000005E-2</v>
      </c>
      <c r="J321" s="3">
        <v>16.260750000000002</v>
      </c>
      <c r="K321" s="3">
        <v>7.0000000000000007E-2</v>
      </c>
      <c r="L321" s="2">
        <f>Base[[#This Row],[Coût]]*Base[[#This Row],[Part_ménages_dépenses_santé]]</f>
        <v>1.1382525000000001</v>
      </c>
      <c r="M321" s="2">
        <v>0.99809973356799431</v>
      </c>
      <c r="N321" s="6">
        <v>27700000</v>
      </c>
      <c r="O321" s="7">
        <f>Base[[#This Row],[Coût_salarié]]*10^9*Base[[#This Row],[Risque]]*Base[[#This Row],[Prévalence]]*Base[[#This Row],[Part_coûts_salarié]]/Base[[#This Row],[Population_emploi]]</f>
        <v>7.1553031685242463E-2</v>
      </c>
      <c r="P321">
        <v>50</v>
      </c>
      <c r="Q321">
        <v>50</v>
      </c>
      <c r="R321" s="2">
        <v>9.9999999999999978E-2</v>
      </c>
      <c r="S321" s="2">
        <v>0.33340000000000003</v>
      </c>
      <c r="T321" s="4">
        <v>8.741584028593305E-3</v>
      </c>
      <c r="U321" s="4">
        <f>IF(Bases_annexes!$F$5=0,16.6587111018772,0.77*Bases_annexes!$F$5/(IF(OR(ISBLANK('Données_d''entrée'!$E$44),'Données_d''entrée'!$E$44=0),35,'Données_d''entrée'!$E$44)*52))</f>
        <v>16.658711101877199</v>
      </c>
      <c r="V321" s="4">
        <v>80.324106187301894</v>
      </c>
      <c r="W3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21" s="4">
        <v>234.5</v>
      </c>
      <c r="Y321" s="4">
        <f>(Base[[#This Row],['[Maladies']Coûts_évités_par_salarié]]+Base[[#This Row],['[Travail']Coûts_évités_par_salarié]])/Base[[#This Row],[Budget_santé_salarié]]</f>
        <v>4.7432479224152977E-3</v>
      </c>
      <c r="Z321" s="4">
        <v>0.8</v>
      </c>
      <c r="AA321" s="4">
        <f>Base[[#This Row],[Coût]]*Base[[#This Row],[Part_société_dépenses_santé]]</f>
        <v>13.008600000000001</v>
      </c>
      <c r="AB321" s="4">
        <v>67635124</v>
      </c>
      <c r="AC321" s="4">
        <v>82.297079063317852</v>
      </c>
      <c r="AD321" s="4">
        <v>8.741584028593305E-3</v>
      </c>
      <c r="AE321" s="4">
        <f>Base[[#This Row],['[SC']Prévalence_travail]]*Base[[#This Row],[Population_emploi]]</f>
        <v>242141.87759203455</v>
      </c>
      <c r="AF321" s="4">
        <f>Base[[#This Row],[Risque]]*Base[[#This Row],['[SC']Patients_en_emploi]]</f>
        <v>48325.3518856175</v>
      </c>
      <c r="AG321" s="4">
        <v>1022040000</v>
      </c>
      <c r="AH321" s="4">
        <f>IFERROR(Base[[#This Row],['[SC']Prestations]]/Base[[#This Row],['[SC']Patients_en_emploi]],0)</f>
        <v>4220.8312340005614</v>
      </c>
      <c r="AI321" s="4">
        <v>51.7</v>
      </c>
      <c r="AJ3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21" s="4">
        <f>Base[[#This Row],['[SC']'[Travail']Coûts_évités]]/Base[[#This Row],[Population_emploi]]</f>
        <v>7.3636517918008035</v>
      </c>
      <c r="AL321" s="4">
        <f>Base[[#This Row],[Coût_société]]*10^9*Base[[#This Row],[Risque]]*Base[[#This Row],[Prévalence]]*Base[[#This Row],[Part_coûts_salarié]]/Base[[#This Row],[Population_emploi]]</f>
        <v>0.81774893354562839</v>
      </c>
      <c r="AM321" s="4">
        <f>IF(Base[[#This Row],[Pathologie]]&lt;&gt;"Dépendance",0,14909.24243952)</f>
        <v>0</v>
      </c>
      <c r="AN321" s="4">
        <f>IF(Base[[#This Row],[Pathologie]]&lt;&gt;"Dépendance",0,1316000)</f>
        <v>0</v>
      </c>
      <c r="AO321" s="4">
        <f>IF(Base[[#This Row],[Pathologie]]&lt;&gt;"Dépendance",0,Base[[#This Row],['[SC']Coût_personne_dépendante]]*Base[[#This Row],['[SC']Nb_personnes_dépendantes]])</f>
        <v>0</v>
      </c>
      <c r="AP321" s="4">
        <f>IF(Base[[#This Row],[Pathologie]]&lt;&gt;"Dépendance",0,Base[[#This Row],['[SC']Coût_total_dépendance]]/Base[[#This Row],[Population_totale]])</f>
        <v>0</v>
      </c>
      <c r="AQ321" s="4">
        <f>IF(Base[[#This Row],[Pathologie]]&lt;&gt;"Dépendance",0,4.5)</f>
        <v>0</v>
      </c>
      <c r="AR321" s="4">
        <v>0.83987615528424797</v>
      </c>
      <c r="AS321" s="4">
        <f>Base[[#This Row],[Espérance_vie]]+Base[[#This Row],['[SC']Hausse_esp_de_vie]]-Base[[#This Row],['[SC']Durée_moyenne_dépendance_avt]]+Base[[#This Row],[Risque]]</f>
        <v>83.336529750550824</v>
      </c>
      <c r="AT3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1" s="4">
        <v>62.9</v>
      </c>
      <c r="AW321" s="4">
        <f t="shared" si="3"/>
        <v>336905600000</v>
      </c>
      <c r="AX321" s="4">
        <v>15049171</v>
      </c>
      <c r="AY321" s="4">
        <f>Base[[#This Row],['[SC']Budget_total_retraites]]/Base[[#This Row],['[SC']Nombre_de_retraités]]</f>
        <v>22386.987296509556</v>
      </c>
      <c r="AZ321" s="4">
        <f>Base[[#This Row],['[SC']Budget_par_retraité]]*Base[[#This Row],['[SC']Nb_personnes_dépendantes]]</f>
        <v>0</v>
      </c>
      <c r="BA321" s="4">
        <f>Base[[#This Row],['[SC']'[Dépendance']Coût_retraite_personnes_dépendantes]]/Base[[#This Row],[Population_totale]]</f>
        <v>0</v>
      </c>
      <c r="BB32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1" s="4">
        <f>Base[[#This Row],['[SC']'[Dépendance']Gains]]-Base[[#This Row],['[SC']'[Dépendance']Coûts]]</f>
        <v>0</v>
      </c>
      <c r="BD321" s="4">
        <f>IF(Base[[#This Row],[Pathologie]]&lt;&gt;"Mort prématurée",0,Base[[#This Row],[Risque]]*Base[[#This Row],[Prévalence]]*Base[[#This Row],[Population_totale]])</f>
        <v>0</v>
      </c>
      <c r="BE321" s="4">
        <v>52.74</v>
      </c>
      <c r="BF321" s="4">
        <f>Base[[#This Row],['[SC']Âge_moyen_retraite]]-Base[[#This Row],['[SC']'[Mort_prématurée']Âge_moyen_mort précoce]]</f>
        <v>10.159999999999997</v>
      </c>
      <c r="BG321" s="4">
        <f>Base[[#This Row],[Espérance_vie]]+Base[[#This Row],['[SC']Hausse_esp_de_vie]]-Base[[#This Row],['[SC']Âge_moyen_retraite]]</f>
        <v>20.236955218602098</v>
      </c>
      <c r="BH321" s="4">
        <v>106583.42676924677</v>
      </c>
      <c r="BI321" s="4">
        <v>97601.789429271477</v>
      </c>
      <c r="BJ321" s="4">
        <v>302038.31496633729</v>
      </c>
      <c r="BK321" s="4">
        <v>117293.58934859755</v>
      </c>
      <c r="BL321" s="4">
        <v>1523999.9999999995</v>
      </c>
      <c r="BM3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1" s="4">
        <v>294804.96027377353</v>
      </c>
      <c r="BO3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1" s="4">
        <f>(Base[[#This Row],['[SC']'[Mort_prématurée']Gains]]-Base[[#This Row],['[SC']'[Mort_prématurée']Coûts]])/Base[[#This Row],[Population_totale]]</f>
        <v>0</v>
      </c>
      <c r="BQ321" s="4">
        <f>IF(Base[[#This Row],[Pathologie]]&lt;&gt;"Mort prématurée",0,Base[[#This Row],[Risque]])</f>
        <v>0</v>
      </c>
      <c r="BR321" s="4">
        <v>2680</v>
      </c>
      <c r="BS3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21" s="4">
        <f>Base[[#This Row],[Prévalence_prod]]*(1-Base[[#This Row],[Risque]])*Base[[#This Row],[Durée_arrêt]]*Base[[#This Row],[Population_emploi]]</f>
        <v>15568139.191696171</v>
      </c>
      <c r="BV321" s="4">
        <f>Base[[#This Row],['[Prod']'[Absentéisme']Total_jours_absence_avant]]-Base[[#This Row],['[Prod']'[Absentéisme']Total_jours_absence_après]]</f>
        <v>3881690.6963990703</v>
      </c>
      <c r="BW321" s="4">
        <f>IF(AND(Base[[#This Row],[Pathologie]]&lt;&gt;"Dépendance",Base[[#This Row],[Pathologie]]&lt;&gt;"Mort prématurée",Base[[#This Row],[Pathologie]]&lt;&gt;"Migraine"),0.0619,0)</f>
        <v>6.1899999999999997E-2</v>
      </c>
      <c r="BX321" s="4">
        <v>254</v>
      </c>
      <c r="BY32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21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21" s="4">
        <f>Base[[#This Row],[Prévalence_prod]]*Base[[#This Row],[Présentéisme]]*Base[[#This Row],['[Prod']Jours_ouvrés]]</f>
        <v>0.15098463934186357</v>
      </c>
      <c r="CB321" s="4">
        <f>Base[[#This Row],[Prévalence_prod]]*(1-Base[[#This Row],[Risque]])*Base[[#This Row],[Présentéisme]]*Base[[#This Row],['[Prod']Jours_ouvrés]]</f>
        <v>0.12085195061376301</v>
      </c>
      <c r="CC321" s="4">
        <f>Base[[#This Row],['[Prod']'[Présentéisme']Jours_avant]]-Base[[#This Row],['[Prod']'[Présentéisme']Jours_après]]</f>
        <v>3.0132688728100557E-2</v>
      </c>
      <c r="CD321" s="4">
        <f>Base[[#This Row],['[Prod']'[Présentéisme']Jours_gagnés]]/Base[[#This Row],['[Prod']Jours_ouvrés]]</f>
        <v>1.1863263278779747E-4</v>
      </c>
      <c r="CE321">
        <v>7.5880726467531134E-2</v>
      </c>
      <c r="CF321">
        <v>1.989821358241517E-2</v>
      </c>
      <c r="CG321" s="4">
        <v>11</v>
      </c>
      <c r="CH321" s="4">
        <v>1.1593596509901765</v>
      </c>
      <c r="CI321" s="4">
        <v>4.0741311947357597E-2</v>
      </c>
      <c r="CJ321" s="4">
        <f>IF(Base[[#This Row],[Secteur]]&lt;&gt;"Moyenne",Base[[#This Row],['[Prod']'[Turnover']DMC_initiale]]*(1+Base[[#This Row],['[Prod']'[Turnover']Ecart_accidents]]*Base[[#This Row],['[Prod']Impact_motifs_turnover]]),CJ304*CI304+CJ305*CI305+CJ306*CI306+CJ307*CI307+CJ308*CI308+CJ309*CI309+CJ310*CI310+CJ311*CI311+CJ312*CI312+CJ313*CI313+CJ314*CI314+CJ315*CI315+CJ316*CI316+CJ317*CI317+CJ318*CI318+CJ319*CI319+CJ320*CI320)</f>
        <v>11.253761045496606</v>
      </c>
      <c r="CK321" s="4">
        <f>1/Base[[#This Row],['[Prod']'[Turnover']DMC_initiale]]</f>
        <v>9.0909090909090912E-2</v>
      </c>
      <c r="CL321" s="4">
        <f>1/Base[[#This Row],['[Prod']'[Turnover']DMC_finale]]</f>
        <v>8.8859181917690336E-2</v>
      </c>
    </row>
    <row r="322" spans="2:90" x14ac:dyDescent="0.25">
      <c r="B322" s="4" t="s">
        <v>332</v>
      </c>
      <c r="C322">
        <v>15</v>
      </c>
      <c r="D322" t="s">
        <v>83</v>
      </c>
      <c r="E322" t="s">
        <v>6</v>
      </c>
      <c r="F322" s="3">
        <v>0.1995745319487322</v>
      </c>
      <c r="G322" s="3">
        <v>8.741584028593305E-3</v>
      </c>
      <c r="H322" s="3">
        <v>8.741584028593305E-3</v>
      </c>
      <c r="I322" s="3">
        <v>6.8000000000000005E-2</v>
      </c>
      <c r="J322" s="3">
        <v>16.260750000000002</v>
      </c>
      <c r="K322" s="3">
        <v>7.0000000000000007E-2</v>
      </c>
      <c r="L322" s="2">
        <f>Base[[#This Row],[Coût]]*Base[[#This Row],[Part_ménages_dépenses_santé]]</f>
        <v>1.1382525000000001</v>
      </c>
      <c r="M322" s="2">
        <v>0.99809973356799431</v>
      </c>
      <c r="N322" s="6">
        <v>27700000</v>
      </c>
      <c r="O322" s="7">
        <f>Base[[#This Row],[Coût_salarié]]*10^9*Base[[#This Row],[Risque]]*Base[[#This Row],[Prévalence]]*Base[[#This Row],[Part_coûts_salarié]]/Base[[#This Row],[Population_emploi]]</f>
        <v>7.1553031685242463E-2</v>
      </c>
      <c r="P322">
        <v>50</v>
      </c>
      <c r="Q322">
        <v>50</v>
      </c>
      <c r="R322" s="2">
        <v>9.9999999999999978E-2</v>
      </c>
      <c r="S322" s="2">
        <v>0.33340000000000003</v>
      </c>
      <c r="T322" s="4">
        <v>8.741584028593305E-3</v>
      </c>
      <c r="U322" s="4">
        <f>IF(Bases_annexes!$F$5=0,16.6587111018772,0.77*Bases_annexes!$F$5/(IF(OR(ISBLANK('Données_d''entrée'!$E$44),'Données_d''entrée'!$E$44=0),35,'Données_d''entrée'!$E$44)*52))</f>
        <v>16.658711101877199</v>
      </c>
      <c r="V322" s="4">
        <v>80.324106187301894</v>
      </c>
      <c r="W3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1.040738606121145</v>
      </c>
      <c r="X322" s="4">
        <v>234.5</v>
      </c>
      <c r="Y322" s="4">
        <f>(Base[[#This Row],['[Maladies']Coûts_évités_par_salarié]]+Base[[#This Row],['[Travail']Coûts_évités_par_salarié]])/Base[[#This Row],[Budget_santé_salarié]]</f>
        <v>4.7432479224152977E-3</v>
      </c>
      <c r="Z322" s="4">
        <v>0.8</v>
      </c>
      <c r="AA322" s="4">
        <f>Base[[#This Row],[Coût]]*Base[[#This Row],[Part_société_dépenses_santé]]</f>
        <v>13.008600000000001</v>
      </c>
      <c r="AB322" s="4">
        <v>67635124</v>
      </c>
      <c r="AC322" s="4">
        <v>82.297079063317852</v>
      </c>
      <c r="AD322" s="4">
        <v>8.741584028593305E-3</v>
      </c>
      <c r="AE322" s="4">
        <f>Base[[#This Row],['[SC']Prévalence_travail]]*Base[[#This Row],[Population_emploi]]</f>
        <v>242141.87759203455</v>
      </c>
      <c r="AF322" s="4">
        <f>Base[[#This Row],[Risque]]*Base[[#This Row],['[SC']Patients_en_emploi]]</f>
        <v>48325.3518856175</v>
      </c>
      <c r="AG322" s="4">
        <v>1022040000</v>
      </c>
      <c r="AH322" s="4">
        <f>IFERROR(Base[[#This Row],['[SC']Prestations]]/Base[[#This Row],['[SC']Patients_en_emploi]],0)</f>
        <v>4220.8312340005614</v>
      </c>
      <c r="AI322" s="4">
        <v>51.7</v>
      </c>
      <c r="AJ3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203973154.63288227</v>
      </c>
      <c r="AK322" s="4">
        <f>Base[[#This Row],['[SC']'[Travail']Coûts_évités]]/Base[[#This Row],[Population_emploi]]</f>
        <v>7.3636517918008035</v>
      </c>
      <c r="AL322" s="4">
        <f>Base[[#This Row],[Coût_société]]*10^9*Base[[#This Row],[Risque]]*Base[[#This Row],[Prévalence]]*Base[[#This Row],[Part_coûts_salarié]]/Base[[#This Row],[Population_emploi]]</f>
        <v>0.81774893354562839</v>
      </c>
      <c r="AM322" s="4">
        <f>IF(Base[[#This Row],[Pathologie]]&lt;&gt;"Dépendance",0,14909.24243952)</f>
        <v>0</v>
      </c>
      <c r="AN322" s="4">
        <f>IF(Base[[#This Row],[Pathologie]]&lt;&gt;"Dépendance",0,1316000)</f>
        <v>0</v>
      </c>
      <c r="AO322" s="4">
        <f>IF(Base[[#This Row],[Pathologie]]&lt;&gt;"Dépendance",0,Base[[#This Row],['[SC']Coût_personne_dépendante]]*Base[[#This Row],['[SC']Nb_personnes_dépendantes]])</f>
        <v>0</v>
      </c>
      <c r="AP322" s="4">
        <f>IF(Base[[#This Row],[Pathologie]]&lt;&gt;"Dépendance",0,Base[[#This Row],['[SC']Coût_total_dépendance]]/Base[[#This Row],[Population_totale]])</f>
        <v>0</v>
      </c>
      <c r="AQ322" s="4">
        <f>IF(Base[[#This Row],[Pathologie]]&lt;&gt;"Dépendance",0,4.5)</f>
        <v>0</v>
      </c>
      <c r="AR322" s="4">
        <v>0.83987615528424797</v>
      </c>
      <c r="AS322" s="4">
        <f>Base[[#This Row],[Espérance_vie]]+Base[[#This Row],['[SC']Hausse_esp_de_vie]]-Base[[#This Row],['[SC']Durée_moyenne_dépendance_avt]]+Base[[#This Row],[Risque]]</f>
        <v>83.336529750550824</v>
      </c>
      <c r="AT3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2" s="4">
        <v>62.9</v>
      </c>
      <c r="AW322" s="4">
        <f t="shared" si="3"/>
        <v>336905600000</v>
      </c>
      <c r="AX322" s="4">
        <v>15049171</v>
      </c>
      <c r="AY322" s="4">
        <f>Base[[#This Row],['[SC']Budget_total_retraites]]/Base[[#This Row],['[SC']Nombre_de_retraités]]</f>
        <v>22386.987296509556</v>
      </c>
      <c r="AZ322" s="4">
        <f>Base[[#This Row],['[SC']Budget_par_retraité]]*Base[[#This Row],['[SC']Nb_personnes_dépendantes]]</f>
        <v>0</v>
      </c>
      <c r="BA322" s="4">
        <f>Base[[#This Row],['[SC']'[Dépendance']Coût_retraite_personnes_dépendantes]]/Base[[#This Row],[Population_totale]]</f>
        <v>0</v>
      </c>
      <c r="BB32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2" s="4">
        <f>Base[[#This Row],['[SC']'[Dépendance']Gains]]-Base[[#This Row],['[SC']'[Dépendance']Coûts]]</f>
        <v>0</v>
      </c>
      <c r="BD322" s="4">
        <f>IF(Base[[#This Row],[Pathologie]]&lt;&gt;"Mort prématurée",0,Base[[#This Row],[Risque]]*Base[[#This Row],[Prévalence]]*Base[[#This Row],[Population_totale]])</f>
        <v>0</v>
      </c>
      <c r="BE322" s="4">
        <v>52.74</v>
      </c>
      <c r="BF322" s="4">
        <f>Base[[#This Row],['[SC']Âge_moyen_retraite]]-Base[[#This Row],['[SC']'[Mort_prématurée']Âge_moyen_mort précoce]]</f>
        <v>10.159999999999997</v>
      </c>
      <c r="BG322" s="4">
        <f>Base[[#This Row],[Espérance_vie]]+Base[[#This Row],['[SC']Hausse_esp_de_vie]]-Base[[#This Row],['[SC']Âge_moyen_retraite]]</f>
        <v>20.236955218602098</v>
      </c>
      <c r="BH322" s="4">
        <v>106583.42676924677</v>
      </c>
      <c r="BI322" s="4">
        <v>97601.789429271477</v>
      </c>
      <c r="BJ322" s="4">
        <v>302038.31496633729</v>
      </c>
      <c r="BK322" s="4">
        <v>117293.58934859755</v>
      </c>
      <c r="BL322" s="4">
        <v>1523999.9999999995</v>
      </c>
      <c r="BM3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2" s="4">
        <v>294804.96027377353</v>
      </c>
      <c r="BO3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2" s="4">
        <f>(Base[[#This Row],['[SC']'[Mort_prématurée']Gains]]-Base[[#This Row],['[SC']'[Mort_prématurée']Coûts]])/Base[[#This Row],[Population_totale]]</f>
        <v>0</v>
      </c>
      <c r="BQ322" s="4">
        <f>IF(Base[[#This Row],[Pathologie]]&lt;&gt;"Mort prématurée",0,Base[[#This Row],[Risque]])</f>
        <v>0</v>
      </c>
      <c r="BR322" s="4">
        <v>2680</v>
      </c>
      <c r="BS3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3.0527614646815044E-3</v>
      </c>
      <c r="BT3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322" s="4">
        <f>Base[[#This Row],[Prévalence_prod]]*(1-Base[[#This Row],[Risque]])*Base[[#This Row],[Durée_arrêt]]*Base[[#This Row],[Population_emploi]]</f>
        <v>15568139.191696171</v>
      </c>
      <c r="BV322" s="4">
        <f>Base[[#This Row],['[Prod']'[Absentéisme']Total_jours_absence_avant]]-Base[[#This Row],['[Prod']'[Absentéisme']Total_jours_absence_après]]</f>
        <v>3881690.6963990703</v>
      </c>
      <c r="BW322" s="4">
        <f>IF(AND(Base[[#This Row],[Pathologie]]&lt;&gt;"Dépendance",Base[[#This Row],[Pathologie]]&lt;&gt;"Mort prématurée",Base[[#This Row],[Pathologie]]&lt;&gt;"Migraine"),0.0619,0)</f>
        <v>6.1899999999999997E-2</v>
      </c>
      <c r="BX322" s="4">
        <v>254</v>
      </c>
      <c r="BY32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322" s="4">
        <f>(Base[[#This Row],['[Prod']'[Absentéisme']Jours_théoriques]]-Base[[#This Row],['[Prod']'[Absentéisme']Total_jours_absence_évités]])/(Base[[#This Row],[Population_emploi]]*Base[[#This Row],['[Prod']Jours_ouvrés]])</f>
        <v>5.1528108003733473E-3</v>
      </c>
      <c r="CA322" s="4">
        <f>Base[[#This Row],[Prévalence_prod]]*Base[[#This Row],[Présentéisme]]*Base[[#This Row],['[Prod']Jours_ouvrés]]</f>
        <v>0.15098463934186357</v>
      </c>
      <c r="CB322" s="4">
        <f>Base[[#This Row],[Prévalence_prod]]*(1-Base[[#This Row],[Risque]])*Base[[#This Row],[Présentéisme]]*Base[[#This Row],['[Prod']Jours_ouvrés]]</f>
        <v>0.12085195061376301</v>
      </c>
      <c r="CC322" s="4">
        <f>Base[[#This Row],['[Prod']'[Présentéisme']Jours_avant]]-Base[[#This Row],['[Prod']'[Présentéisme']Jours_après]]</f>
        <v>3.0132688728100557E-2</v>
      </c>
      <c r="CD322" s="4">
        <f>Base[[#This Row],['[Prod']'[Présentéisme']Jours_gagnés]]/Base[[#This Row],['[Prod']Jours_ouvrés]]</f>
        <v>1.1863263278779747E-4</v>
      </c>
      <c r="CE322">
        <v>7.5880726467531134E-2</v>
      </c>
      <c r="CF322">
        <v>1.989821358241517E-2</v>
      </c>
      <c r="CG322" s="4">
        <v>11</v>
      </c>
      <c r="CH322" s="4">
        <v>0.85076983926913452</v>
      </c>
      <c r="CI322" s="4">
        <v>0</v>
      </c>
      <c r="CJ322" s="4">
        <f>IF(Base[[#This Row],[Secteur]]&lt;&gt;"Moyenne",Base[[#This Row],['[Prod']'[Turnover']DMC_initiale]]*(1+Base[[#This Row],['[Prod']'[Turnover']Ecart_accidents]]*Base[[#This Row],['[Prod']Impact_motifs_turnover]]),CJ305*CI305+CJ306*CI306+CJ307*CI307+CJ308*CI308+CJ309*CI309+CJ310*CI310+CJ311*CI311+CJ312*CI312+CJ313*CI313+CJ314*CI314+CJ315*CI315+CJ316*CI316+CJ317*CI317+CJ318*CI318+CJ319*CI319+CJ320*CI320+CJ321*CI321)</f>
        <v>11.186216799683796</v>
      </c>
      <c r="CK322" s="4">
        <f>1/Base[[#This Row],['[Prod']'[Turnover']DMC_initiale]]</f>
        <v>9.0909090909090912E-2</v>
      </c>
      <c r="CL322" s="4">
        <f>1/Base[[#This Row],['[Prod']'[Turnover']DMC_finale]]</f>
        <v>8.9395728502979416E-2</v>
      </c>
    </row>
    <row r="323" spans="2:90" x14ac:dyDescent="0.25">
      <c r="B323" s="4" t="s">
        <v>315</v>
      </c>
      <c r="C323">
        <v>15</v>
      </c>
      <c r="D323" t="s">
        <v>83</v>
      </c>
      <c r="E323" t="s">
        <v>8</v>
      </c>
      <c r="F323" s="3">
        <v>0.17462771545514072</v>
      </c>
      <c r="G323" s="3">
        <v>4.1000000000000002E-2</v>
      </c>
      <c r="H323" s="3">
        <v>4.1000000000000002E-2</v>
      </c>
      <c r="I323" s="3">
        <v>0.17199999999999999</v>
      </c>
      <c r="J323" s="3">
        <v>3.8954334592466999</v>
      </c>
      <c r="K323" s="3">
        <v>7.0000000000000007E-2</v>
      </c>
      <c r="L323" s="2">
        <f>Base[[#This Row],[Coût]]*Base[[#This Row],[Part_ménages_dépenses_santé]]</f>
        <v>0.27268034214726899</v>
      </c>
      <c r="M323" s="2">
        <v>0.82690611956969029</v>
      </c>
      <c r="N323" s="6">
        <v>27700000</v>
      </c>
      <c r="O323" s="7">
        <f>Base[[#This Row],[Coût_salarié]]*10^9*Base[[#This Row],[Risque]]*Base[[#This Row],[Prévalence]]*Base[[#This Row],[Part_coûts_salarié]]/Base[[#This Row],[Population_emploi]]</f>
        <v>5.8281040450233614E-2</v>
      </c>
      <c r="P323">
        <v>50</v>
      </c>
      <c r="Q323">
        <v>50</v>
      </c>
      <c r="R323" s="2">
        <v>9.9999999999999978E-2</v>
      </c>
      <c r="S323" s="2">
        <v>0.33340000000000003</v>
      </c>
      <c r="T323" s="4">
        <v>4.1000000000000002E-2</v>
      </c>
      <c r="U323" s="4">
        <f>IF(Bases_annexes!$F$5=0,16.6587111018772,0.77*Bases_annexes!$F$5/(IF(OR(ISBLANK('Données_d''entrée'!$E$44),'Données_d''entrée'!$E$44=0),35,'Données_d''entrée'!$E$44)*52))</f>
        <v>16.658711101877199</v>
      </c>
      <c r="V323" s="4">
        <v>6.5286422873795198</v>
      </c>
      <c r="W3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3" s="4">
        <v>234.5</v>
      </c>
      <c r="Y323" s="4">
        <f>(Base[[#This Row],['[Maladies']Coûts_évités_par_salarié]]+Base[[#This Row],['[Travail']Coûts_évités_par_salarié]])/Base[[#This Row],[Budget_santé_salarié]]</f>
        <v>1.2185928814859663E-2</v>
      </c>
      <c r="Z323" s="4">
        <v>0.8</v>
      </c>
      <c r="AA323" s="4">
        <f>Base[[#This Row],[Coût]]*Base[[#This Row],[Part_société_dépenses_santé]]</f>
        <v>3.1163467673973599</v>
      </c>
      <c r="AB323" s="4">
        <v>67635124</v>
      </c>
      <c r="AC323" s="4">
        <v>82.297079063317852</v>
      </c>
      <c r="AD323" s="4">
        <v>0.11599999999999999</v>
      </c>
      <c r="AE323" s="4">
        <f>Base[[#This Row],['[SC']Prévalence_travail]]*Base[[#This Row],[Population_emploi]]</f>
        <v>3213200</v>
      </c>
      <c r="AF323" s="4">
        <f>Base[[#This Row],[Risque]]*Base[[#This Row],['[SC']Patients_en_emploi]]</f>
        <v>561113.77530045819</v>
      </c>
      <c r="AG323" s="4">
        <v>552654220.25999999</v>
      </c>
      <c r="AH323" s="4">
        <f>IFERROR(Base[[#This Row],['[SC']Prestations]]/Base[[#This Row],['[SC']Patients_en_emploi]],0)</f>
        <v>171.99496460226564</v>
      </c>
      <c r="AI323" s="4">
        <v>51.7</v>
      </c>
      <c r="AJ3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3" s="4">
        <f>Base[[#This Row],['[SC']'[Travail']Coûts_évités]]/Base[[#This Row],[Population_emploi]]</f>
        <v>3.4840701776406475</v>
      </c>
      <c r="AL323" s="4">
        <f>Base[[#This Row],[Coût_société]]*10^9*Base[[#This Row],[Risque]]*Base[[#This Row],[Prévalence]]*Base[[#This Row],[Part_coûts_salarié]]/Base[[#This Row],[Population_emploi]]</f>
        <v>0.66606903371695558</v>
      </c>
      <c r="AM323" s="4">
        <f>IF(Base[[#This Row],[Pathologie]]&lt;&gt;"Dépendance",0,14909.24243952)</f>
        <v>0</v>
      </c>
      <c r="AN323" s="4">
        <f>IF(Base[[#This Row],[Pathologie]]&lt;&gt;"Dépendance",0,1316000)</f>
        <v>0</v>
      </c>
      <c r="AO323" s="4">
        <f>IF(Base[[#This Row],[Pathologie]]&lt;&gt;"Dépendance",0,Base[[#This Row],['[SC']Coût_personne_dépendante]]*Base[[#This Row],['[SC']Nb_personnes_dépendantes]])</f>
        <v>0</v>
      </c>
      <c r="AP323" s="4">
        <f>IF(Base[[#This Row],[Pathologie]]&lt;&gt;"Dépendance",0,Base[[#This Row],['[SC']Coût_total_dépendance]]/Base[[#This Row],[Population_totale]])</f>
        <v>0</v>
      </c>
      <c r="AQ323" s="4">
        <f>IF(Base[[#This Row],[Pathologie]]&lt;&gt;"Dépendance",0,4.5)</f>
        <v>0</v>
      </c>
      <c r="AR323" s="4">
        <v>0.83987615528424797</v>
      </c>
      <c r="AS323" s="4">
        <f>Base[[#This Row],[Espérance_vie]]+Base[[#This Row],['[SC']Hausse_esp_de_vie]]-Base[[#This Row],['[SC']Durée_moyenne_dépendance_avt]]+Base[[#This Row],[Risque]]</f>
        <v>83.311582934057242</v>
      </c>
      <c r="AT3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3" s="4">
        <v>62.9</v>
      </c>
      <c r="AW323" s="4">
        <f t="shared" si="0"/>
        <v>336905600000</v>
      </c>
      <c r="AX323" s="4">
        <v>15049171</v>
      </c>
      <c r="AY323" s="4">
        <f>Base[[#This Row],['[SC']Budget_total_retraites]]/Base[[#This Row],['[SC']Nombre_de_retraités]]</f>
        <v>22386.987296509556</v>
      </c>
      <c r="AZ323" s="4">
        <f>Base[[#This Row],['[SC']Budget_par_retraité]]*Base[[#This Row],['[SC']Nb_personnes_dépendantes]]</f>
        <v>0</v>
      </c>
      <c r="BA323" s="4">
        <f>Base[[#This Row],['[SC']'[Dépendance']Coût_retraite_personnes_dépendantes]]/Base[[#This Row],[Population_totale]]</f>
        <v>0</v>
      </c>
      <c r="BB32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3" s="4">
        <f>Base[[#This Row],['[SC']'[Dépendance']Gains]]-Base[[#This Row],['[SC']'[Dépendance']Coûts]]</f>
        <v>0</v>
      </c>
      <c r="BD323" s="4">
        <f>IF(Base[[#This Row],[Pathologie]]&lt;&gt;"Mort prématurée",0,Base[[#This Row],[Risque]]*Base[[#This Row],[Prévalence]]*Base[[#This Row],[Population_totale]])</f>
        <v>0</v>
      </c>
      <c r="BE323" s="4">
        <v>52.74</v>
      </c>
      <c r="BF323" s="4">
        <f>Base[[#This Row],['[SC']Âge_moyen_retraite]]-Base[[#This Row],['[SC']'[Mort_prématurée']Âge_moyen_mort précoce]]</f>
        <v>10.159999999999997</v>
      </c>
      <c r="BG323" s="4">
        <f>Base[[#This Row],[Espérance_vie]]+Base[[#This Row],['[SC']Hausse_esp_de_vie]]-Base[[#This Row],['[SC']Âge_moyen_retraite]]</f>
        <v>20.236955218602098</v>
      </c>
      <c r="BH323" s="4">
        <v>106583.42676924677</v>
      </c>
      <c r="BI323" s="4">
        <v>97601.789429271477</v>
      </c>
      <c r="BJ323" s="4">
        <v>302038.31496633729</v>
      </c>
      <c r="BK323" s="4">
        <v>117293.58934859755</v>
      </c>
      <c r="BL323" s="4">
        <v>1523999.9999999995</v>
      </c>
      <c r="BM3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3" s="4">
        <v>294804.96027377353</v>
      </c>
      <c r="BO3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3" s="4">
        <f>(Base[[#This Row],['[SC']'[Mort_prématurée']Gains]]-Base[[#This Row],['[SC']'[Mort_prématurée']Coûts]])/Base[[#This Row],[Population_totale]]</f>
        <v>0</v>
      </c>
      <c r="BQ323" s="4">
        <f>IF(Base[[#This Row],[Pathologie]]&lt;&gt;"Mort prématurée",0,Base[[#This Row],[Risque]])</f>
        <v>0</v>
      </c>
      <c r="BR323" s="4">
        <v>2680</v>
      </c>
      <c r="BS3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3" s="4">
        <f>Base[[#This Row],[Prévalence_prod]]*(1-Base[[#This Row],[Risque]])*Base[[#This Row],[Durée_arrêt]]*Base[[#This Row],[Population_emploi]]</f>
        <v>6119788.0459513394</v>
      </c>
      <c r="BV323" s="4">
        <f>Base[[#This Row],['[Prod']'[Absentéisme']Total_jours_absence_avant]]-Base[[#This Row],['[Prod']'[Absentéisme']Total_jours_absence_après]]</f>
        <v>1294790.9998255819</v>
      </c>
      <c r="BW323" s="4">
        <f>IF(AND(Base[[#This Row],[Pathologie]]&lt;&gt;"Dépendance",Base[[#This Row],[Pathologie]]&lt;&gt;"Mort prématurée",Base[[#This Row],[Pathologie]]&lt;&gt;"Migraine"),0.0619,0)</f>
        <v>6.1899999999999997E-2</v>
      </c>
      <c r="BX323" s="4">
        <v>254</v>
      </c>
      <c r="BY32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3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3" s="4">
        <f>Base[[#This Row],[Prévalence_prod]]*Base[[#This Row],[Présentéisme]]*Base[[#This Row],['[Prod']Jours_ouvrés]]</f>
        <v>1.7912080000000001</v>
      </c>
      <c r="CB323" s="4">
        <f>Base[[#This Row],[Prévalence_prod]]*(1-Base[[#This Row],[Risque]])*Base[[#This Row],[Présentéisme]]*Base[[#This Row],['[Prod']Jours_ouvrés]]</f>
        <v>1.4784134390550281</v>
      </c>
      <c r="CC323" s="4">
        <f>Base[[#This Row],['[Prod']'[Présentéisme']Jours_avant]]-Base[[#This Row],['[Prod']'[Présentéisme']Jours_après]]</f>
        <v>0.31279456094497204</v>
      </c>
      <c r="CD323" s="4">
        <f>Base[[#This Row],['[Prod']'[Présentéisme']Jours_gagnés]]/Base[[#This Row],['[Prod']Jours_ouvrés]]</f>
        <v>1.2314746493896538E-3</v>
      </c>
      <c r="CE323">
        <v>7.5880726467531134E-2</v>
      </c>
      <c r="CF323">
        <v>1.989821358241517E-2</v>
      </c>
      <c r="CG323" s="4">
        <v>11</v>
      </c>
      <c r="CH323" s="4">
        <v>1.3966184516047948</v>
      </c>
      <c r="CI323" s="4">
        <v>1.4392894727292521E-2</v>
      </c>
      <c r="CJ323" s="4">
        <f>IF(Base[[#This Row],[Secteur]]&lt;&gt;"Moyenne",Base[[#This Row],['[Prod']'[Turnover']DMC_initiale]]*(1+Base[[#This Row],['[Prod']'[Turnover']Ecart_accidents]]*Base[[#This Row],['[Prod']Impact_motifs_turnover]]),CJ306*CI306+CJ307*CI307+CJ308*CI308+CJ309*CI309+CJ310*CI310+CJ311*CI311+CJ312*CI312+CJ313*CI313+CJ314*CI314+CJ315*CI315+CJ316*CI316+CJ317*CI317+CJ318*CI318+CJ319*CI319+CJ320*CI320+CJ321*CI321+CJ322*CI322)</f>
        <v>11.305692334674916</v>
      </c>
      <c r="CK323" s="4">
        <f>1/Base[[#This Row],['[Prod']'[Turnover']DMC_initiale]]</f>
        <v>9.0909090909090912E-2</v>
      </c>
      <c r="CL323" s="4">
        <f>1/Base[[#This Row],['[Prod']'[Turnover']DMC_finale]]</f>
        <v>8.8451018336397527E-2</v>
      </c>
    </row>
    <row r="324" spans="2:90" x14ac:dyDescent="0.25">
      <c r="B324" s="4" t="s">
        <v>316</v>
      </c>
      <c r="C324">
        <v>15</v>
      </c>
      <c r="D324" t="s">
        <v>83</v>
      </c>
      <c r="E324" t="s">
        <v>8</v>
      </c>
      <c r="F324" s="3">
        <v>0.17462771545514072</v>
      </c>
      <c r="G324" s="3">
        <v>4.1000000000000002E-2</v>
      </c>
      <c r="H324" s="3">
        <v>4.1000000000000002E-2</v>
      </c>
      <c r="I324" s="3">
        <v>0.17199999999999999</v>
      </c>
      <c r="J324" s="3">
        <v>3.8954334592466999</v>
      </c>
      <c r="K324" s="3">
        <v>7.0000000000000007E-2</v>
      </c>
      <c r="L324" s="2">
        <f>Base[[#This Row],[Coût]]*Base[[#This Row],[Part_ménages_dépenses_santé]]</f>
        <v>0.27268034214726899</v>
      </c>
      <c r="M324" s="2">
        <v>0.82690611956969029</v>
      </c>
      <c r="N324" s="6">
        <v>27700000</v>
      </c>
      <c r="O324" s="7">
        <f>Base[[#This Row],[Coût_salarié]]*10^9*Base[[#This Row],[Risque]]*Base[[#This Row],[Prévalence]]*Base[[#This Row],[Part_coûts_salarié]]/Base[[#This Row],[Population_emploi]]</f>
        <v>5.8281040450233614E-2</v>
      </c>
      <c r="P324">
        <v>50</v>
      </c>
      <c r="Q324">
        <v>50</v>
      </c>
      <c r="R324" s="2">
        <v>9.9999999999999978E-2</v>
      </c>
      <c r="S324" s="2">
        <v>0.33340000000000003</v>
      </c>
      <c r="T324" s="4">
        <v>4.1000000000000002E-2</v>
      </c>
      <c r="U324" s="4">
        <f>IF(Bases_annexes!$F$5=0,16.6587111018772,0.77*Bases_annexes!$F$5/(IF(OR(ISBLANK('Données_d''entrée'!$E$44),'Données_d''entrée'!$E$44=0),35,'Données_d''entrée'!$E$44)*52))</f>
        <v>16.658711101877199</v>
      </c>
      <c r="V324" s="4">
        <v>6.5286422873795198</v>
      </c>
      <c r="W3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4" s="4">
        <v>234.5</v>
      </c>
      <c r="Y324" s="4">
        <f>(Base[[#This Row],['[Maladies']Coûts_évités_par_salarié]]+Base[[#This Row],['[Travail']Coûts_évités_par_salarié]])/Base[[#This Row],[Budget_santé_salarié]]</f>
        <v>1.2185928814859663E-2</v>
      </c>
      <c r="Z324" s="4">
        <v>0.8</v>
      </c>
      <c r="AA324" s="4">
        <f>Base[[#This Row],[Coût]]*Base[[#This Row],[Part_société_dépenses_santé]]</f>
        <v>3.1163467673973599</v>
      </c>
      <c r="AB324" s="4">
        <v>67635124</v>
      </c>
      <c r="AC324" s="4">
        <v>82.297079063317852</v>
      </c>
      <c r="AD324" s="4">
        <v>0.11599999999999999</v>
      </c>
      <c r="AE324" s="4">
        <f>Base[[#This Row],['[SC']Prévalence_travail]]*Base[[#This Row],[Population_emploi]]</f>
        <v>3213200</v>
      </c>
      <c r="AF324" s="4">
        <f>Base[[#This Row],[Risque]]*Base[[#This Row],['[SC']Patients_en_emploi]]</f>
        <v>561113.77530045819</v>
      </c>
      <c r="AG324" s="4">
        <v>552654220.25999999</v>
      </c>
      <c r="AH324" s="4">
        <f>IFERROR(Base[[#This Row],['[SC']Prestations]]/Base[[#This Row],['[SC']Patients_en_emploi]],0)</f>
        <v>171.99496460226564</v>
      </c>
      <c r="AI324" s="4">
        <v>51.7</v>
      </c>
      <c r="AJ3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4" s="4">
        <f>Base[[#This Row],['[SC']'[Travail']Coûts_évités]]/Base[[#This Row],[Population_emploi]]</f>
        <v>3.4840701776406475</v>
      </c>
      <c r="AL324" s="4">
        <f>Base[[#This Row],[Coût_société]]*10^9*Base[[#This Row],[Risque]]*Base[[#This Row],[Prévalence]]*Base[[#This Row],[Part_coûts_salarié]]/Base[[#This Row],[Population_emploi]]</f>
        <v>0.66606903371695558</v>
      </c>
      <c r="AM324" s="4">
        <f>IF(Base[[#This Row],[Pathologie]]&lt;&gt;"Dépendance",0,14909.24243952)</f>
        <v>0</v>
      </c>
      <c r="AN324" s="4">
        <f>IF(Base[[#This Row],[Pathologie]]&lt;&gt;"Dépendance",0,1316000)</f>
        <v>0</v>
      </c>
      <c r="AO324" s="4">
        <f>IF(Base[[#This Row],[Pathologie]]&lt;&gt;"Dépendance",0,Base[[#This Row],['[SC']Coût_personne_dépendante]]*Base[[#This Row],['[SC']Nb_personnes_dépendantes]])</f>
        <v>0</v>
      </c>
      <c r="AP324" s="4">
        <f>IF(Base[[#This Row],[Pathologie]]&lt;&gt;"Dépendance",0,Base[[#This Row],['[SC']Coût_total_dépendance]]/Base[[#This Row],[Population_totale]])</f>
        <v>0</v>
      </c>
      <c r="AQ324" s="4">
        <f>IF(Base[[#This Row],[Pathologie]]&lt;&gt;"Dépendance",0,4.5)</f>
        <v>0</v>
      </c>
      <c r="AR324" s="4">
        <v>0.83987615528424797</v>
      </c>
      <c r="AS324" s="4">
        <f>Base[[#This Row],[Espérance_vie]]+Base[[#This Row],['[SC']Hausse_esp_de_vie]]-Base[[#This Row],['[SC']Durée_moyenne_dépendance_avt]]+Base[[#This Row],[Risque]]</f>
        <v>83.311582934057242</v>
      </c>
      <c r="AT3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4" s="4">
        <v>62.9</v>
      </c>
      <c r="AW324" s="4">
        <f t="shared" ref="AW324:AW340" si="4">336905600000</f>
        <v>336905600000</v>
      </c>
      <c r="AX324" s="4">
        <v>15049171</v>
      </c>
      <c r="AY324" s="4">
        <f>Base[[#This Row],['[SC']Budget_total_retraites]]/Base[[#This Row],['[SC']Nombre_de_retraités]]</f>
        <v>22386.987296509556</v>
      </c>
      <c r="AZ324" s="4">
        <f>Base[[#This Row],['[SC']Budget_par_retraité]]*Base[[#This Row],['[SC']Nb_personnes_dépendantes]]</f>
        <v>0</v>
      </c>
      <c r="BA324" s="4">
        <f>Base[[#This Row],['[SC']'[Dépendance']Coût_retraite_personnes_dépendantes]]/Base[[#This Row],[Population_totale]]</f>
        <v>0</v>
      </c>
      <c r="BB32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4" s="4">
        <f>Base[[#This Row],['[SC']'[Dépendance']Gains]]-Base[[#This Row],['[SC']'[Dépendance']Coûts]]</f>
        <v>0</v>
      </c>
      <c r="BD324" s="4">
        <f>IF(Base[[#This Row],[Pathologie]]&lt;&gt;"Mort prématurée",0,Base[[#This Row],[Risque]]*Base[[#This Row],[Prévalence]]*Base[[#This Row],[Population_totale]])</f>
        <v>0</v>
      </c>
      <c r="BE324" s="4">
        <v>52.74</v>
      </c>
      <c r="BF324" s="4">
        <f>Base[[#This Row],['[SC']Âge_moyen_retraite]]-Base[[#This Row],['[SC']'[Mort_prématurée']Âge_moyen_mort précoce]]</f>
        <v>10.159999999999997</v>
      </c>
      <c r="BG324" s="4">
        <f>Base[[#This Row],[Espérance_vie]]+Base[[#This Row],['[SC']Hausse_esp_de_vie]]-Base[[#This Row],['[SC']Âge_moyen_retraite]]</f>
        <v>20.236955218602098</v>
      </c>
      <c r="BH324" s="4">
        <v>106583.42676924677</v>
      </c>
      <c r="BI324" s="4">
        <v>97601.789429271477</v>
      </c>
      <c r="BJ324" s="4">
        <v>302038.31496633729</v>
      </c>
      <c r="BK324" s="4">
        <v>117293.58934859755</v>
      </c>
      <c r="BL324" s="4">
        <v>1523999.9999999995</v>
      </c>
      <c r="BM3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4" s="4">
        <v>294804.96027377353</v>
      </c>
      <c r="BO3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4" s="4">
        <f>(Base[[#This Row],['[SC']'[Mort_prématurée']Gains]]-Base[[#This Row],['[SC']'[Mort_prématurée']Coûts]])/Base[[#This Row],[Population_totale]]</f>
        <v>0</v>
      </c>
      <c r="BQ324" s="4">
        <f>IF(Base[[#This Row],[Pathologie]]&lt;&gt;"Mort prématurée",0,Base[[#This Row],[Risque]])</f>
        <v>0</v>
      </c>
      <c r="BR324" s="4">
        <v>2680</v>
      </c>
      <c r="BS3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4" s="4">
        <f>Base[[#This Row],[Prévalence_prod]]*(1-Base[[#This Row],[Risque]])*Base[[#This Row],[Durée_arrêt]]*Base[[#This Row],[Population_emploi]]</f>
        <v>6119788.0459513394</v>
      </c>
      <c r="BV324" s="4">
        <f>Base[[#This Row],['[Prod']'[Absentéisme']Total_jours_absence_avant]]-Base[[#This Row],['[Prod']'[Absentéisme']Total_jours_absence_après]]</f>
        <v>1294790.9998255819</v>
      </c>
      <c r="BW324" s="4">
        <f>IF(AND(Base[[#This Row],[Pathologie]]&lt;&gt;"Dépendance",Base[[#This Row],[Pathologie]]&lt;&gt;"Mort prématurée",Base[[#This Row],[Pathologie]]&lt;&gt;"Migraine"),0.0619,0)</f>
        <v>6.1899999999999997E-2</v>
      </c>
      <c r="BX324" s="4">
        <v>254</v>
      </c>
      <c r="BY32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4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4" s="4">
        <f>Base[[#This Row],[Prévalence_prod]]*Base[[#This Row],[Présentéisme]]*Base[[#This Row],['[Prod']Jours_ouvrés]]</f>
        <v>1.7912080000000001</v>
      </c>
      <c r="CB324" s="4">
        <f>Base[[#This Row],[Prévalence_prod]]*(1-Base[[#This Row],[Risque]])*Base[[#This Row],[Présentéisme]]*Base[[#This Row],['[Prod']Jours_ouvrés]]</f>
        <v>1.4784134390550281</v>
      </c>
      <c r="CC324" s="4">
        <f>Base[[#This Row],['[Prod']'[Présentéisme']Jours_avant]]-Base[[#This Row],['[Prod']'[Présentéisme']Jours_après]]</f>
        <v>0.31279456094497204</v>
      </c>
      <c r="CD324" s="4">
        <f>Base[[#This Row],['[Prod']'[Présentéisme']Jours_gagnés]]/Base[[#This Row],['[Prod']Jours_ouvrés]]</f>
        <v>1.2314746493896538E-3</v>
      </c>
      <c r="CE324">
        <v>7.5880726467531134E-2</v>
      </c>
      <c r="CF324">
        <v>1.989821358241517E-2</v>
      </c>
      <c r="CG324" s="4">
        <v>11</v>
      </c>
      <c r="CH324" s="4">
        <v>0.68054183762612652</v>
      </c>
      <c r="CI324" s="4">
        <v>1.2135452577082654E-2</v>
      </c>
      <c r="CJ324" s="4">
        <f>IF(Base[[#This Row],[Secteur]]&lt;&gt;"Moyenne",Base[[#This Row],['[Prod']'[Turnover']DMC_initiale]]*(1+Base[[#This Row],['[Prod']'[Turnover']Ecart_accidents]]*Base[[#This Row],['[Prod']Impact_motifs_turnover]]),CJ307*CI307+CJ308*CI308+CJ309*CI309+CJ310*CI310+CJ311*CI311+CJ312*CI312+CJ313*CI313+CJ314*CI314+CJ315*CI315+CJ316*CI316+CJ317*CI317+CJ318*CI318+CJ319*CI319+CJ320*CI320+CJ321*CI321+CJ322*CI322+CJ323*CI323)</f>
        <v>11.148957235205394</v>
      </c>
      <c r="CK324" s="4">
        <f>1/Base[[#This Row],['[Prod']'[Turnover']DMC_initiale]]</f>
        <v>9.0909090909090912E-2</v>
      </c>
      <c r="CL324" s="4">
        <f>1/Base[[#This Row],['[Prod']'[Turnover']DMC_finale]]</f>
        <v>8.9694487018236124E-2</v>
      </c>
    </row>
    <row r="325" spans="2:90" x14ac:dyDescent="0.25">
      <c r="B325" s="4" t="s">
        <v>317</v>
      </c>
      <c r="C325">
        <v>15</v>
      </c>
      <c r="D325" t="s">
        <v>83</v>
      </c>
      <c r="E325" t="s">
        <v>8</v>
      </c>
      <c r="F325" s="3">
        <v>0.17462771545514072</v>
      </c>
      <c r="G325" s="3">
        <v>4.1000000000000002E-2</v>
      </c>
      <c r="H325" s="3">
        <v>4.1000000000000002E-2</v>
      </c>
      <c r="I325" s="3">
        <v>0.17199999999999999</v>
      </c>
      <c r="J325" s="3">
        <v>3.8954334592466999</v>
      </c>
      <c r="K325" s="3">
        <v>7.0000000000000007E-2</v>
      </c>
      <c r="L325" s="2">
        <f>Base[[#This Row],[Coût]]*Base[[#This Row],[Part_ménages_dépenses_santé]]</f>
        <v>0.27268034214726899</v>
      </c>
      <c r="M325" s="2">
        <v>0.82690611956969029</v>
      </c>
      <c r="N325" s="6">
        <v>27700000</v>
      </c>
      <c r="O325" s="7">
        <f>Base[[#This Row],[Coût_salarié]]*10^9*Base[[#This Row],[Risque]]*Base[[#This Row],[Prévalence]]*Base[[#This Row],[Part_coûts_salarié]]/Base[[#This Row],[Population_emploi]]</f>
        <v>5.8281040450233614E-2</v>
      </c>
      <c r="P325">
        <v>50</v>
      </c>
      <c r="Q325">
        <v>50</v>
      </c>
      <c r="R325" s="2">
        <v>9.9999999999999978E-2</v>
      </c>
      <c r="S325" s="2">
        <v>0.33340000000000003</v>
      </c>
      <c r="T325" s="4">
        <v>4.1000000000000002E-2</v>
      </c>
      <c r="U325" s="4">
        <f>IF(Bases_annexes!$F$5=0,16.6587111018772,0.77*Bases_annexes!$F$5/(IF(OR(ISBLANK('Données_d''entrée'!$E$44),'Données_d''entrée'!$E$44=0),35,'Données_d''entrée'!$E$44)*52))</f>
        <v>16.658711101877199</v>
      </c>
      <c r="V325" s="4">
        <v>6.5286422873795198</v>
      </c>
      <c r="W3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5" s="4">
        <v>234.5</v>
      </c>
      <c r="Y325" s="4">
        <f>(Base[[#This Row],['[Maladies']Coûts_évités_par_salarié]]+Base[[#This Row],['[Travail']Coûts_évités_par_salarié]])/Base[[#This Row],[Budget_santé_salarié]]</f>
        <v>1.2185928814859663E-2</v>
      </c>
      <c r="Z325" s="4">
        <v>0.8</v>
      </c>
      <c r="AA325" s="4">
        <f>Base[[#This Row],[Coût]]*Base[[#This Row],[Part_société_dépenses_santé]]</f>
        <v>3.1163467673973599</v>
      </c>
      <c r="AB325" s="4">
        <v>67635124</v>
      </c>
      <c r="AC325" s="4">
        <v>82.297079063317852</v>
      </c>
      <c r="AD325" s="4">
        <v>0.11599999999999999</v>
      </c>
      <c r="AE325" s="4">
        <f>Base[[#This Row],['[SC']Prévalence_travail]]*Base[[#This Row],[Population_emploi]]</f>
        <v>3213200</v>
      </c>
      <c r="AF325" s="4">
        <f>Base[[#This Row],[Risque]]*Base[[#This Row],['[SC']Patients_en_emploi]]</f>
        <v>561113.77530045819</v>
      </c>
      <c r="AG325" s="4">
        <v>552654220.25999999</v>
      </c>
      <c r="AH325" s="4">
        <f>IFERROR(Base[[#This Row],['[SC']Prestations]]/Base[[#This Row],['[SC']Patients_en_emploi]],0)</f>
        <v>171.99496460226564</v>
      </c>
      <c r="AI325" s="4">
        <v>51.7</v>
      </c>
      <c r="AJ3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5" s="4">
        <f>Base[[#This Row],['[SC']'[Travail']Coûts_évités]]/Base[[#This Row],[Population_emploi]]</f>
        <v>3.4840701776406475</v>
      </c>
      <c r="AL325" s="4">
        <f>Base[[#This Row],[Coût_société]]*10^9*Base[[#This Row],[Risque]]*Base[[#This Row],[Prévalence]]*Base[[#This Row],[Part_coûts_salarié]]/Base[[#This Row],[Population_emploi]]</f>
        <v>0.66606903371695558</v>
      </c>
      <c r="AM325" s="4">
        <f>IF(Base[[#This Row],[Pathologie]]&lt;&gt;"Dépendance",0,14909.24243952)</f>
        <v>0</v>
      </c>
      <c r="AN325" s="4">
        <f>IF(Base[[#This Row],[Pathologie]]&lt;&gt;"Dépendance",0,1316000)</f>
        <v>0</v>
      </c>
      <c r="AO325" s="4">
        <f>IF(Base[[#This Row],[Pathologie]]&lt;&gt;"Dépendance",0,Base[[#This Row],['[SC']Coût_personne_dépendante]]*Base[[#This Row],['[SC']Nb_personnes_dépendantes]])</f>
        <v>0</v>
      </c>
      <c r="AP325" s="4">
        <f>IF(Base[[#This Row],[Pathologie]]&lt;&gt;"Dépendance",0,Base[[#This Row],['[SC']Coût_total_dépendance]]/Base[[#This Row],[Population_totale]])</f>
        <v>0</v>
      </c>
      <c r="AQ325" s="4">
        <f>IF(Base[[#This Row],[Pathologie]]&lt;&gt;"Dépendance",0,4.5)</f>
        <v>0</v>
      </c>
      <c r="AR325" s="4">
        <v>0.83987615528424797</v>
      </c>
      <c r="AS325" s="4">
        <f>Base[[#This Row],[Espérance_vie]]+Base[[#This Row],['[SC']Hausse_esp_de_vie]]-Base[[#This Row],['[SC']Durée_moyenne_dépendance_avt]]+Base[[#This Row],[Risque]]</f>
        <v>83.311582934057242</v>
      </c>
      <c r="AT3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5" s="4">
        <v>62.9</v>
      </c>
      <c r="AW325" s="4">
        <f t="shared" si="4"/>
        <v>336905600000</v>
      </c>
      <c r="AX325" s="4">
        <v>15049171</v>
      </c>
      <c r="AY325" s="4">
        <f>Base[[#This Row],['[SC']Budget_total_retraites]]/Base[[#This Row],['[SC']Nombre_de_retraités]]</f>
        <v>22386.987296509556</v>
      </c>
      <c r="AZ325" s="4">
        <f>Base[[#This Row],['[SC']Budget_par_retraité]]*Base[[#This Row],['[SC']Nb_personnes_dépendantes]]</f>
        <v>0</v>
      </c>
      <c r="BA325" s="4">
        <f>Base[[#This Row],['[SC']'[Dépendance']Coût_retraite_personnes_dépendantes]]/Base[[#This Row],[Population_totale]]</f>
        <v>0</v>
      </c>
      <c r="BB32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5" s="4">
        <f>Base[[#This Row],['[SC']'[Dépendance']Gains]]-Base[[#This Row],['[SC']'[Dépendance']Coûts]]</f>
        <v>0</v>
      </c>
      <c r="BD325" s="4">
        <f>IF(Base[[#This Row],[Pathologie]]&lt;&gt;"Mort prématurée",0,Base[[#This Row],[Risque]]*Base[[#This Row],[Prévalence]]*Base[[#This Row],[Population_totale]])</f>
        <v>0</v>
      </c>
      <c r="BE325" s="4">
        <v>52.74</v>
      </c>
      <c r="BF325" s="4">
        <f>Base[[#This Row],['[SC']Âge_moyen_retraite]]-Base[[#This Row],['[SC']'[Mort_prématurée']Âge_moyen_mort précoce]]</f>
        <v>10.159999999999997</v>
      </c>
      <c r="BG325" s="4">
        <f>Base[[#This Row],[Espérance_vie]]+Base[[#This Row],['[SC']Hausse_esp_de_vie]]-Base[[#This Row],['[SC']Âge_moyen_retraite]]</f>
        <v>20.236955218602098</v>
      </c>
      <c r="BH325" s="4">
        <v>106583.42676924677</v>
      </c>
      <c r="BI325" s="4">
        <v>97601.789429271477</v>
      </c>
      <c r="BJ325" s="4">
        <v>302038.31496633729</v>
      </c>
      <c r="BK325" s="4">
        <v>117293.58934859755</v>
      </c>
      <c r="BL325" s="4">
        <v>1523999.9999999995</v>
      </c>
      <c r="BM3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5" s="4">
        <v>294804.96027377353</v>
      </c>
      <c r="BO3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5" s="4">
        <f>(Base[[#This Row],['[SC']'[Mort_prématurée']Gains]]-Base[[#This Row],['[SC']'[Mort_prématurée']Coûts]])/Base[[#This Row],[Population_totale]]</f>
        <v>0</v>
      </c>
      <c r="BQ325" s="4">
        <f>IF(Base[[#This Row],[Pathologie]]&lt;&gt;"Mort prématurée",0,Base[[#This Row],[Risque]])</f>
        <v>0</v>
      </c>
      <c r="BR325" s="4">
        <v>2680</v>
      </c>
      <c r="BS3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5" s="4">
        <f>Base[[#This Row],[Prévalence_prod]]*(1-Base[[#This Row],[Risque]])*Base[[#This Row],[Durée_arrêt]]*Base[[#This Row],[Population_emploi]]</f>
        <v>6119788.0459513394</v>
      </c>
      <c r="BV325" s="4">
        <f>Base[[#This Row],['[Prod']'[Absentéisme']Total_jours_absence_avant]]-Base[[#This Row],['[Prod']'[Absentéisme']Total_jours_absence_après]]</f>
        <v>1294790.9998255819</v>
      </c>
      <c r="BW325" s="4">
        <f>IF(AND(Base[[#This Row],[Pathologie]]&lt;&gt;"Dépendance",Base[[#This Row],[Pathologie]]&lt;&gt;"Mort prématurée",Base[[#This Row],[Pathologie]]&lt;&gt;"Migraine"),0.0619,0)</f>
        <v>6.1899999999999997E-2</v>
      </c>
      <c r="BX325" s="4">
        <v>254</v>
      </c>
      <c r="BY325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5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5" s="4">
        <f>Base[[#This Row],[Prévalence_prod]]*Base[[#This Row],[Présentéisme]]*Base[[#This Row],['[Prod']Jours_ouvrés]]</f>
        <v>1.7912080000000001</v>
      </c>
      <c r="CB325" s="4">
        <f>Base[[#This Row],[Prévalence_prod]]*(1-Base[[#This Row],[Risque]])*Base[[#This Row],[Présentéisme]]*Base[[#This Row],['[Prod']Jours_ouvrés]]</f>
        <v>1.4784134390550281</v>
      </c>
      <c r="CC325" s="4">
        <f>Base[[#This Row],['[Prod']'[Présentéisme']Jours_avant]]-Base[[#This Row],['[Prod']'[Présentéisme']Jours_après]]</f>
        <v>0.31279456094497204</v>
      </c>
      <c r="CD325" s="4">
        <f>Base[[#This Row],['[Prod']'[Présentéisme']Jours_gagnés]]/Base[[#This Row],['[Prod']Jours_ouvrés]]</f>
        <v>1.2314746493896538E-3</v>
      </c>
      <c r="CE325">
        <v>7.5880726467531134E-2</v>
      </c>
      <c r="CF325">
        <v>1.989821358241517E-2</v>
      </c>
      <c r="CG325" s="4">
        <v>11</v>
      </c>
      <c r="CH325" s="4">
        <v>0.31563677172153043</v>
      </c>
      <c r="CI325" s="4">
        <v>1.3003350630813707E-4</v>
      </c>
      <c r="CJ325" s="4">
        <f>IF(Base[[#This Row],[Secteur]]&lt;&gt;"Moyenne",Base[[#This Row],['[Prod']'[Turnover']DMC_initiale]]*(1+Base[[#This Row],['[Prod']'[Turnover']Ecart_accidents]]*Base[[#This Row],['[Prod']Impact_motifs_turnover]]),CJ308*CI308+CJ309*CI309+CJ310*CI310+CJ311*CI311+CJ312*CI312+CJ313*CI313+CJ314*CI314+CJ315*CI315+CJ316*CI316+CJ317*CI317+CJ318*CI318+CJ319*CI319+CJ320*CI320+CJ321*CI321+CJ322*CI322+CJ323*CI323+CJ324*CI324)</f>
        <v>11.069086686879968</v>
      </c>
      <c r="CK325" s="4">
        <f>1/Base[[#This Row],['[Prod']'[Turnover']DMC_initiale]]</f>
        <v>9.0909090909090912E-2</v>
      </c>
      <c r="CL325" s="4">
        <f>1/Base[[#This Row],['[Prod']'[Turnover']DMC_finale]]</f>
        <v>9.0341690176235209E-2</v>
      </c>
    </row>
    <row r="326" spans="2:90" x14ac:dyDescent="0.25">
      <c r="B326" s="4" t="s">
        <v>318</v>
      </c>
      <c r="C326">
        <v>15</v>
      </c>
      <c r="D326" t="s">
        <v>83</v>
      </c>
      <c r="E326" t="s">
        <v>8</v>
      </c>
      <c r="F326" s="3">
        <v>0.17462771545514072</v>
      </c>
      <c r="G326" s="3">
        <v>4.1000000000000002E-2</v>
      </c>
      <c r="H326" s="3">
        <v>4.1000000000000002E-2</v>
      </c>
      <c r="I326" s="3">
        <v>0.17199999999999999</v>
      </c>
      <c r="J326" s="3">
        <v>3.8954334592466999</v>
      </c>
      <c r="K326" s="3">
        <v>7.0000000000000007E-2</v>
      </c>
      <c r="L326" s="2">
        <f>Base[[#This Row],[Coût]]*Base[[#This Row],[Part_ménages_dépenses_santé]]</f>
        <v>0.27268034214726899</v>
      </c>
      <c r="M326" s="2">
        <v>0.82690611956969029</v>
      </c>
      <c r="N326" s="6">
        <v>27700000</v>
      </c>
      <c r="O326" s="7">
        <f>Base[[#This Row],[Coût_salarié]]*10^9*Base[[#This Row],[Risque]]*Base[[#This Row],[Prévalence]]*Base[[#This Row],[Part_coûts_salarié]]/Base[[#This Row],[Population_emploi]]</f>
        <v>5.8281040450233614E-2</v>
      </c>
      <c r="P326">
        <v>50</v>
      </c>
      <c r="Q326">
        <v>50</v>
      </c>
      <c r="R326" s="2">
        <v>9.9999999999999978E-2</v>
      </c>
      <c r="S326" s="2">
        <v>0.33340000000000003</v>
      </c>
      <c r="T326" s="4">
        <v>4.1000000000000002E-2</v>
      </c>
      <c r="U326" s="4">
        <f>IF(Bases_annexes!$F$5=0,16.6587111018772,0.77*Bases_annexes!$F$5/(IF(OR(ISBLANK('Données_d''entrée'!$E$44),'Données_d''entrée'!$E$44=0),35,'Données_d''entrée'!$E$44)*52))</f>
        <v>16.658711101877199</v>
      </c>
      <c r="V326" s="4">
        <v>6.5286422873795198</v>
      </c>
      <c r="W3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6" s="4">
        <v>234.5</v>
      </c>
      <c r="Y326" s="4">
        <f>(Base[[#This Row],['[Maladies']Coûts_évités_par_salarié]]+Base[[#This Row],['[Travail']Coûts_évités_par_salarié]])/Base[[#This Row],[Budget_santé_salarié]]</f>
        <v>1.2185928814859663E-2</v>
      </c>
      <c r="Z326" s="4">
        <v>0.8</v>
      </c>
      <c r="AA326" s="4">
        <f>Base[[#This Row],[Coût]]*Base[[#This Row],[Part_société_dépenses_santé]]</f>
        <v>3.1163467673973599</v>
      </c>
      <c r="AB326" s="4">
        <v>67635124</v>
      </c>
      <c r="AC326" s="4">
        <v>82.297079063317852</v>
      </c>
      <c r="AD326" s="4">
        <v>0.11599999999999999</v>
      </c>
      <c r="AE326" s="4">
        <f>Base[[#This Row],['[SC']Prévalence_travail]]*Base[[#This Row],[Population_emploi]]</f>
        <v>3213200</v>
      </c>
      <c r="AF326" s="4">
        <f>Base[[#This Row],[Risque]]*Base[[#This Row],['[SC']Patients_en_emploi]]</f>
        <v>561113.77530045819</v>
      </c>
      <c r="AG326" s="4">
        <v>552654220.25999999</v>
      </c>
      <c r="AH326" s="4">
        <f>IFERROR(Base[[#This Row],['[SC']Prestations]]/Base[[#This Row],['[SC']Patients_en_emploi]],0)</f>
        <v>171.99496460226564</v>
      </c>
      <c r="AI326" s="4">
        <v>51.7</v>
      </c>
      <c r="AJ3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6" s="4">
        <f>Base[[#This Row],['[SC']'[Travail']Coûts_évités]]/Base[[#This Row],[Population_emploi]]</f>
        <v>3.4840701776406475</v>
      </c>
      <c r="AL326" s="4">
        <f>Base[[#This Row],[Coût_société]]*10^9*Base[[#This Row],[Risque]]*Base[[#This Row],[Prévalence]]*Base[[#This Row],[Part_coûts_salarié]]/Base[[#This Row],[Population_emploi]]</f>
        <v>0.66606903371695558</v>
      </c>
      <c r="AM326" s="4">
        <f>IF(Base[[#This Row],[Pathologie]]&lt;&gt;"Dépendance",0,14909.24243952)</f>
        <v>0</v>
      </c>
      <c r="AN326" s="4">
        <f>IF(Base[[#This Row],[Pathologie]]&lt;&gt;"Dépendance",0,1316000)</f>
        <v>0</v>
      </c>
      <c r="AO326" s="4">
        <f>IF(Base[[#This Row],[Pathologie]]&lt;&gt;"Dépendance",0,Base[[#This Row],['[SC']Coût_personne_dépendante]]*Base[[#This Row],['[SC']Nb_personnes_dépendantes]])</f>
        <v>0</v>
      </c>
      <c r="AP326" s="4">
        <f>IF(Base[[#This Row],[Pathologie]]&lt;&gt;"Dépendance",0,Base[[#This Row],['[SC']Coût_total_dépendance]]/Base[[#This Row],[Population_totale]])</f>
        <v>0</v>
      </c>
      <c r="AQ326" s="4">
        <f>IF(Base[[#This Row],[Pathologie]]&lt;&gt;"Dépendance",0,4.5)</f>
        <v>0</v>
      </c>
      <c r="AR326" s="4">
        <v>0.83987615528424797</v>
      </c>
      <c r="AS326" s="4">
        <f>Base[[#This Row],[Espérance_vie]]+Base[[#This Row],['[SC']Hausse_esp_de_vie]]-Base[[#This Row],['[SC']Durée_moyenne_dépendance_avt]]+Base[[#This Row],[Risque]]</f>
        <v>83.311582934057242</v>
      </c>
      <c r="AT3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6" s="4">
        <v>62.9</v>
      </c>
      <c r="AW326" s="4">
        <f t="shared" si="4"/>
        <v>336905600000</v>
      </c>
      <c r="AX326" s="4">
        <v>15049171</v>
      </c>
      <c r="AY326" s="4">
        <f>Base[[#This Row],['[SC']Budget_total_retraites]]/Base[[#This Row],['[SC']Nombre_de_retraités]]</f>
        <v>22386.987296509556</v>
      </c>
      <c r="AZ326" s="4">
        <f>Base[[#This Row],['[SC']Budget_par_retraité]]*Base[[#This Row],['[SC']Nb_personnes_dépendantes]]</f>
        <v>0</v>
      </c>
      <c r="BA326" s="4">
        <f>Base[[#This Row],['[SC']'[Dépendance']Coût_retraite_personnes_dépendantes]]/Base[[#This Row],[Population_totale]]</f>
        <v>0</v>
      </c>
      <c r="BB32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6" s="4">
        <f>Base[[#This Row],['[SC']'[Dépendance']Gains]]-Base[[#This Row],['[SC']'[Dépendance']Coûts]]</f>
        <v>0</v>
      </c>
      <c r="BD326" s="4">
        <f>IF(Base[[#This Row],[Pathologie]]&lt;&gt;"Mort prématurée",0,Base[[#This Row],[Risque]]*Base[[#This Row],[Prévalence]]*Base[[#This Row],[Population_totale]])</f>
        <v>0</v>
      </c>
      <c r="BE326" s="4">
        <v>52.74</v>
      </c>
      <c r="BF326" s="4">
        <f>Base[[#This Row],['[SC']Âge_moyen_retraite]]-Base[[#This Row],['[SC']'[Mort_prématurée']Âge_moyen_mort précoce]]</f>
        <v>10.159999999999997</v>
      </c>
      <c r="BG326" s="4">
        <f>Base[[#This Row],[Espérance_vie]]+Base[[#This Row],['[SC']Hausse_esp_de_vie]]-Base[[#This Row],['[SC']Âge_moyen_retraite]]</f>
        <v>20.236955218602098</v>
      </c>
      <c r="BH326" s="4">
        <v>106583.42676924677</v>
      </c>
      <c r="BI326" s="4">
        <v>97601.789429271477</v>
      </c>
      <c r="BJ326" s="4">
        <v>302038.31496633729</v>
      </c>
      <c r="BK326" s="4">
        <v>117293.58934859755</v>
      </c>
      <c r="BL326" s="4">
        <v>1523999.9999999995</v>
      </c>
      <c r="BM3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6" s="4">
        <v>294804.96027377353</v>
      </c>
      <c r="BO3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6" s="4">
        <f>(Base[[#This Row],['[SC']'[Mort_prématurée']Gains]]-Base[[#This Row],['[SC']'[Mort_prématurée']Coûts]])/Base[[#This Row],[Population_totale]]</f>
        <v>0</v>
      </c>
      <c r="BQ326" s="4">
        <f>IF(Base[[#This Row],[Pathologie]]&lt;&gt;"Mort prématurée",0,Base[[#This Row],[Risque]])</f>
        <v>0</v>
      </c>
      <c r="BR326" s="4">
        <v>2680</v>
      </c>
      <c r="BS3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6" s="4">
        <f>Base[[#This Row],[Prévalence_prod]]*(1-Base[[#This Row],[Risque]])*Base[[#This Row],[Durée_arrêt]]*Base[[#This Row],[Population_emploi]]</f>
        <v>6119788.0459513394</v>
      </c>
      <c r="BV326" s="4">
        <f>Base[[#This Row],['[Prod']'[Absentéisme']Total_jours_absence_avant]]-Base[[#This Row],['[Prod']'[Absentéisme']Total_jours_absence_après]]</f>
        <v>1294790.9998255819</v>
      </c>
      <c r="BW326" s="4">
        <f>IF(AND(Base[[#This Row],[Pathologie]]&lt;&gt;"Dépendance",Base[[#This Row],[Pathologie]]&lt;&gt;"Mort prématurée",Base[[#This Row],[Pathologie]]&lt;&gt;"Migraine"),0.0619,0)</f>
        <v>6.1899999999999997E-2</v>
      </c>
      <c r="BX326" s="4">
        <v>254</v>
      </c>
      <c r="BY326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6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6" s="4">
        <f>Base[[#This Row],[Prévalence_prod]]*Base[[#This Row],[Présentéisme]]*Base[[#This Row],['[Prod']Jours_ouvrés]]</f>
        <v>1.7912080000000001</v>
      </c>
      <c r="CB326" s="4">
        <f>Base[[#This Row],[Prévalence_prod]]*(1-Base[[#This Row],[Risque]])*Base[[#This Row],[Présentéisme]]*Base[[#This Row],['[Prod']Jours_ouvrés]]</f>
        <v>1.4784134390550281</v>
      </c>
      <c r="CC326" s="4">
        <f>Base[[#This Row],['[Prod']'[Présentéisme']Jours_avant]]-Base[[#This Row],['[Prod']'[Présentéisme']Jours_après]]</f>
        <v>0.31279456094497204</v>
      </c>
      <c r="CD326" s="4">
        <f>Base[[#This Row],['[Prod']'[Présentéisme']Jours_gagnés]]/Base[[#This Row],['[Prod']Jours_ouvrés]]</f>
        <v>1.2314746493896538E-3</v>
      </c>
      <c r="CE326">
        <v>7.5880726467531134E-2</v>
      </c>
      <c r="CF326">
        <v>1.989821358241517E-2</v>
      </c>
      <c r="CG326" s="4">
        <v>11</v>
      </c>
      <c r="CH326" s="4">
        <v>1.1688035738877327</v>
      </c>
      <c r="CI326" s="4">
        <v>9.6557438521367826E-3</v>
      </c>
      <c r="CJ326" s="4">
        <f>IF(Base[[#This Row],[Secteur]]&lt;&gt;"Moyenne",Base[[#This Row],['[Prod']'[Turnover']DMC_initiale]]*(1+Base[[#This Row],['[Prod']'[Turnover']Ecart_accidents]]*Base[[#This Row],['[Prod']Impact_motifs_turnover]]),CJ309*CI309+CJ310*CI310+CJ311*CI311+CJ312*CI312+CJ313*CI313+CJ314*CI314+CJ315*CI315+CJ316*CI316+CJ317*CI317+CJ318*CI318+CJ319*CI319+CJ320*CI320+CJ321*CI321+CJ322*CI322+CJ323*CI323+CJ324*CI324+CJ325*CI325)</f>
        <v>11.25582813464019</v>
      </c>
      <c r="CK326" s="4">
        <f>1/Base[[#This Row],['[Prod']'[Turnover']DMC_initiale]]</f>
        <v>9.0909090909090912E-2</v>
      </c>
      <c r="CL326" s="4">
        <f>1/Base[[#This Row],['[Prod']'[Turnover']DMC_finale]]</f>
        <v>8.8842863273868436E-2</v>
      </c>
    </row>
    <row r="327" spans="2:90" x14ac:dyDescent="0.25">
      <c r="B327" s="4" t="s">
        <v>319</v>
      </c>
      <c r="C327">
        <v>15</v>
      </c>
      <c r="D327" t="s">
        <v>83</v>
      </c>
      <c r="E327" t="s">
        <v>8</v>
      </c>
      <c r="F327" s="3">
        <v>0.17462771545514072</v>
      </c>
      <c r="G327" s="3">
        <v>4.1000000000000002E-2</v>
      </c>
      <c r="H327" s="3">
        <v>4.1000000000000002E-2</v>
      </c>
      <c r="I327" s="3">
        <v>0.17199999999999999</v>
      </c>
      <c r="J327" s="3">
        <v>3.8954334592466999</v>
      </c>
      <c r="K327" s="3">
        <v>7.0000000000000007E-2</v>
      </c>
      <c r="L327" s="2">
        <f>Base[[#This Row],[Coût]]*Base[[#This Row],[Part_ménages_dépenses_santé]]</f>
        <v>0.27268034214726899</v>
      </c>
      <c r="M327" s="2">
        <v>0.82690611956969029</v>
      </c>
      <c r="N327" s="6">
        <v>27700000</v>
      </c>
      <c r="O327" s="7">
        <f>Base[[#This Row],[Coût_salarié]]*10^9*Base[[#This Row],[Risque]]*Base[[#This Row],[Prévalence]]*Base[[#This Row],[Part_coûts_salarié]]/Base[[#This Row],[Population_emploi]]</f>
        <v>5.8281040450233614E-2</v>
      </c>
      <c r="P327">
        <v>50</v>
      </c>
      <c r="Q327">
        <v>50</v>
      </c>
      <c r="R327" s="2">
        <v>9.9999999999999978E-2</v>
      </c>
      <c r="S327" s="2">
        <v>0.33340000000000003</v>
      </c>
      <c r="T327" s="4">
        <v>4.1000000000000002E-2</v>
      </c>
      <c r="U327" s="4">
        <f>IF(Bases_annexes!$F$5=0,16.6587111018772,0.77*Bases_annexes!$F$5/(IF(OR(ISBLANK('Données_d''entrée'!$E$44),'Données_d''entrée'!$E$44=0),35,'Données_d''entrée'!$E$44)*52))</f>
        <v>16.658711101877199</v>
      </c>
      <c r="V327" s="4">
        <v>6.5286422873795198</v>
      </c>
      <c r="W3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7" s="4">
        <v>234.5</v>
      </c>
      <c r="Y327" s="4">
        <f>(Base[[#This Row],['[Maladies']Coûts_évités_par_salarié]]+Base[[#This Row],['[Travail']Coûts_évités_par_salarié]])/Base[[#This Row],[Budget_santé_salarié]]</f>
        <v>1.2185928814859663E-2</v>
      </c>
      <c r="Z327" s="4">
        <v>0.8</v>
      </c>
      <c r="AA327" s="4">
        <f>Base[[#This Row],[Coût]]*Base[[#This Row],[Part_société_dépenses_santé]]</f>
        <v>3.1163467673973599</v>
      </c>
      <c r="AB327" s="4">
        <v>67635124</v>
      </c>
      <c r="AC327" s="4">
        <v>82.297079063317852</v>
      </c>
      <c r="AD327" s="4">
        <v>0.11599999999999999</v>
      </c>
      <c r="AE327" s="4">
        <f>Base[[#This Row],['[SC']Prévalence_travail]]*Base[[#This Row],[Population_emploi]]</f>
        <v>3213200</v>
      </c>
      <c r="AF327" s="4">
        <f>Base[[#This Row],[Risque]]*Base[[#This Row],['[SC']Patients_en_emploi]]</f>
        <v>561113.77530045819</v>
      </c>
      <c r="AG327" s="4">
        <v>552654220.25999999</v>
      </c>
      <c r="AH327" s="4">
        <f>IFERROR(Base[[#This Row],['[SC']Prestations]]/Base[[#This Row],['[SC']Patients_en_emploi]],0)</f>
        <v>171.99496460226564</v>
      </c>
      <c r="AI327" s="4">
        <v>51.7</v>
      </c>
      <c r="AJ3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7" s="4">
        <f>Base[[#This Row],['[SC']'[Travail']Coûts_évités]]/Base[[#This Row],[Population_emploi]]</f>
        <v>3.4840701776406475</v>
      </c>
      <c r="AL327" s="4">
        <f>Base[[#This Row],[Coût_société]]*10^9*Base[[#This Row],[Risque]]*Base[[#This Row],[Prévalence]]*Base[[#This Row],[Part_coûts_salarié]]/Base[[#This Row],[Population_emploi]]</f>
        <v>0.66606903371695558</v>
      </c>
      <c r="AM327" s="4">
        <f>IF(Base[[#This Row],[Pathologie]]&lt;&gt;"Dépendance",0,14909.24243952)</f>
        <v>0</v>
      </c>
      <c r="AN327" s="4">
        <f>IF(Base[[#This Row],[Pathologie]]&lt;&gt;"Dépendance",0,1316000)</f>
        <v>0</v>
      </c>
      <c r="AO327" s="4">
        <f>IF(Base[[#This Row],[Pathologie]]&lt;&gt;"Dépendance",0,Base[[#This Row],['[SC']Coût_personne_dépendante]]*Base[[#This Row],['[SC']Nb_personnes_dépendantes]])</f>
        <v>0</v>
      </c>
      <c r="AP327" s="4">
        <f>IF(Base[[#This Row],[Pathologie]]&lt;&gt;"Dépendance",0,Base[[#This Row],['[SC']Coût_total_dépendance]]/Base[[#This Row],[Population_totale]])</f>
        <v>0</v>
      </c>
      <c r="AQ327" s="4">
        <f>IF(Base[[#This Row],[Pathologie]]&lt;&gt;"Dépendance",0,4.5)</f>
        <v>0</v>
      </c>
      <c r="AR327" s="4">
        <v>0.83987615528424797</v>
      </c>
      <c r="AS327" s="4">
        <f>Base[[#This Row],[Espérance_vie]]+Base[[#This Row],['[SC']Hausse_esp_de_vie]]-Base[[#This Row],['[SC']Durée_moyenne_dépendance_avt]]+Base[[#This Row],[Risque]]</f>
        <v>83.311582934057242</v>
      </c>
      <c r="AT3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7" s="4">
        <v>62.9</v>
      </c>
      <c r="AW327" s="4">
        <f t="shared" si="4"/>
        <v>336905600000</v>
      </c>
      <c r="AX327" s="4">
        <v>15049171</v>
      </c>
      <c r="AY327" s="4">
        <f>Base[[#This Row],['[SC']Budget_total_retraites]]/Base[[#This Row],['[SC']Nombre_de_retraités]]</f>
        <v>22386.987296509556</v>
      </c>
      <c r="AZ327" s="4">
        <f>Base[[#This Row],['[SC']Budget_par_retraité]]*Base[[#This Row],['[SC']Nb_personnes_dépendantes]]</f>
        <v>0</v>
      </c>
      <c r="BA327" s="4">
        <f>Base[[#This Row],['[SC']'[Dépendance']Coût_retraite_personnes_dépendantes]]/Base[[#This Row],[Population_totale]]</f>
        <v>0</v>
      </c>
      <c r="BB32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7" s="4">
        <f>Base[[#This Row],['[SC']'[Dépendance']Gains]]-Base[[#This Row],['[SC']'[Dépendance']Coûts]]</f>
        <v>0</v>
      </c>
      <c r="BD327" s="4">
        <f>IF(Base[[#This Row],[Pathologie]]&lt;&gt;"Mort prématurée",0,Base[[#This Row],[Risque]]*Base[[#This Row],[Prévalence]]*Base[[#This Row],[Population_totale]])</f>
        <v>0</v>
      </c>
      <c r="BE327" s="4">
        <v>52.74</v>
      </c>
      <c r="BF327" s="4">
        <f>Base[[#This Row],['[SC']Âge_moyen_retraite]]-Base[[#This Row],['[SC']'[Mort_prématurée']Âge_moyen_mort précoce]]</f>
        <v>10.159999999999997</v>
      </c>
      <c r="BG327" s="4">
        <f>Base[[#This Row],[Espérance_vie]]+Base[[#This Row],['[SC']Hausse_esp_de_vie]]-Base[[#This Row],['[SC']Âge_moyen_retraite]]</f>
        <v>20.236955218602098</v>
      </c>
      <c r="BH327" s="4">
        <v>106583.42676924677</v>
      </c>
      <c r="BI327" s="4">
        <v>97601.789429271477</v>
      </c>
      <c r="BJ327" s="4">
        <v>302038.31496633729</v>
      </c>
      <c r="BK327" s="4">
        <v>117293.58934859755</v>
      </c>
      <c r="BL327" s="4">
        <v>1523999.9999999995</v>
      </c>
      <c r="BM3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7" s="4">
        <v>294804.96027377353</v>
      </c>
      <c r="BO3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7" s="4">
        <f>(Base[[#This Row],['[SC']'[Mort_prématurée']Gains]]-Base[[#This Row],['[SC']'[Mort_prématurée']Coûts]])/Base[[#This Row],[Population_totale]]</f>
        <v>0</v>
      </c>
      <c r="BQ327" s="4">
        <f>IF(Base[[#This Row],[Pathologie]]&lt;&gt;"Mort prématurée",0,Base[[#This Row],[Risque]])</f>
        <v>0</v>
      </c>
      <c r="BR327" s="4">
        <v>2680</v>
      </c>
      <c r="BS3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7" s="4">
        <f>Base[[#This Row],[Prévalence_prod]]*(1-Base[[#This Row],[Risque]])*Base[[#This Row],[Durée_arrêt]]*Base[[#This Row],[Population_emploi]]</f>
        <v>6119788.0459513394</v>
      </c>
      <c r="BV327" s="4">
        <f>Base[[#This Row],['[Prod']'[Absentéisme']Total_jours_absence_avant]]-Base[[#This Row],['[Prod']'[Absentéisme']Total_jours_absence_après]]</f>
        <v>1294790.9998255819</v>
      </c>
      <c r="BW327" s="4">
        <f>IF(AND(Base[[#This Row],[Pathologie]]&lt;&gt;"Dépendance",Base[[#This Row],[Pathologie]]&lt;&gt;"Mort prématurée",Base[[#This Row],[Pathologie]]&lt;&gt;"Migraine"),0.0619,0)</f>
        <v>6.1899999999999997E-2</v>
      </c>
      <c r="BX327" s="4">
        <v>254</v>
      </c>
      <c r="BY327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7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7" s="4">
        <f>Base[[#This Row],[Prévalence_prod]]*Base[[#This Row],[Présentéisme]]*Base[[#This Row],['[Prod']Jours_ouvrés]]</f>
        <v>1.7912080000000001</v>
      </c>
      <c r="CB327" s="4">
        <f>Base[[#This Row],[Prévalence_prod]]*(1-Base[[#This Row],[Risque]])*Base[[#This Row],[Présentéisme]]*Base[[#This Row],['[Prod']Jours_ouvrés]]</f>
        <v>1.4784134390550281</v>
      </c>
      <c r="CC327" s="4">
        <f>Base[[#This Row],['[Prod']'[Présentéisme']Jours_avant]]-Base[[#This Row],['[Prod']'[Présentéisme']Jours_après]]</f>
        <v>0.31279456094497204</v>
      </c>
      <c r="CD327" s="4">
        <f>Base[[#This Row],['[Prod']'[Présentéisme']Jours_gagnés]]/Base[[#This Row],['[Prod']Jours_ouvrés]]</f>
        <v>1.2314746493896538E-3</v>
      </c>
      <c r="CE327">
        <v>7.5880726467531134E-2</v>
      </c>
      <c r="CF327">
        <v>1.989821358241517E-2</v>
      </c>
      <c r="CG327" s="4">
        <v>11</v>
      </c>
      <c r="CH327" s="4">
        <v>0.52204401140486179</v>
      </c>
      <c r="CI327" s="4">
        <v>1.2443904150185675E-2</v>
      </c>
      <c r="CJ327" s="4">
        <f>IF(Base[[#This Row],[Secteur]]&lt;&gt;"Moyenne",Base[[#This Row],['[Prod']'[Turnover']DMC_initiale]]*(1+Base[[#This Row],['[Prod']'[Turnover']Ecart_accidents]]*Base[[#This Row],['[Prod']Impact_motifs_turnover]]),CJ310*CI310+CJ311*CI311+CJ312*CI312+CJ313*CI313+CJ314*CI314+CJ315*CI315+CJ316*CI316+CJ317*CI317+CJ318*CI318+CJ319*CI319+CJ320*CI320+CJ321*CI321+CJ322*CI322+CJ323*CI323+CJ324*CI324+CJ325*CI325+CJ326*CI326)</f>
        <v>11.114265175621902</v>
      </c>
      <c r="CK327" s="4">
        <f>1/Base[[#This Row],['[Prod']'[Turnover']DMC_initiale]]</f>
        <v>9.0909090909090912E-2</v>
      </c>
      <c r="CL327" s="4">
        <f>1/Base[[#This Row],['[Prod']'[Turnover']DMC_finale]]</f>
        <v>8.9974459327586145E-2</v>
      </c>
    </row>
    <row r="328" spans="2:90" x14ac:dyDescent="0.25">
      <c r="B328" s="4" t="s">
        <v>320</v>
      </c>
      <c r="C328">
        <v>15</v>
      </c>
      <c r="D328" t="s">
        <v>83</v>
      </c>
      <c r="E328" t="s">
        <v>8</v>
      </c>
      <c r="F328" s="3">
        <v>0.17462771545514072</v>
      </c>
      <c r="G328" s="3">
        <v>4.1000000000000002E-2</v>
      </c>
      <c r="H328" s="3">
        <v>4.1000000000000002E-2</v>
      </c>
      <c r="I328" s="3">
        <v>0.17199999999999999</v>
      </c>
      <c r="J328" s="3">
        <v>3.8954334592466999</v>
      </c>
      <c r="K328" s="3">
        <v>7.0000000000000007E-2</v>
      </c>
      <c r="L328" s="2">
        <f>Base[[#This Row],[Coût]]*Base[[#This Row],[Part_ménages_dépenses_santé]]</f>
        <v>0.27268034214726899</v>
      </c>
      <c r="M328" s="2">
        <v>0.82690611956969029</v>
      </c>
      <c r="N328" s="6">
        <v>27700000</v>
      </c>
      <c r="O328" s="7">
        <f>Base[[#This Row],[Coût_salarié]]*10^9*Base[[#This Row],[Risque]]*Base[[#This Row],[Prévalence]]*Base[[#This Row],[Part_coûts_salarié]]/Base[[#This Row],[Population_emploi]]</f>
        <v>5.8281040450233614E-2</v>
      </c>
      <c r="P328">
        <v>50</v>
      </c>
      <c r="Q328">
        <v>50</v>
      </c>
      <c r="R328" s="2">
        <v>9.9999999999999978E-2</v>
      </c>
      <c r="S328" s="2">
        <v>0.33340000000000003</v>
      </c>
      <c r="T328" s="4">
        <v>4.1000000000000002E-2</v>
      </c>
      <c r="U328" s="4">
        <f>IF(Bases_annexes!$F$5=0,16.6587111018772,0.77*Bases_annexes!$F$5/(IF(OR(ISBLANK('Données_d''entrée'!$E$44),'Données_d''entrée'!$E$44=0),35,'Données_d''entrée'!$E$44)*52))</f>
        <v>16.658711101877199</v>
      </c>
      <c r="V328" s="4">
        <v>6.5286422873795198</v>
      </c>
      <c r="W3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8" s="4">
        <v>234.5</v>
      </c>
      <c r="Y328" s="4">
        <f>(Base[[#This Row],['[Maladies']Coûts_évités_par_salarié]]+Base[[#This Row],['[Travail']Coûts_évités_par_salarié]])/Base[[#This Row],[Budget_santé_salarié]]</f>
        <v>1.2185928814859663E-2</v>
      </c>
      <c r="Z328" s="4">
        <v>0.8</v>
      </c>
      <c r="AA328" s="4">
        <f>Base[[#This Row],[Coût]]*Base[[#This Row],[Part_société_dépenses_santé]]</f>
        <v>3.1163467673973599</v>
      </c>
      <c r="AB328" s="4">
        <v>67635124</v>
      </c>
      <c r="AC328" s="4">
        <v>82.297079063317852</v>
      </c>
      <c r="AD328" s="4">
        <v>0.11599999999999999</v>
      </c>
      <c r="AE328" s="4">
        <f>Base[[#This Row],['[SC']Prévalence_travail]]*Base[[#This Row],[Population_emploi]]</f>
        <v>3213200</v>
      </c>
      <c r="AF328" s="4">
        <f>Base[[#This Row],[Risque]]*Base[[#This Row],['[SC']Patients_en_emploi]]</f>
        <v>561113.77530045819</v>
      </c>
      <c r="AG328" s="4">
        <v>552654220.25999999</v>
      </c>
      <c r="AH328" s="4">
        <f>IFERROR(Base[[#This Row],['[SC']Prestations]]/Base[[#This Row],['[SC']Patients_en_emploi]],0)</f>
        <v>171.99496460226564</v>
      </c>
      <c r="AI328" s="4">
        <v>51.7</v>
      </c>
      <c r="AJ3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8" s="4">
        <f>Base[[#This Row],['[SC']'[Travail']Coûts_évités]]/Base[[#This Row],[Population_emploi]]</f>
        <v>3.4840701776406475</v>
      </c>
      <c r="AL328" s="4">
        <f>Base[[#This Row],[Coût_société]]*10^9*Base[[#This Row],[Risque]]*Base[[#This Row],[Prévalence]]*Base[[#This Row],[Part_coûts_salarié]]/Base[[#This Row],[Population_emploi]]</f>
        <v>0.66606903371695558</v>
      </c>
      <c r="AM328" s="4">
        <f>IF(Base[[#This Row],[Pathologie]]&lt;&gt;"Dépendance",0,14909.24243952)</f>
        <v>0</v>
      </c>
      <c r="AN328" s="4">
        <f>IF(Base[[#This Row],[Pathologie]]&lt;&gt;"Dépendance",0,1316000)</f>
        <v>0</v>
      </c>
      <c r="AO328" s="4">
        <f>IF(Base[[#This Row],[Pathologie]]&lt;&gt;"Dépendance",0,Base[[#This Row],['[SC']Coût_personne_dépendante]]*Base[[#This Row],['[SC']Nb_personnes_dépendantes]])</f>
        <v>0</v>
      </c>
      <c r="AP328" s="4">
        <f>IF(Base[[#This Row],[Pathologie]]&lt;&gt;"Dépendance",0,Base[[#This Row],['[SC']Coût_total_dépendance]]/Base[[#This Row],[Population_totale]])</f>
        <v>0</v>
      </c>
      <c r="AQ328" s="4">
        <f>IF(Base[[#This Row],[Pathologie]]&lt;&gt;"Dépendance",0,4.5)</f>
        <v>0</v>
      </c>
      <c r="AR328" s="4">
        <v>0.83987615528424797</v>
      </c>
      <c r="AS328" s="4">
        <f>Base[[#This Row],[Espérance_vie]]+Base[[#This Row],['[SC']Hausse_esp_de_vie]]-Base[[#This Row],['[SC']Durée_moyenne_dépendance_avt]]+Base[[#This Row],[Risque]]</f>
        <v>83.311582934057242</v>
      </c>
      <c r="AT3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8" s="4">
        <v>62.9</v>
      </c>
      <c r="AW328" s="4">
        <f t="shared" si="4"/>
        <v>336905600000</v>
      </c>
      <c r="AX328" s="4">
        <v>15049171</v>
      </c>
      <c r="AY328" s="4">
        <f>Base[[#This Row],['[SC']Budget_total_retraites]]/Base[[#This Row],['[SC']Nombre_de_retraités]]</f>
        <v>22386.987296509556</v>
      </c>
      <c r="AZ328" s="4">
        <f>Base[[#This Row],['[SC']Budget_par_retraité]]*Base[[#This Row],['[SC']Nb_personnes_dépendantes]]</f>
        <v>0</v>
      </c>
      <c r="BA328" s="4">
        <f>Base[[#This Row],['[SC']'[Dépendance']Coût_retraite_personnes_dépendantes]]/Base[[#This Row],[Population_totale]]</f>
        <v>0</v>
      </c>
      <c r="BB32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8" s="4">
        <f>Base[[#This Row],['[SC']'[Dépendance']Gains]]-Base[[#This Row],['[SC']'[Dépendance']Coûts]]</f>
        <v>0</v>
      </c>
      <c r="BD328" s="4">
        <f>IF(Base[[#This Row],[Pathologie]]&lt;&gt;"Mort prématurée",0,Base[[#This Row],[Risque]]*Base[[#This Row],[Prévalence]]*Base[[#This Row],[Population_totale]])</f>
        <v>0</v>
      </c>
      <c r="BE328" s="4">
        <v>52.74</v>
      </c>
      <c r="BF328" s="4">
        <f>Base[[#This Row],['[SC']Âge_moyen_retraite]]-Base[[#This Row],['[SC']'[Mort_prématurée']Âge_moyen_mort précoce]]</f>
        <v>10.159999999999997</v>
      </c>
      <c r="BG328" s="4">
        <f>Base[[#This Row],[Espérance_vie]]+Base[[#This Row],['[SC']Hausse_esp_de_vie]]-Base[[#This Row],['[SC']Âge_moyen_retraite]]</f>
        <v>20.236955218602098</v>
      </c>
      <c r="BH328" s="4">
        <v>106583.42676924677</v>
      </c>
      <c r="BI328" s="4">
        <v>97601.789429271477</v>
      </c>
      <c r="BJ328" s="4">
        <v>302038.31496633729</v>
      </c>
      <c r="BK328" s="4">
        <v>117293.58934859755</v>
      </c>
      <c r="BL328" s="4">
        <v>1523999.9999999995</v>
      </c>
      <c r="BM3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8" s="4">
        <v>294804.96027377353</v>
      </c>
      <c r="BO3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8" s="4">
        <f>(Base[[#This Row],['[SC']'[Mort_prématurée']Gains]]-Base[[#This Row],['[SC']'[Mort_prématurée']Coûts]])/Base[[#This Row],[Population_totale]]</f>
        <v>0</v>
      </c>
      <c r="BQ328" s="4">
        <f>IF(Base[[#This Row],[Pathologie]]&lt;&gt;"Mort prématurée",0,Base[[#This Row],[Risque]])</f>
        <v>0</v>
      </c>
      <c r="BR328" s="4">
        <v>2680</v>
      </c>
      <c r="BS3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8" s="4">
        <f>Base[[#This Row],[Prévalence_prod]]*(1-Base[[#This Row],[Risque]])*Base[[#This Row],[Durée_arrêt]]*Base[[#This Row],[Population_emploi]]</f>
        <v>6119788.0459513394</v>
      </c>
      <c r="BV328" s="4">
        <f>Base[[#This Row],['[Prod']'[Absentéisme']Total_jours_absence_avant]]-Base[[#This Row],['[Prod']'[Absentéisme']Total_jours_absence_après]]</f>
        <v>1294790.9998255819</v>
      </c>
      <c r="BW328" s="4">
        <f>IF(AND(Base[[#This Row],[Pathologie]]&lt;&gt;"Dépendance",Base[[#This Row],[Pathologie]]&lt;&gt;"Mort prématurée",Base[[#This Row],[Pathologie]]&lt;&gt;"Migraine"),0.0619,0)</f>
        <v>6.1899999999999997E-2</v>
      </c>
      <c r="BX328" s="4">
        <v>254</v>
      </c>
      <c r="BY328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8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8" s="4">
        <f>Base[[#This Row],[Prévalence_prod]]*Base[[#This Row],[Présentéisme]]*Base[[#This Row],['[Prod']Jours_ouvrés]]</f>
        <v>1.7912080000000001</v>
      </c>
      <c r="CB328" s="4">
        <f>Base[[#This Row],[Prévalence_prod]]*(1-Base[[#This Row],[Risque]])*Base[[#This Row],[Présentéisme]]*Base[[#This Row],['[Prod']Jours_ouvrés]]</f>
        <v>1.4784134390550281</v>
      </c>
      <c r="CC328" s="4">
        <f>Base[[#This Row],['[Prod']'[Présentéisme']Jours_avant]]-Base[[#This Row],['[Prod']'[Présentéisme']Jours_après]]</f>
        <v>0.31279456094497204</v>
      </c>
      <c r="CD328" s="4">
        <f>Base[[#This Row],['[Prod']'[Présentéisme']Jours_gagnés]]/Base[[#This Row],['[Prod']Jours_ouvrés]]</f>
        <v>1.2314746493896538E-3</v>
      </c>
      <c r="CE328">
        <v>7.5880726467531134E-2</v>
      </c>
      <c r="CF328">
        <v>1.989821358241517E-2</v>
      </c>
      <c r="CG328" s="4">
        <v>11</v>
      </c>
      <c r="CH328" s="4">
        <v>0.49446424657188709</v>
      </c>
      <c r="CI328" s="4">
        <v>1.0795805058605798E-2</v>
      </c>
      <c r="CJ328" s="4">
        <f>IF(Base[[#This Row],[Secteur]]&lt;&gt;"Moyenne",Base[[#This Row],['[Prod']'[Turnover']DMC_initiale]]*(1+Base[[#This Row],['[Prod']'[Turnover']Ecart_accidents]]*Base[[#This Row],['[Prod']Impact_motifs_turnover]]),CJ311*CI311+CJ312*CI312+CJ313*CI313+CJ314*CI314+CJ315*CI315+CJ316*CI316+CJ317*CI317+CJ318*CI318+CJ319*CI319+CJ320*CI320+CJ321*CI321+CJ322*CI322+CJ323*CI323+CJ324*CI324+CJ325*CI325+CJ326*CI326+CJ327*CI327)</f>
        <v>11.108228507058708</v>
      </c>
      <c r="CK328" s="4">
        <f>1/Base[[#This Row],['[Prod']'[Turnover']DMC_initiale]]</f>
        <v>9.0909090909090912E-2</v>
      </c>
      <c r="CL328" s="4">
        <f>1/Base[[#This Row],['[Prod']'[Turnover']DMC_finale]]</f>
        <v>9.0023355151953477E-2</v>
      </c>
    </row>
    <row r="329" spans="2:90" x14ac:dyDescent="0.25">
      <c r="B329" s="4" t="s">
        <v>321</v>
      </c>
      <c r="C329">
        <v>15</v>
      </c>
      <c r="D329" t="s">
        <v>83</v>
      </c>
      <c r="E329" t="s">
        <v>8</v>
      </c>
      <c r="F329" s="3">
        <v>0.17462771545514072</v>
      </c>
      <c r="G329" s="3">
        <v>4.1000000000000002E-2</v>
      </c>
      <c r="H329" s="3">
        <v>4.1000000000000002E-2</v>
      </c>
      <c r="I329" s="3">
        <v>0.17199999999999999</v>
      </c>
      <c r="J329" s="3">
        <v>3.8954334592466999</v>
      </c>
      <c r="K329" s="3">
        <v>7.0000000000000007E-2</v>
      </c>
      <c r="L329" s="2">
        <f>Base[[#This Row],[Coût]]*Base[[#This Row],[Part_ménages_dépenses_santé]]</f>
        <v>0.27268034214726899</v>
      </c>
      <c r="M329" s="2">
        <v>0.82690611956969029</v>
      </c>
      <c r="N329" s="6">
        <v>27700000</v>
      </c>
      <c r="O329" s="7">
        <f>Base[[#This Row],[Coût_salarié]]*10^9*Base[[#This Row],[Risque]]*Base[[#This Row],[Prévalence]]*Base[[#This Row],[Part_coûts_salarié]]/Base[[#This Row],[Population_emploi]]</f>
        <v>5.8281040450233614E-2</v>
      </c>
      <c r="P329">
        <v>50</v>
      </c>
      <c r="Q329">
        <v>50</v>
      </c>
      <c r="R329" s="2">
        <v>9.9999999999999978E-2</v>
      </c>
      <c r="S329" s="2">
        <v>0.33340000000000003</v>
      </c>
      <c r="T329" s="4">
        <v>4.1000000000000002E-2</v>
      </c>
      <c r="U329" s="4">
        <f>IF(Bases_annexes!$F$5=0,16.6587111018772,0.77*Bases_annexes!$F$5/(IF(OR(ISBLANK('Données_d''entrée'!$E$44),'Données_d''entrée'!$E$44=0),35,'Données_d''entrée'!$E$44)*52))</f>
        <v>16.658711101877199</v>
      </c>
      <c r="V329" s="4">
        <v>6.5286422873795198</v>
      </c>
      <c r="W3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29" s="4">
        <v>234.5</v>
      </c>
      <c r="Y329" s="4">
        <f>(Base[[#This Row],['[Maladies']Coûts_évités_par_salarié]]+Base[[#This Row],['[Travail']Coûts_évités_par_salarié]])/Base[[#This Row],[Budget_santé_salarié]]</f>
        <v>1.2185928814859663E-2</v>
      </c>
      <c r="Z329" s="4">
        <v>0.8</v>
      </c>
      <c r="AA329" s="4">
        <f>Base[[#This Row],[Coût]]*Base[[#This Row],[Part_société_dépenses_santé]]</f>
        <v>3.1163467673973599</v>
      </c>
      <c r="AB329" s="4">
        <v>67635124</v>
      </c>
      <c r="AC329" s="4">
        <v>82.297079063317852</v>
      </c>
      <c r="AD329" s="4">
        <v>0.11599999999999999</v>
      </c>
      <c r="AE329" s="4">
        <f>Base[[#This Row],['[SC']Prévalence_travail]]*Base[[#This Row],[Population_emploi]]</f>
        <v>3213200</v>
      </c>
      <c r="AF329" s="4">
        <f>Base[[#This Row],[Risque]]*Base[[#This Row],['[SC']Patients_en_emploi]]</f>
        <v>561113.77530045819</v>
      </c>
      <c r="AG329" s="4">
        <v>552654220.25999999</v>
      </c>
      <c r="AH329" s="4">
        <f>IFERROR(Base[[#This Row],['[SC']Prestations]]/Base[[#This Row],['[SC']Patients_en_emploi]],0)</f>
        <v>171.99496460226564</v>
      </c>
      <c r="AI329" s="4">
        <v>51.7</v>
      </c>
      <c r="AJ3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29" s="4">
        <f>Base[[#This Row],['[SC']'[Travail']Coûts_évités]]/Base[[#This Row],[Population_emploi]]</f>
        <v>3.4840701776406475</v>
      </c>
      <c r="AL329" s="4">
        <f>Base[[#This Row],[Coût_société]]*10^9*Base[[#This Row],[Risque]]*Base[[#This Row],[Prévalence]]*Base[[#This Row],[Part_coûts_salarié]]/Base[[#This Row],[Population_emploi]]</f>
        <v>0.66606903371695558</v>
      </c>
      <c r="AM329" s="4">
        <f>IF(Base[[#This Row],[Pathologie]]&lt;&gt;"Dépendance",0,14909.24243952)</f>
        <v>0</v>
      </c>
      <c r="AN329" s="4">
        <f>IF(Base[[#This Row],[Pathologie]]&lt;&gt;"Dépendance",0,1316000)</f>
        <v>0</v>
      </c>
      <c r="AO329" s="4">
        <f>IF(Base[[#This Row],[Pathologie]]&lt;&gt;"Dépendance",0,Base[[#This Row],['[SC']Coût_personne_dépendante]]*Base[[#This Row],['[SC']Nb_personnes_dépendantes]])</f>
        <v>0</v>
      </c>
      <c r="AP329" s="4">
        <f>IF(Base[[#This Row],[Pathologie]]&lt;&gt;"Dépendance",0,Base[[#This Row],['[SC']Coût_total_dépendance]]/Base[[#This Row],[Population_totale]])</f>
        <v>0</v>
      </c>
      <c r="AQ329" s="4">
        <f>IF(Base[[#This Row],[Pathologie]]&lt;&gt;"Dépendance",0,4.5)</f>
        <v>0</v>
      </c>
      <c r="AR329" s="4">
        <v>0.83987615528424797</v>
      </c>
      <c r="AS329" s="4">
        <f>Base[[#This Row],[Espérance_vie]]+Base[[#This Row],['[SC']Hausse_esp_de_vie]]-Base[[#This Row],['[SC']Durée_moyenne_dépendance_avt]]+Base[[#This Row],[Risque]]</f>
        <v>83.311582934057242</v>
      </c>
      <c r="AT3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29" s="4">
        <v>62.9</v>
      </c>
      <c r="AW329" s="4">
        <f t="shared" si="4"/>
        <v>336905600000</v>
      </c>
      <c r="AX329" s="4">
        <v>15049171</v>
      </c>
      <c r="AY329" s="4">
        <f>Base[[#This Row],['[SC']Budget_total_retraites]]/Base[[#This Row],['[SC']Nombre_de_retraités]]</f>
        <v>22386.987296509556</v>
      </c>
      <c r="AZ329" s="4">
        <f>Base[[#This Row],['[SC']Budget_par_retraité]]*Base[[#This Row],['[SC']Nb_personnes_dépendantes]]</f>
        <v>0</v>
      </c>
      <c r="BA329" s="4">
        <f>Base[[#This Row],['[SC']'[Dépendance']Coût_retraite_personnes_dépendantes]]/Base[[#This Row],[Population_totale]]</f>
        <v>0</v>
      </c>
      <c r="BB32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29" s="4">
        <f>Base[[#This Row],['[SC']'[Dépendance']Gains]]-Base[[#This Row],['[SC']'[Dépendance']Coûts]]</f>
        <v>0</v>
      </c>
      <c r="BD329" s="4">
        <f>IF(Base[[#This Row],[Pathologie]]&lt;&gt;"Mort prématurée",0,Base[[#This Row],[Risque]]*Base[[#This Row],[Prévalence]]*Base[[#This Row],[Population_totale]])</f>
        <v>0</v>
      </c>
      <c r="BE329" s="4">
        <v>52.74</v>
      </c>
      <c r="BF329" s="4">
        <f>Base[[#This Row],['[SC']Âge_moyen_retraite]]-Base[[#This Row],['[SC']'[Mort_prématurée']Âge_moyen_mort précoce]]</f>
        <v>10.159999999999997</v>
      </c>
      <c r="BG329" s="4">
        <f>Base[[#This Row],[Espérance_vie]]+Base[[#This Row],['[SC']Hausse_esp_de_vie]]-Base[[#This Row],['[SC']Âge_moyen_retraite]]</f>
        <v>20.236955218602098</v>
      </c>
      <c r="BH329" s="4">
        <v>106583.42676924677</v>
      </c>
      <c r="BI329" s="4">
        <v>97601.789429271477</v>
      </c>
      <c r="BJ329" s="4">
        <v>302038.31496633729</v>
      </c>
      <c r="BK329" s="4">
        <v>117293.58934859755</v>
      </c>
      <c r="BL329" s="4">
        <v>1523999.9999999995</v>
      </c>
      <c r="BM3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29" s="4">
        <v>294804.96027377353</v>
      </c>
      <c r="BO3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29" s="4">
        <f>(Base[[#This Row],['[SC']'[Mort_prématurée']Gains]]-Base[[#This Row],['[SC']'[Mort_prématurée']Coûts]])/Base[[#This Row],[Population_totale]]</f>
        <v>0</v>
      </c>
      <c r="BQ329" s="4">
        <f>IF(Base[[#This Row],[Pathologie]]&lt;&gt;"Mort prématurée",0,Base[[#This Row],[Risque]])</f>
        <v>0</v>
      </c>
      <c r="BR329" s="4">
        <v>2680</v>
      </c>
      <c r="BS3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29" s="4">
        <f>Base[[#This Row],[Prévalence_prod]]*(1-Base[[#This Row],[Risque]])*Base[[#This Row],[Durée_arrêt]]*Base[[#This Row],[Population_emploi]]</f>
        <v>6119788.0459513394</v>
      </c>
      <c r="BV329" s="4">
        <f>Base[[#This Row],['[Prod']'[Absentéisme']Total_jours_absence_avant]]-Base[[#This Row],['[Prod']'[Absentéisme']Total_jours_absence_après]]</f>
        <v>1294790.9998255819</v>
      </c>
      <c r="BW329" s="4">
        <f>IF(AND(Base[[#This Row],[Pathologie]]&lt;&gt;"Dépendance",Base[[#This Row],[Pathologie]]&lt;&gt;"Mort prématurée",Base[[#This Row],[Pathologie]]&lt;&gt;"Migraine"),0.0619,0)</f>
        <v>6.1899999999999997E-2</v>
      </c>
      <c r="BX329" s="4">
        <v>254</v>
      </c>
      <c r="BY32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29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29" s="4">
        <f>Base[[#This Row],[Prévalence_prod]]*Base[[#This Row],[Présentéisme]]*Base[[#This Row],['[Prod']Jours_ouvrés]]</f>
        <v>1.7912080000000001</v>
      </c>
      <c r="CB329" s="4">
        <f>Base[[#This Row],[Prévalence_prod]]*(1-Base[[#This Row],[Risque]])*Base[[#This Row],[Présentéisme]]*Base[[#This Row],['[Prod']Jours_ouvrés]]</f>
        <v>1.4784134390550281</v>
      </c>
      <c r="CC329" s="4">
        <f>Base[[#This Row],['[Prod']'[Présentéisme']Jours_avant]]-Base[[#This Row],['[Prod']'[Présentéisme']Jours_après]]</f>
        <v>0.31279456094497204</v>
      </c>
      <c r="CD329" s="4">
        <f>Base[[#This Row],['[Prod']'[Présentéisme']Jours_gagnés]]/Base[[#This Row],['[Prod']Jours_ouvrés]]</f>
        <v>1.2314746493896538E-3</v>
      </c>
      <c r="CE329">
        <v>7.5880726467531134E-2</v>
      </c>
      <c r="CF329">
        <v>1.989821358241517E-2</v>
      </c>
      <c r="CG329" s="4">
        <v>11</v>
      </c>
      <c r="CH329" s="4">
        <v>0.85274500894619554</v>
      </c>
      <c r="CI329" s="4">
        <v>4.2903496994109176E-2</v>
      </c>
      <c r="CJ329" s="4">
        <f>IF(Base[[#This Row],[Secteur]]&lt;&gt;"Moyenne",Base[[#This Row],['[Prod']'[Turnover']DMC_initiale]]*(1+Base[[#This Row],['[Prod']'[Turnover']Ecart_accidents]]*Base[[#This Row],['[Prod']Impact_motifs_turnover]]),CJ312*CI312+CJ313*CI313+CJ314*CI314+CJ315*CI315+CJ316*CI316+CJ317*CI317+CJ318*CI318+CJ319*CI319+CJ320*CI320+CJ321*CI321+CJ322*CI322+CJ323*CI323+CJ324*CI324+CJ325*CI325+CJ326*CI326+CJ327*CI327+CJ328*CI328)</f>
        <v>11.186649125512849</v>
      </c>
      <c r="CK329" s="4">
        <f>1/Base[[#This Row],['[Prod']'[Turnover']DMC_initiale]]</f>
        <v>9.0909090909090912E-2</v>
      </c>
      <c r="CL329" s="4">
        <f>1/Base[[#This Row],['[Prod']'[Turnover']DMC_finale]]</f>
        <v>8.9392273663017496E-2</v>
      </c>
    </row>
    <row r="330" spans="2:90" x14ac:dyDescent="0.25">
      <c r="B330" s="4" t="s">
        <v>322</v>
      </c>
      <c r="C330">
        <v>15</v>
      </c>
      <c r="D330" t="s">
        <v>83</v>
      </c>
      <c r="E330" t="s">
        <v>8</v>
      </c>
      <c r="F330" s="3">
        <v>0.17462771545514072</v>
      </c>
      <c r="G330" s="3">
        <v>4.1000000000000002E-2</v>
      </c>
      <c r="H330" s="3">
        <v>4.1000000000000002E-2</v>
      </c>
      <c r="I330" s="3">
        <v>0.17199999999999999</v>
      </c>
      <c r="J330" s="3">
        <v>3.8954334592466999</v>
      </c>
      <c r="K330" s="3">
        <v>7.0000000000000007E-2</v>
      </c>
      <c r="L330" s="2">
        <f>Base[[#This Row],[Coût]]*Base[[#This Row],[Part_ménages_dépenses_santé]]</f>
        <v>0.27268034214726899</v>
      </c>
      <c r="M330" s="2">
        <v>0.82690611956969029</v>
      </c>
      <c r="N330" s="6">
        <v>27700000</v>
      </c>
      <c r="O330" s="7">
        <f>Base[[#This Row],[Coût_salarié]]*10^9*Base[[#This Row],[Risque]]*Base[[#This Row],[Prévalence]]*Base[[#This Row],[Part_coûts_salarié]]/Base[[#This Row],[Population_emploi]]</f>
        <v>5.8281040450233614E-2</v>
      </c>
      <c r="P330">
        <v>50</v>
      </c>
      <c r="Q330">
        <v>50</v>
      </c>
      <c r="R330" s="2">
        <v>9.9999999999999978E-2</v>
      </c>
      <c r="S330" s="2">
        <v>0.33340000000000003</v>
      </c>
      <c r="T330" s="4">
        <v>4.1000000000000002E-2</v>
      </c>
      <c r="U330" s="4">
        <f>IF(Bases_annexes!$F$5=0,16.6587111018772,0.77*Bases_annexes!$F$5/(IF(OR(ISBLANK('Données_d''entrée'!$E$44),'Données_d''entrée'!$E$44=0),35,'Données_d''entrée'!$E$44)*52))</f>
        <v>16.658711101877199</v>
      </c>
      <c r="V330" s="4">
        <v>6.5286422873795198</v>
      </c>
      <c r="W3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0" s="4">
        <v>234.5</v>
      </c>
      <c r="Y330" s="4">
        <f>(Base[[#This Row],['[Maladies']Coûts_évités_par_salarié]]+Base[[#This Row],['[Travail']Coûts_évités_par_salarié]])/Base[[#This Row],[Budget_santé_salarié]]</f>
        <v>1.2185928814859663E-2</v>
      </c>
      <c r="Z330" s="4">
        <v>0.8</v>
      </c>
      <c r="AA330" s="4">
        <f>Base[[#This Row],[Coût]]*Base[[#This Row],[Part_société_dépenses_santé]]</f>
        <v>3.1163467673973599</v>
      </c>
      <c r="AB330" s="4">
        <v>67635124</v>
      </c>
      <c r="AC330" s="4">
        <v>82.297079063317852</v>
      </c>
      <c r="AD330" s="4">
        <v>0.11599999999999999</v>
      </c>
      <c r="AE330" s="4">
        <f>Base[[#This Row],['[SC']Prévalence_travail]]*Base[[#This Row],[Population_emploi]]</f>
        <v>3213200</v>
      </c>
      <c r="AF330" s="4">
        <f>Base[[#This Row],[Risque]]*Base[[#This Row],['[SC']Patients_en_emploi]]</f>
        <v>561113.77530045819</v>
      </c>
      <c r="AG330" s="4">
        <v>552654220.25999999</v>
      </c>
      <c r="AH330" s="4">
        <f>IFERROR(Base[[#This Row],['[SC']Prestations]]/Base[[#This Row],['[SC']Patients_en_emploi]],0)</f>
        <v>171.99496460226564</v>
      </c>
      <c r="AI330" s="4">
        <v>51.7</v>
      </c>
      <c r="AJ3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0" s="4">
        <f>Base[[#This Row],['[SC']'[Travail']Coûts_évités]]/Base[[#This Row],[Population_emploi]]</f>
        <v>3.4840701776406475</v>
      </c>
      <c r="AL330" s="4">
        <f>Base[[#This Row],[Coût_société]]*10^9*Base[[#This Row],[Risque]]*Base[[#This Row],[Prévalence]]*Base[[#This Row],[Part_coûts_salarié]]/Base[[#This Row],[Population_emploi]]</f>
        <v>0.66606903371695558</v>
      </c>
      <c r="AM330" s="4">
        <f>IF(Base[[#This Row],[Pathologie]]&lt;&gt;"Dépendance",0,14909.24243952)</f>
        <v>0</v>
      </c>
      <c r="AN330" s="4">
        <f>IF(Base[[#This Row],[Pathologie]]&lt;&gt;"Dépendance",0,1316000)</f>
        <v>0</v>
      </c>
      <c r="AO330" s="4">
        <f>IF(Base[[#This Row],[Pathologie]]&lt;&gt;"Dépendance",0,Base[[#This Row],['[SC']Coût_personne_dépendante]]*Base[[#This Row],['[SC']Nb_personnes_dépendantes]])</f>
        <v>0</v>
      </c>
      <c r="AP330" s="4">
        <f>IF(Base[[#This Row],[Pathologie]]&lt;&gt;"Dépendance",0,Base[[#This Row],['[SC']Coût_total_dépendance]]/Base[[#This Row],[Population_totale]])</f>
        <v>0</v>
      </c>
      <c r="AQ330" s="4">
        <f>IF(Base[[#This Row],[Pathologie]]&lt;&gt;"Dépendance",0,4.5)</f>
        <v>0</v>
      </c>
      <c r="AR330" s="4">
        <v>0.83987615528424797</v>
      </c>
      <c r="AS330" s="4">
        <f>Base[[#This Row],[Espérance_vie]]+Base[[#This Row],['[SC']Hausse_esp_de_vie]]-Base[[#This Row],['[SC']Durée_moyenne_dépendance_avt]]+Base[[#This Row],[Risque]]</f>
        <v>83.311582934057242</v>
      </c>
      <c r="AT3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0" s="4">
        <v>62.9</v>
      </c>
      <c r="AW330" s="4">
        <f t="shared" si="4"/>
        <v>336905600000</v>
      </c>
      <c r="AX330" s="4">
        <v>15049171</v>
      </c>
      <c r="AY330" s="4">
        <f>Base[[#This Row],['[SC']Budget_total_retraites]]/Base[[#This Row],['[SC']Nombre_de_retraités]]</f>
        <v>22386.987296509556</v>
      </c>
      <c r="AZ330" s="4">
        <f>Base[[#This Row],['[SC']Budget_par_retraité]]*Base[[#This Row],['[SC']Nb_personnes_dépendantes]]</f>
        <v>0</v>
      </c>
      <c r="BA330" s="4">
        <f>Base[[#This Row],['[SC']'[Dépendance']Coût_retraite_personnes_dépendantes]]/Base[[#This Row],[Population_totale]]</f>
        <v>0</v>
      </c>
      <c r="BB33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0" s="4">
        <f>Base[[#This Row],['[SC']'[Dépendance']Gains]]-Base[[#This Row],['[SC']'[Dépendance']Coûts]]</f>
        <v>0</v>
      </c>
      <c r="BD330" s="4">
        <f>IF(Base[[#This Row],[Pathologie]]&lt;&gt;"Mort prématurée",0,Base[[#This Row],[Risque]]*Base[[#This Row],[Prévalence]]*Base[[#This Row],[Population_totale]])</f>
        <v>0</v>
      </c>
      <c r="BE330" s="4">
        <v>52.74</v>
      </c>
      <c r="BF330" s="4">
        <f>Base[[#This Row],['[SC']Âge_moyen_retraite]]-Base[[#This Row],['[SC']'[Mort_prématurée']Âge_moyen_mort précoce]]</f>
        <v>10.159999999999997</v>
      </c>
      <c r="BG330" s="4">
        <f>Base[[#This Row],[Espérance_vie]]+Base[[#This Row],['[SC']Hausse_esp_de_vie]]-Base[[#This Row],['[SC']Âge_moyen_retraite]]</f>
        <v>20.236955218602098</v>
      </c>
      <c r="BH330" s="4">
        <v>106583.42676924677</v>
      </c>
      <c r="BI330" s="4">
        <v>97601.789429271477</v>
      </c>
      <c r="BJ330" s="4">
        <v>302038.31496633729</v>
      </c>
      <c r="BK330" s="4">
        <v>117293.58934859755</v>
      </c>
      <c r="BL330" s="4">
        <v>1523999.9999999995</v>
      </c>
      <c r="BM3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0" s="4">
        <v>294804.96027377353</v>
      </c>
      <c r="BO3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0" s="4">
        <f>(Base[[#This Row],['[SC']'[Mort_prématurée']Gains]]-Base[[#This Row],['[SC']'[Mort_prématurée']Coûts]])/Base[[#This Row],[Population_totale]]</f>
        <v>0</v>
      </c>
      <c r="BQ330" s="4">
        <f>IF(Base[[#This Row],[Pathologie]]&lt;&gt;"Mort prématurée",0,Base[[#This Row],[Risque]])</f>
        <v>0</v>
      </c>
      <c r="BR330" s="4">
        <v>2680</v>
      </c>
      <c r="BS3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0" s="4">
        <f>Base[[#This Row],[Prévalence_prod]]*(1-Base[[#This Row],[Risque]])*Base[[#This Row],[Durée_arrêt]]*Base[[#This Row],[Population_emploi]]</f>
        <v>6119788.0459513394</v>
      </c>
      <c r="BV330" s="4">
        <f>Base[[#This Row],['[Prod']'[Absentéisme']Total_jours_absence_avant]]-Base[[#This Row],['[Prod']'[Absentéisme']Total_jours_absence_après]]</f>
        <v>1294790.9998255819</v>
      </c>
      <c r="BW330" s="4">
        <f>IF(AND(Base[[#This Row],[Pathologie]]&lt;&gt;"Dépendance",Base[[#This Row],[Pathologie]]&lt;&gt;"Mort prématurée",Base[[#This Row],[Pathologie]]&lt;&gt;"Migraine"),0.0619,0)</f>
        <v>6.1899999999999997E-2</v>
      </c>
      <c r="BX330" s="4">
        <v>254</v>
      </c>
      <c r="BY33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0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0" s="4">
        <f>Base[[#This Row],[Prévalence_prod]]*Base[[#This Row],[Présentéisme]]*Base[[#This Row],['[Prod']Jours_ouvrés]]</f>
        <v>1.7912080000000001</v>
      </c>
      <c r="CB330" s="4">
        <f>Base[[#This Row],[Prévalence_prod]]*(1-Base[[#This Row],[Risque]])*Base[[#This Row],[Présentéisme]]*Base[[#This Row],['[Prod']Jours_ouvrés]]</f>
        <v>1.4784134390550281</v>
      </c>
      <c r="CC330" s="4">
        <f>Base[[#This Row],['[Prod']'[Présentéisme']Jours_avant]]-Base[[#This Row],['[Prod']'[Présentéisme']Jours_après]]</f>
        <v>0.31279456094497204</v>
      </c>
      <c r="CD330" s="4">
        <f>Base[[#This Row],['[Prod']'[Présentéisme']Jours_gagnés]]/Base[[#This Row],['[Prod']Jours_ouvrés]]</f>
        <v>1.2314746493896538E-3</v>
      </c>
      <c r="CE330">
        <v>7.5880726467531134E-2</v>
      </c>
      <c r="CF330">
        <v>1.989821358241517E-2</v>
      </c>
      <c r="CG330" s="4">
        <v>11</v>
      </c>
      <c r="CH330" s="4">
        <v>1.6219398392978641</v>
      </c>
      <c r="CI330" s="4">
        <v>9.628527536862988E-2</v>
      </c>
      <c r="CJ330" s="4">
        <f>IF(Base[[#This Row],[Secteur]]&lt;&gt;"Moyenne",Base[[#This Row],['[Prod']'[Turnover']DMC_initiale]]*(1+Base[[#This Row],['[Prod']'[Turnover']Ecart_accidents]]*Base[[#This Row],['[Prod']Impact_motifs_turnover]]),CJ313*CI313+CJ314*CI314+CJ315*CI315+CJ316*CI316+CJ317*CI317+CJ318*CI318+CJ319*CI319+CJ320*CI320+CJ321*CI321+CJ322*CI322+CJ323*CI323+CJ324*CI324+CJ325*CI325+CJ326*CI326+CJ327*CI327+CJ328*CI328+CJ329*CI329)</f>
        <v>11.355010758741946</v>
      </c>
      <c r="CK330" s="4">
        <f>1/Base[[#This Row],['[Prod']'[Turnover']DMC_initiale]]</f>
        <v>9.0909090909090912E-2</v>
      </c>
      <c r="CL330" s="4">
        <f>1/Base[[#This Row],['[Prod']'[Turnover']DMC_finale]]</f>
        <v>8.8066847425056327E-2</v>
      </c>
    </row>
    <row r="331" spans="2:90" x14ac:dyDescent="0.25">
      <c r="B331" s="4" t="s">
        <v>323</v>
      </c>
      <c r="C331">
        <v>15</v>
      </c>
      <c r="D331" t="s">
        <v>83</v>
      </c>
      <c r="E331" t="s">
        <v>8</v>
      </c>
      <c r="F331" s="3">
        <v>0.17462771545514072</v>
      </c>
      <c r="G331" s="3">
        <v>4.1000000000000002E-2</v>
      </c>
      <c r="H331" s="3">
        <v>4.1000000000000002E-2</v>
      </c>
      <c r="I331" s="3">
        <v>0.17199999999999999</v>
      </c>
      <c r="J331" s="3">
        <v>3.8954334592466999</v>
      </c>
      <c r="K331" s="3">
        <v>7.0000000000000007E-2</v>
      </c>
      <c r="L331" s="2">
        <f>Base[[#This Row],[Coût]]*Base[[#This Row],[Part_ménages_dépenses_santé]]</f>
        <v>0.27268034214726899</v>
      </c>
      <c r="M331" s="2">
        <v>0.82690611956969029</v>
      </c>
      <c r="N331" s="6">
        <v>27700000</v>
      </c>
      <c r="O331" s="7">
        <f>Base[[#This Row],[Coût_salarié]]*10^9*Base[[#This Row],[Risque]]*Base[[#This Row],[Prévalence]]*Base[[#This Row],[Part_coûts_salarié]]/Base[[#This Row],[Population_emploi]]</f>
        <v>5.8281040450233614E-2</v>
      </c>
      <c r="P331">
        <v>50</v>
      </c>
      <c r="Q331">
        <v>50</v>
      </c>
      <c r="R331" s="2">
        <v>9.9999999999999978E-2</v>
      </c>
      <c r="S331" s="2">
        <v>0.33340000000000003</v>
      </c>
      <c r="T331" s="4">
        <v>4.1000000000000002E-2</v>
      </c>
      <c r="U331" s="4">
        <f>IF(Bases_annexes!$F$5=0,16.6587111018772,0.77*Bases_annexes!$F$5/(IF(OR(ISBLANK('Données_d''entrée'!$E$44),'Données_d''entrée'!$E$44=0),35,'Données_d''entrée'!$E$44)*52))</f>
        <v>16.658711101877199</v>
      </c>
      <c r="V331" s="4">
        <v>6.5286422873795198</v>
      </c>
      <c r="W3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1" s="4">
        <v>234.5</v>
      </c>
      <c r="Y331" s="4">
        <f>(Base[[#This Row],['[Maladies']Coûts_évités_par_salarié]]+Base[[#This Row],['[Travail']Coûts_évités_par_salarié]])/Base[[#This Row],[Budget_santé_salarié]]</f>
        <v>1.2185928814859663E-2</v>
      </c>
      <c r="Z331" s="4">
        <v>0.8</v>
      </c>
      <c r="AA331" s="4">
        <f>Base[[#This Row],[Coût]]*Base[[#This Row],[Part_société_dépenses_santé]]</f>
        <v>3.1163467673973599</v>
      </c>
      <c r="AB331" s="4">
        <v>67635124</v>
      </c>
      <c r="AC331" s="4">
        <v>82.297079063317852</v>
      </c>
      <c r="AD331" s="4">
        <v>0.11599999999999999</v>
      </c>
      <c r="AE331" s="4">
        <f>Base[[#This Row],['[SC']Prévalence_travail]]*Base[[#This Row],[Population_emploi]]</f>
        <v>3213200</v>
      </c>
      <c r="AF331" s="4">
        <f>Base[[#This Row],[Risque]]*Base[[#This Row],['[SC']Patients_en_emploi]]</f>
        <v>561113.77530045819</v>
      </c>
      <c r="AG331" s="4">
        <v>552654220.25999999</v>
      </c>
      <c r="AH331" s="4">
        <f>IFERROR(Base[[#This Row],['[SC']Prestations]]/Base[[#This Row],['[SC']Patients_en_emploi]],0)</f>
        <v>171.99496460226564</v>
      </c>
      <c r="AI331" s="4">
        <v>51.7</v>
      </c>
      <c r="AJ3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1" s="4">
        <f>Base[[#This Row],['[SC']'[Travail']Coûts_évités]]/Base[[#This Row],[Population_emploi]]</f>
        <v>3.4840701776406475</v>
      </c>
      <c r="AL331" s="4">
        <f>Base[[#This Row],[Coût_société]]*10^9*Base[[#This Row],[Risque]]*Base[[#This Row],[Prévalence]]*Base[[#This Row],[Part_coûts_salarié]]/Base[[#This Row],[Population_emploi]]</f>
        <v>0.66606903371695558</v>
      </c>
      <c r="AM331" s="4">
        <f>IF(Base[[#This Row],[Pathologie]]&lt;&gt;"Dépendance",0,14909.24243952)</f>
        <v>0</v>
      </c>
      <c r="AN331" s="4">
        <f>IF(Base[[#This Row],[Pathologie]]&lt;&gt;"Dépendance",0,1316000)</f>
        <v>0</v>
      </c>
      <c r="AO331" s="4">
        <f>IF(Base[[#This Row],[Pathologie]]&lt;&gt;"Dépendance",0,Base[[#This Row],['[SC']Coût_personne_dépendante]]*Base[[#This Row],['[SC']Nb_personnes_dépendantes]])</f>
        <v>0</v>
      </c>
      <c r="AP331" s="4">
        <f>IF(Base[[#This Row],[Pathologie]]&lt;&gt;"Dépendance",0,Base[[#This Row],['[SC']Coût_total_dépendance]]/Base[[#This Row],[Population_totale]])</f>
        <v>0</v>
      </c>
      <c r="AQ331" s="4">
        <f>IF(Base[[#This Row],[Pathologie]]&lt;&gt;"Dépendance",0,4.5)</f>
        <v>0</v>
      </c>
      <c r="AR331" s="4">
        <v>0.83987615528424797</v>
      </c>
      <c r="AS331" s="4">
        <f>Base[[#This Row],[Espérance_vie]]+Base[[#This Row],['[SC']Hausse_esp_de_vie]]-Base[[#This Row],['[SC']Durée_moyenne_dépendance_avt]]+Base[[#This Row],[Risque]]</f>
        <v>83.311582934057242</v>
      </c>
      <c r="AT3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1" s="4">
        <v>62.9</v>
      </c>
      <c r="AW331" s="4">
        <f t="shared" si="4"/>
        <v>336905600000</v>
      </c>
      <c r="AX331" s="4">
        <v>15049171</v>
      </c>
      <c r="AY331" s="4">
        <f>Base[[#This Row],['[SC']Budget_total_retraites]]/Base[[#This Row],['[SC']Nombre_de_retraités]]</f>
        <v>22386.987296509556</v>
      </c>
      <c r="AZ331" s="4">
        <f>Base[[#This Row],['[SC']Budget_par_retraité]]*Base[[#This Row],['[SC']Nb_personnes_dépendantes]]</f>
        <v>0</v>
      </c>
      <c r="BA331" s="4">
        <f>Base[[#This Row],['[SC']'[Dépendance']Coût_retraite_personnes_dépendantes]]/Base[[#This Row],[Population_totale]]</f>
        <v>0</v>
      </c>
      <c r="BB33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1" s="4">
        <f>Base[[#This Row],['[SC']'[Dépendance']Gains]]-Base[[#This Row],['[SC']'[Dépendance']Coûts]]</f>
        <v>0</v>
      </c>
      <c r="BD331" s="4">
        <f>IF(Base[[#This Row],[Pathologie]]&lt;&gt;"Mort prématurée",0,Base[[#This Row],[Risque]]*Base[[#This Row],[Prévalence]]*Base[[#This Row],[Population_totale]])</f>
        <v>0</v>
      </c>
      <c r="BE331" s="4">
        <v>52.74</v>
      </c>
      <c r="BF331" s="4">
        <f>Base[[#This Row],['[SC']Âge_moyen_retraite]]-Base[[#This Row],['[SC']'[Mort_prématurée']Âge_moyen_mort précoce]]</f>
        <v>10.159999999999997</v>
      </c>
      <c r="BG331" s="4">
        <f>Base[[#This Row],[Espérance_vie]]+Base[[#This Row],['[SC']Hausse_esp_de_vie]]-Base[[#This Row],['[SC']Âge_moyen_retraite]]</f>
        <v>20.236955218602098</v>
      </c>
      <c r="BH331" s="4">
        <v>106583.42676924677</v>
      </c>
      <c r="BI331" s="4">
        <v>97601.789429271477</v>
      </c>
      <c r="BJ331" s="4">
        <v>302038.31496633729</v>
      </c>
      <c r="BK331" s="4">
        <v>117293.58934859755</v>
      </c>
      <c r="BL331" s="4">
        <v>1523999.9999999995</v>
      </c>
      <c r="BM3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1" s="4">
        <v>294804.96027377353</v>
      </c>
      <c r="BO3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1" s="4">
        <f>(Base[[#This Row],['[SC']'[Mort_prématurée']Gains]]-Base[[#This Row],['[SC']'[Mort_prématurée']Coûts]])/Base[[#This Row],[Population_totale]]</f>
        <v>0</v>
      </c>
      <c r="BQ331" s="4">
        <f>IF(Base[[#This Row],[Pathologie]]&lt;&gt;"Mort prématurée",0,Base[[#This Row],[Risque]])</f>
        <v>0</v>
      </c>
      <c r="BR331" s="4">
        <v>2680</v>
      </c>
      <c r="BS3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1" s="4">
        <f>Base[[#This Row],[Prévalence_prod]]*(1-Base[[#This Row],[Risque]])*Base[[#This Row],[Durée_arrêt]]*Base[[#This Row],[Population_emploi]]</f>
        <v>6119788.0459513394</v>
      </c>
      <c r="BV331" s="4">
        <f>Base[[#This Row],['[Prod']'[Absentéisme']Total_jours_absence_avant]]-Base[[#This Row],['[Prod']'[Absentéisme']Total_jours_absence_après]]</f>
        <v>1294790.9998255819</v>
      </c>
      <c r="BW331" s="4">
        <f>IF(AND(Base[[#This Row],[Pathologie]]&lt;&gt;"Dépendance",Base[[#This Row],[Pathologie]]&lt;&gt;"Mort prématurée",Base[[#This Row],[Pathologie]]&lt;&gt;"Migraine"),0.0619,0)</f>
        <v>6.1899999999999997E-2</v>
      </c>
      <c r="BX331" s="4">
        <v>254</v>
      </c>
      <c r="BY331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1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1" s="4">
        <f>Base[[#This Row],[Prévalence_prod]]*Base[[#This Row],[Présentéisme]]*Base[[#This Row],['[Prod']Jours_ouvrés]]</f>
        <v>1.7912080000000001</v>
      </c>
      <c r="CB331" s="4">
        <f>Base[[#This Row],[Prévalence_prod]]*(1-Base[[#This Row],[Risque]])*Base[[#This Row],[Présentéisme]]*Base[[#This Row],['[Prod']Jours_ouvrés]]</f>
        <v>1.4784134390550281</v>
      </c>
      <c r="CC331" s="4">
        <f>Base[[#This Row],['[Prod']'[Présentéisme']Jours_avant]]-Base[[#This Row],['[Prod']'[Présentéisme']Jours_après]]</f>
        <v>0.31279456094497204</v>
      </c>
      <c r="CD331" s="4">
        <f>Base[[#This Row],['[Prod']'[Présentéisme']Jours_gagnés]]/Base[[#This Row],['[Prod']Jours_ouvrés]]</f>
        <v>1.2314746493896538E-3</v>
      </c>
      <c r="CE331">
        <v>7.5880726467531134E-2</v>
      </c>
      <c r="CF331">
        <v>1.989821358241517E-2</v>
      </c>
      <c r="CG331" s="4">
        <v>11</v>
      </c>
      <c r="CH331" s="4">
        <v>0.96913802401210614</v>
      </c>
      <c r="CI331" s="4">
        <v>0.10293966445307301</v>
      </c>
      <c r="CJ331" s="4">
        <f>IF(Base[[#This Row],[Secteur]]&lt;&gt;"Moyenne",Base[[#This Row],['[Prod']'[Turnover']DMC_initiale]]*(1+Base[[#This Row],['[Prod']'[Turnover']Ecart_accidents]]*Base[[#This Row],['[Prod']Impact_motifs_turnover]]),CJ314*CI314+CJ315*CI315+CJ316*CI316+CJ317*CI317+CJ318*CI318+CJ319*CI319+CJ320*CI320+CJ321*CI321+CJ322*CI322+CJ323*CI323+CJ324*CI324+CJ325*CI325+CJ326*CI326+CJ327*CI327+CJ328*CI328+CJ329*CI329+CJ330*CI330)</f>
        <v>11.212125269318959</v>
      </c>
      <c r="CK331" s="4">
        <f>1/Base[[#This Row],['[Prod']'[Turnover']DMC_initiale]]</f>
        <v>9.0909090909090912E-2</v>
      </c>
      <c r="CL331" s="4">
        <f>1/Base[[#This Row],['[Prod']'[Turnover']DMC_finale]]</f>
        <v>8.9189156915363429E-2</v>
      </c>
    </row>
    <row r="332" spans="2:90" x14ac:dyDescent="0.25">
      <c r="B332" s="4" t="s">
        <v>324</v>
      </c>
      <c r="C332">
        <v>15</v>
      </c>
      <c r="D332" t="s">
        <v>83</v>
      </c>
      <c r="E332" t="s">
        <v>8</v>
      </c>
      <c r="F332" s="3">
        <v>0.17462771545514072</v>
      </c>
      <c r="G332" s="3">
        <v>4.1000000000000002E-2</v>
      </c>
      <c r="H332" s="3">
        <v>4.1000000000000002E-2</v>
      </c>
      <c r="I332" s="3">
        <v>0.17199999999999999</v>
      </c>
      <c r="J332" s="3">
        <v>3.8954334592466999</v>
      </c>
      <c r="K332" s="3">
        <v>7.0000000000000007E-2</v>
      </c>
      <c r="L332" s="2">
        <f>Base[[#This Row],[Coût]]*Base[[#This Row],[Part_ménages_dépenses_santé]]</f>
        <v>0.27268034214726899</v>
      </c>
      <c r="M332" s="2">
        <v>0.82690611956969029</v>
      </c>
      <c r="N332" s="6">
        <v>27700000</v>
      </c>
      <c r="O332" s="7">
        <f>Base[[#This Row],[Coût_salarié]]*10^9*Base[[#This Row],[Risque]]*Base[[#This Row],[Prévalence]]*Base[[#This Row],[Part_coûts_salarié]]/Base[[#This Row],[Population_emploi]]</f>
        <v>5.8281040450233614E-2</v>
      </c>
      <c r="P332">
        <v>50</v>
      </c>
      <c r="Q332">
        <v>50</v>
      </c>
      <c r="R332" s="2">
        <v>9.9999999999999978E-2</v>
      </c>
      <c r="S332" s="2">
        <v>0.33340000000000003</v>
      </c>
      <c r="T332" s="4">
        <v>4.1000000000000002E-2</v>
      </c>
      <c r="U332" s="4">
        <f>IF(Bases_annexes!$F$5=0,16.6587111018772,0.77*Bases_annexes!$F$5/(IF(OR(ISBLANK('Données_d''entrée'!$E$44),'Données_d''entrée'!$E$44=0),35,'Données_d''entrée'!$E$44)*52))</f>
        <v>16.658711101877199</v>
      </c>
      <c r="V332" s="4">
        <v>6.5286422873795198</v>
      </c>
      <c r="W3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2" s="4">
        <v>234.5</v>
      </c>
      <c r="Y332" s="4">
        <f>(Base[[#This Row],['[Maladies']Coûts_évités_par_salarié]]+Base[[#This Row],['[Travail']Coûts_évités_par_salarié]])/Base[[#This Row],[Budget_santé_salarié]]</f>
        <v>1.2185928814859663E-2</v>
      </c>
      <c r="Z332" s="4">
        <v>0.8</v>
      </c>
      <c r="AA332" s="4">
        <f>Base[[#This Row],[Coût]]*Base[[#This Row],[Part_société_dépenses_santé]]</f>
        <v>3.1163467673973599</v>
      </c>
      <c r="AB332" s="4">
        <v>67635124</v>
      </c>
      <c r="AC332" s="4">
        <v>82.297079063317852</v>
      </c>
      <c r="AD332" s="4">
        <v>0.11599999999999999</v>
      </c>
      <c r="AE332" s="4">
        <f>Base[[#This Row],['[SC']Prévalence_travail]]*Base[[#This Row],[Population_emploi]]</f>
        <v>3213200</v>
      </c>
      <c r="AF332" s="4">
        <f>Base[[#This Row],[Risque]]*Base[[#This Row],['[SC']Patients_en_emploi]]</f>
        <v>561113.77530045819</v>
      </c>
      <c r="AG332" s="4">
        <v>552654220.25999999</v>
      </c>
      <c r="AH332" s="4">
        <f>IFERROR(Base[[#This Row],['[SC']Prestations]]/Base[[#This Row],['[SC']Patients_en_emploi]],0)</f>
        <v>171.99496460226564</v>
      </c>
      <c r="AI332" s="4">
        <v>51.7</v>
      </c>
      <c r="AJ3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2" s="4">
        <f>Base[[#This Row],['[SC']'[Travail']Coûts_évités]]/Base[[#This Row],[Population_emploi]]</f>
        <v>3.4840701776406475</v>
      </c>
      <c r="AL332" s="4">
        <f>Base[[#This Row],[Coût_société]]*10^9*Base[[#This Row],[Risque]]*Base[[#This Row],[Prévalence]]*Base[[#This Row],[Part_coûts_salarié]]/Base[[#This Row],[Population_emploi]]</f>
        <v>0.66606903371695558</v>
      </c>
      <c r="AM332" s="4">
        <f>IF(Base[[#This Row],[Pathologie]]&lt;&gt;"Dépendance",0,14909.24243952)</f>
        <v>0</v>
      </c>
      <c r="AN332" s="4">
        <f>IF(Base[[#This Row],[Pathologie]]&lt;&gt;"Dépendance",0,1316000)</f>
        <v>0</v>
      </c>
      <c r="AO332" s="4">
        <f>IF(Base[[#This Row],[Pathologie]]&lt;&gt;"Dépendance",0,Base[[#This Row],['[SC']Coût_personne_dépendante]]*Base[[#This Row],['[SC']Nb_personnes_dépendantes]])</f>
        <v>0</v>
      </c>
      <c r="AP332" s="4">
        <f>IF(Base[[#This Row],[Pathologie]]&lt;&gt;"Dépendance",0,Base[[#This Row],['[SC']Coût_total_dépendance]]/Base[[#This Row],[Population_totale]])</f>
        <v>0</v>
      </c>
      <c r="AQ332" s="4">
        <f>IF(Base[[#This Row],[Pathologie]]&lt;&gt;"Dépendance",0,4.5)</f>
        <v>0</v>
      </c>
      <c r="AR332" s="4">
        <v>0.83987615528424797</v>
      </c>
      <c r="AS332" s="4">
        <f>Base[[#This Row],[Espérance_vie]]+Base[[#This Row],['[SC']Hausse_esp_de_vie]]-Base[[#This Row],['[SC']Durée_moyenne_dépendance_avt]]+Base[[#This Row],[Risque]]</f>
        <v>83.311582934057242</v>
      </c>
      <c r="AT3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2" s="4">
        <v>62.9</v>
      </c>
      <c r="AW332" s="4">
        <f t="shared" si="4"/>
        <v>336905600000</v>
      </c>
      <c r="AX332" s="4">
        <v>15049171</v>
      </c>
      <c r="AY332" s="4">
        <f>Base[[#This Row],['[SC']Budget_total_retraites]]/Base[[#This Row],['[SC']Nombre_de_retraités]]</f>
        <v>22386.987296509556</v>
      </c>
      <c r="AZ332" s="4">
        <f>Base[[#This Row],['[SC']Budget_par_retraité]]*Base[[#This Row],['[SC']Nb_personnes_dépendantes]]</f>
        <v>0</v>
      </c>
      <c r="BA332" s="4">
        <f>Base[[#This Row],['[SC']'[Dépendance']Coût_retraite_personnes_dépendantes]]/Base[[#This Row],[Population_totale]]</f>
        <v>0</v>
      </c>
      <c r="BB33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2" s="4">
        <f>Base[[#This Row],['[SC']'[Dépendance']Gains]]-Base[[#This Row],['[SC']'[Dépendance']Coûts]]</f>
        <v>0</v>
      </c>
      <c r="BD332" s="4">
        <f>IF(Base[[#This Row],[Pathologie]]&lt;&gt;"Mort prématurée",0,Base[[#This Row],[Risque]]*Base[[#This Row],[Prévalence]]*Base[[#This Row],[Population_totale]])</f>
        <v>0</v>
      </c>
      <c r="BE332" s="4">
        <v>52.74</v>
      </c>
      <c r="BF332" s="4">
        <f>Base[[#This Row],['[SC']Âge_moyen_retraite]]-Base[[#This Row],['[SC']'[Mort_prématurée']Âge_moyen_mort précoce]]</f>
        <v>10.159999999999997</v>
      </c>
      <c r="BG332" s="4">
        <f>Base[[#This Row],[Espérance_vie]]+Base[[#This Row],['[SC']Hausse_esp_de_vie]]-Base[[#This Row],['[SC']Âge_moyen_retraite]]</f>
        <v>20.236955218602098</v>
      </c>
      <c r="BH332" s="4">
        <v>106583.42676924677</v>
      </c>
      <c r="BI332" s="4">
        <v>97601.789429271477</v>
      </c>
      <c r="BJ332" s="4">
        <v>302038.31496633729</v>
      </c>
      <c r="BK332" s="4">
        <v>117293.58934859755</v>
      </c>
      <c r="BL332" s="4">
        <v>1523999.9999999995</v>
      </c>
      <c r="BM3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2" s="4">
        <v>294804.96027377353</v>
      </c>
      <c r="BO3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2" s="4">
        <f>(Base[[#This Row],['[SC']'[Mort_prématurée']Gains]]-Base[[#This Row],['[SC']'[Mort_prématurée']Coûts]])/Base[[#This Row],[Population_totale]]</f>
        <v>0</v>
      </c>
      <c r="BQ332" s="4">
        <f>IF(Base[[#This Row],[Pathologie]]&lt;&gt;"Mort prématurée",0,Base[[#This Row],[Risque]])</f>
        <v>0</v>
      </c>
      <c r="BR332" s="4">
        <v>2680</v>
      </c>
      <c r="BS3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2" s="4">
        <f>Base[[#This Row],[Prévalence_prod]]*(1-Base[[#This Row],[Risque]])*Base[[#This Row],[Durée_arrêt]]*Base[[#This Row],[Population_emploi]]</f>
        <v>6119788.0459513394</v>
      </c>
      <c r="BV332" s="4">
        <f>Base[[#This Row],['[Prod']'[Absentéisme']Total_jours_absence_avant]]-Base[[#This Row],['[Prod']'[Absentéisme']Total_jours_absence_après]]</f>
        <v>1294790.9998255819</v>
      </c>
      <c r="BW332" s="4">
        <f>IF(AND(Base[[#This Row],[Pathologie]]&lt;&gt;"Dépendance",Base[[#This Row],[Pathologie]]&lt;&gt;"Mort prématurée",Base[[#This Row],[Pathologie]]&lt;&gt;"Migraine"),0.0619,0)</f>
        <v>6.1899999999999997E-2</v>
      </c>
      <c r="BX332" s="4">
        <v>254</v>
      </c>
      <c r="BY332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2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2" s="4">
        <f>Base[[#This Row],[Prévalence_prod]]*Base[[#This Row],[Présentéisme]]*Base[[#This Row],['[Prod']Jours_ouvrés]]</f>
        <v>1.7912080000000001</v>
      </c>
      <c r="CB332" s="4">
        <f>Base[[#This Row],[Prévalence_prod]]*(1-Base[[#This Row],[Risque]])*Base[[#This Row],[Présentéisme]]*Base[[#This Row],['[Prod']Jours_ouvrés]]</f>
        <v>1.4784134390550281</v>
      </c>
      <c r="CC332" s="4">
        <f>Base[[#This Row],['[Prod']'[Présentéisme']Jours_avant]]-Base[[#This Row],['[Prod']'[Présentéisme']Jours_après]]</f>
        <v>0.31279456094497204</v>
      </c>
      <c r="CD332" s="4">
        <f>Base[[#This Row],['[Prod']'[Présentéisme']Jours_gagnés]]/Base[[#This Row],['[Prod']Jours_ouvrés]]</f>
        <v>1.2314746493896538E-3</v>
      </c>
      <c r="CE332">
        <v>7.5880726467531134E-2</v>
      </c>
      <c r="CF332">
        <v>1.989821358241517E-2</v>
      </c>
      <c r="CG332" s="4">
        <v>11</v>
      </c>
      <c r="CH332" s="4">
        <v>1.3987208237662601</v>
      </c>
      <c r="CI332" s="4">
        <v>2.1768516166491274E-2</v>
      </c>
      <c r="CJ332" s="4">
        <f>IF(Base[[#This Row],[Secteur]]&lt;&gt;"Moyenne",Base[[#This Row],['[Prod']'[Turnover']DMC_initiale]]*(1+Base[[#This Row],['[Prod']'[Turnover']Ecart_accidents]]*Base[[#This Row],['[Prod']Impact_motifs_turnover]]),CJ315*CI315+CJ316*CI316+CJ317*CI317+CJ318*CI318+CJ319*CI319+CJ320*CI320+CJ321*CI321+CJ322*CI322+CJ323*CI323+CJ324*CI324+CJ325*CI325+CJ326*CI326+CJ327*CI327+CJ328*CI328+CJ329*CI329+CJ330*CI330+CJ331*CI331)</f>
        <v>11.306152502628199</v>
      </c>
      <c r="CK332" s="4">
        <f>1/Base[[#This Row],['[Prod']'[Turnover']DMC_initiale]]</f>
        <v>9.0909090909090912E-2</v>
      </c>
      <c r="CL332" s="4">
        <f>1/Base[[#This Row],['[Prod']'[Turnover']DMC_finale]]</f>
        <v>8.8447418320913546E-2</v>
      </c>
    </row>
    <row r="333" spans="2:90" x14ac:dyDescent="0.25">
      <c r="B333" s="4" t="s">
        <v>325</v>
      </c>
      <c r="C333">
        <v>15</v>
      </c>
      <c r="D333" t="s">
        <v>83</v>
      </c>
      <c r="E333" t="s">
        <v>8</v>
      </c>
      <c r="F333" s="3">
        <v>0.17462771545514072</v>
      </c>
      <c r="G333" s="3">
        <v>4.1000000000000002E-2</v>
      </c>
      <c r="H333" s="3">
        <v>4.1000000000000002E-2</v>
      </c>
      <c r="I333" s="3">
        <v>0.17199999999999999</v>
      </c>
      <c r="J333" s="3">
        <v>3.8954334592466999</v>
      </c>
      <c r="K333" s="3">
        <v>7.0000000000000007E-2</v>
      </c>
      <c r="L333" s="2">
        <f>Base[[#This Row],[Coût]]*Base[[#This Row],[Part_ménages_dépenses_santé]]</f>
        <v>0.27268034214726899</v>
      </c>
      <c r="M333" s="2">
        <v>0.82690611956969029</v>
      </c>
      <c r="N333" s="6">
        <v>27700000</v>
      </c>
      <c r="O333" s="7">
        <f>Base[[#This Row],[Coût_salarié]]*10^9*Base[[#This Row],[Risque]]*Base[[#This Row],[Prévalence]]*Base[[#This Row],[Part_coûts_salarié]]/Base[[#This Row],[Population_emploi]]</f>
        <v>5.8281040450233614E-2</v>
      </c>
      <c r="P333">
        <v>50</v>
      </c>
      <c r="Q333">
        <v>50</v>
      </c>
      <c r="R333" s="2">
        <v>9.9999999999999978E-2</v>
      </c>
      <c r="S333" s="2">
        <v>0.33340000000000003</v>
      </c>
      <c r="T333" s="4">
        <v>4.1000000000000002E-2</v>
      </c>
      <c r="U333" s="4">
        <f>IF(Bases_annexes!$F$5=0,16.6587111018772,0.77*Bases_annexes!$F$5/(IF(OR(ISBLANK('Données_d''entrée'!$E$44),'Données_d''entrée'!$E$44=0),35,'Données_d''entrée'!$E$44)*52))</f>
        <v>16.658711101877199</v>
      </c>
      <c r="V333" s="4">
        <v>6.5286422873795198</v>
      </c>
      <c r="W3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3" s="4">
        <v>234.5</v>
      </c>
      <c r="Y333" s="4">
        <f>(Base[[#This Row],['[Maladies']Coûts_évités_par_salarié]]+Base[[#This Row],['[Travail']Coûts_évités_par_salarié]])/Base[[#This Row],[Budget_santé_salarié]]</f>
        <v>1.2185928814859663E-2</v>
      </c>
      <c r="Z333" s="4">
        <v>0.8</v>
      </c>
      <c r="AA333" s="4">
        <f>Base[[#This Row],[Coût]]*Base[[#This Row],[Part_société_dépenses_santé]]</f>
        <v>3.1163467673973599</v>
      </c>
      <c r="AB333" s="4">
        <v>67635124</v>
      </c>
      <c r="AC333" s="4">
        <v>82.297079063317852</v>
      </c>
      <c r="AD333" s="4">
        <v>0.11599999999999999</v>
      </c>
      <c r="AE333" s="4">
        <f>Base[[#This Row],['[SC']Prévalence_travail]]*Base[[#This Row],[Population_emploi]]</f>
        <v>3213200</v>
      </c>
      <c r="AF333" s="4">
        <f>Base[[#This Row],[Risque]]*Base[[#This Row],['[SC']Patients_en_emploi]]</f>
        <v>561113.77530045819</v>
      </c>
      <c r="AG333" s="4">
        <v>552654220.25999999</v>
      </c>
      <c r="AH333" s="4">
        <f>IFERROR(Base[[#This Row],['[SC']Prestations]]/Base[[#This Row],['[SC']Patients_en_emploi]],0)</f>
        <v>171.99496460226564</v>
      </c>
      <c r="AI333" s="4">
        <v>51.7</v>
      </c>
      <c r="AJ3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3" s="4">
        <f>Base[[#This Row],['[SC']'[Travail']Coûts_évités]]/Base[[#This Row],[Population_emploi]]</f>
        <v>3.4840701776406475</v>
      </c>
      <c r="AL333" s="4">
        <f>Base[[#This Row],[Coût_société]]*10^9*Base[[#This Row],[Risque]]*Base[[#This Row],[Prévalence]]*Base[[#This Row],[Part_coûts_salarié]]/Base[[#This Row],[Population_emploi]]</f>
        <v>0.66606903371695558</v>
      </c>
      <c r="AM333" s="4">
        <f>IF(Base[[#This Row],[Pathologie]]&lt;&gt;"Dépendance",0,14909.24243952)</f>
        <v>0</v>
      </c>
      <c r="AN333" s="4">
        <f>IF(Base[[#This Row],[Pathologie]]&lt;&gt;"Dépendance",0,1316000)</f>
        <v>0</v>
      </c>
      <c r="AO333" s="4">
        <f>IF(Base[[#This Row],[Pathologie]]&lt;&gt;"Dépendance",0,Base[[#This Row],['[SC']Coût_personne_dépendante]]*Base[[#This Row],['[SC']Nb_personnes_dépendantes]])</f>
        <v>0</v>
      </c>
      <c r="AP333" s="4">
        <f>IF(Base[[#This Row],[Pathologie]]&lt;&gt;"Dépendance",0,Base[[#This Row],['[SC']Coût_total_dépendance]]/Base[[#This Row],[Population_totale]])</f>
        <v>0</v>
      </c>
      <c r="AQ333" s="4">
        <f>IF(Base[[#This Row],[Pathologie]]&lt;&gt;"Dépendance",0,4.5)</f>
        <v>0</v>
      </c>
      <c r="AR333" s="4">
        <v>0.83987615528424797</v>
      </c>
      <c r="AS333" s="4">
        <f>Base[[#This Row],[Espérance_vie]]+Base[[#This Row],['[SC']Hausse_esp_de_vie]]-Base[[#This Row],['[SC']Durée_moyenne_dépendance_avt]]+Base[[#This Row],[Risque]]</f>
        <v>83.311582934057242</v>
      </c>
      <c r="AT3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3" s="4">
        <v>62.9</v>
      </c>
      <c r="AW333" s="4">
        <f t="shared" si="4"/>
        <v>336905600000</v>
      </c>
      <c r="AX333" s="4">
        <v>15049171</v>
      </c>
      <c r="AY333" s="4">
        <f>Base[[#This Row],['[SC']Budget_total_retraites]]/Base[[#This Row],['[SC']Nombre_de_retraités]]</f>
        <v>22386.987296509556</v>
      </c>
      <c r="AZ333" s="4">
        <f>Base[[#This Row],['[SC']Budget_par_retraité]]*Base[[#This Row],['[SC']Nb_personnes_dépendantes]]</f>
        <v>0</v>
      </c>
      <c r="BA333" s="4">
        <f>Base[[#This Row],['[SC']'[Dépendance']Coût_retraite_personnes_dépendantes]]/Base[[#This Row],[Population_totale]]</f>
        <v>0</v>
      </c>
      <c r="BB33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3" s="4">
        <f>Base[[#This Row],['[SC']'[Dépendance']Gains]]-Base[[#This Row],['[SC']'[Dépendance']Coûts]]</f>
        <v>0</v>
      </c>
      <c r="BD333" s="4">
        <f>IF(Base[[#This Row],[Pathologie]]&lt;&gt;"Mort prématurée",0,Base[[#This Row],[Risque]]*Base[[#This Row],[Prévalence]]*Base[[#This Row],[Population_totale]])</f>
        <v>0</v>
      </c>
      <c r="BE333" s="4">
        <v>52.74</v>
      </c>
      <c r="BF333" s="4">
        <f>Base[[#This Row],['[SC']Âge_moyen_retraite]]-Base[[#This Row],['[SC']'[Mort_prématurée']Âge_moyen_mort précoce]]</f>
        <v>10.159999999999997</v>
      </c>
      <c r="BG333" s="4">
        <f>Base[[#This Row],[Espérance_vie]]+Base[[#This Row],['[SC']Hausse_esp_de_vie]]-Base[[#This Row],['[SC']Âge_moyen_retraite]]</f>
        <v>20.236955218602098</v>
      </c>
      <c r="BH333" s="4">
        <v>106583.42676924677</v>
      </c>
      <c r="BI333" s="4">
        <v>97601.789429271477</v>
      </c>
      <c r="BJ333" s="4">
        <v>302038.31496633729</v>
      </c>
      <c r="BK333" s="4">
        <v>117293.58934859755</v>
      </c>
      <c r="BL333" s="4">
        <v>1523999.9999999995</v>
      </c>
      <c r="BM3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3" s="4">
        <v>294804.96027377353</v>
      </c>
      <c r="BO3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3" s="4">
        <f>(Base[[#This Row],['[SC']'[Mort_prématurée']Gains]]-Base[[#This Row],['[SC']'[Mort_prématurée']Coûts]])/Base[[#This Row],[Population_totale]]</f>
        <v>0</v>
      </c>
      <c r="BQ333" s="4">
        <f>IF(Base[[#This Row],[Pathologie]]&lt;&gt;"Mort prématurée",0,Base[[#This Row],[Risque]])</f>
        <v>0</v>
      </c>
      <c r="BR333" s="4">
        <v>2680</v>
      </c>
      <c r="BS3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3" s="4">
        <f>Base[[#This Row],[Prévalence_prod]]*(1-Base[[#This Row],[Risque]])*Base[[#This Row],[Durée_arrêt]]*Base[[#This Row],[Population_emploi]]</f>
        <v>6119788.0459513394</v>
      </c>
      <c r="BV333" s="4">
        <f>Base[[#This Row],['[Prod']'[Absentéisme']Total_jours_absence_avant]]-Base[[#This Row],['[Prod']'[Absentéisme']Total_jours_absence_après]]</f>
        <v>1294790.9998255819</v>
      </c>
      <c r="BW333" s="4">
        <f>IF(AND(Base[[#This Row],[Pathologie]]&lt;&gt;"Dépendance",Base[[#This Row],[Pathologie]]&lt;&gt;"Mort prématurée",Base[[#This Row],[Pathologie]]&lt;&gt;"Migraine"),0.0619,0)</f>
        <v>6.1899999999999997E-2</v>
      </c>
      <c r="BX333" s="4">
        <v>254</v>
      </c>
      <c r="BY33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3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3" s="4">
        <f>Base[[#This Row],[Prévalence_prod]]*Base[[#This Row],[Présentéisme]]*Base[[#This Row],['[Prod']Jours_ouvrés]]</f>
        <v>1.7912080000000001</v>
      </c>
      <c r="CB333" s="4">
        <f>Base[[#This Row],[Prévalence_prod]]*(1-Base[[#This Row],[Risque]])*Base[[#This Row],[Présentéisme]]*Base[[#This Row],['[Prod']Jours_ouvrés]]</f>
        <v>1.4784134390550281</v>
      </c>
      <c r="CC333" s="4">
        <f>Base[[#This Row],['[Prod']'[Présentéisme']Jours_avant]]-Base[[#This Row],['[Prod']'[Présentéisme']Jours_après]]</f>
        <v>0.31279456094497204</v>
      </c>
      <c r="CD333" s="4">
        <f>Base[[#This Row],['[Prod']'[Présentéisme']Jours_gagnés]]/Base[[#This Row],['[Prod']Jours_ouvrés]]</f>
        <v>1.2314746493896538E-3</v>
      </c>
      <c r="CE333">
        <v>7.5880726467531134E-2</v>
      </c>
      <c r="CF333">
        <v>1.989821358241517E-2</v>
      </c>
      <c r="CG333" s="4">
        <v>11</v>
      </c>
      <c r="CH333" s="4">
        <v>1.1624525375985588</v>
      </c>
      <c r="CI333" s="4">
        <v>3.7953151649308701E-2</v>
      </c>
      <c r="CJ333" s="4">
        <f>IF(Base[[#This Row],[Secteur]]&lt;&gt;"Moyenne",Base[[#This Row],['[Prod']'[Turnover']DMC_initiale]]*(1+Base[[#This Row],['[Prod']'[Turnover']Ecart_accidents]]*Base[[#This Row],['[Prod']Impact_motifs_turnover]]),CJ316*CI316+CJ317*CI317+CJ318*CI318+CJ319*CI319+CJ320*CI320+CJ321*CI321+CJ322*CI322+CJ323*CI323+CJ324*CI324+CJ325*CI325+CJ326*CI326+CJ327*CI327+CJ328*CI328+CJ329*CI329+CJ330*CI330+CJ331*CI331+CJ332*CI332)</f>
        <v>11.254438017598122</v>
      </c>
      <c r="CK333" s="4">
        <f>1/Base[[#This Row],['[Prod']'[Turnover']DMC_initiale]]</f>
        <v>9.0909090909090912E-2</v>
      </c>
      <c r="CL333" s="4">
        <f>1/Base[[#This Row],['[Prod']'[Turnover']DMC_finale]]</f>
        <v>8.885383689850522E-2</v>
      </c>
    </row>
    <row r="334" spans="2:90" x14ac:dyDescent="0.25">
      <c r="B334" s="4" t="s">
        <v>326</v>
      </c>
      <c r="C334">
        <v>15</v>
      </c>
      <c r="D334" t="s">
        <v>83</v>
      </c>
      <c r="E334" t="s">
        <v>8</v>
      </c>
      <c r="F334" s="3">
        <v>0.17462771545514072</v>
      </c>
      <c r="G334" s="3">
        <v>4.1000000000000002E-2</v>
      </c>
      <c r="H334" s="3">
        <v>4.1000000000000002E-2</v>
      </c>
      <c r="I334" s="3">
        <v>0.17199999999999999</v>
      </c>
      <c r="J334" s="3">
        <v>3.8954334592466999</v>
      </c>
      <c r="K334" s="3">
        <v>7.0000000000000007E-2</v>
      </c>
      <c r="L334" s="2">
        <f>Base[[#This Row],[Coût]]*Base[[#This Row],[Part_ménages_dépenses_santé]]</f>
        <v>0.27268034214726899</v>
      </c>
      <c r="M334" s="2">
        <v>0.82690611956969029</v>
      </c>
      <c r="N334" s="6">
        <v>27700000</v>
      </c>
      <c r="O334" s="7">
        <f>Base[[#This Row],[Coût_salarié]]*10^9*Base[[#This Row],[Risque]]*Base[[#This Row],[Prévalence]]*Base[[#This Row],[Part_coûts_salarié]]/Base[[#This Row],[Population_emploi]]</f>
        <v>5.8281040450233614E-2</v>
      </c>
      <c r="P334">
        <v>50</v>
      </c>
      <c r="Q334">
        <v>50</v>
      </c>
      <c r="R334" s="2">
        <v>9.9999999999999978E-2</v>
      </c>
      <c r="S334" s="2">
        <v>0.33340000000000003</v>
      </c>
      <c r="T334" s="4">
        <v>4.1000000000000002E-2</v>
      </c>
      <c r="U334" s="4">
        <f>IF(Bases_annexes!$F$5=0,16.6587111018772,0.77*Bases_annexes!$F$5/(IF(OR(ISBLANK('Données_d''entrée'!$E$44),'Données_d''entrée'!$E$44=0),35,'Données_d''entrée'!$E$44)*52))</f>
        <v>16.658711101877199</v>
      </c>
      <c r="V334" s="4">
        <v>6.5286422873795198</v>
      </c>
      <c r="W3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4" s="4">
        <v>234.5</v>
      </c>
      <c r="Y334" s="4">
        <f>(Base[[#This Row],['[Maladies']Coûts_évités_par_salarié]]+Base[[#This Row],['[Travail']Coûts_évités_par_salarié]])/Base[[#This Row],[Budget_santé_salarié]]</f>
        <v>1.2185928814859663E-2</v>
      </c>
      <c r="Z334" s="4">
        <v>0.8</v>
      </c>
      <c r="AA334" s="4">
        <f>Base[[#This Row],[Coût]]*Base[[#This Row],[Part_société_dépenses_santé]]</f>
        <v>3.1163467673973599</v>
      </c>
      <c r="AB334" s="4">
        <v>67635124</v>
      </c>
      <c r="AC334" s="4">
        <v>82.297079063317852</v>
      </c>
      <c r="AD334" s="4">
        <v>0.11599999999999999</v>
      </c>
      <c r="AE334" s="4">
        <f>Base[[#This Row],['[SC']Prévalence_travail]]*Base[[#This Row],[Population_emploi]]</f>
        <v>3213200</v>
      </c>
      <c r="AF334" s="4">
        <f>Base[[#This Row],[Risque]]*Base[[#This Row],['[SC']Patients_en_emploi]]</f>
        <v>561113.77530045819</v>
      </c>
      <c r="AG334" s="4">
        <v>552654220.25999999</v>
      </c>
      <c r="AH334" s="4">
        <f>IFERROR(Base[[#This Row],['[SC']Prestations]]/Base[[#This Row],['[SC']Patients_en_emploi]],0)</f>
        <v>171.99496460226564</v>
      </c>
      <c r="AI334" s="4">
        <v>51.7</v>
      </c>
      <c r="AJ3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4" s="4">
        <f>Base[[#This Row],['[SC']'[Travail']Coûts_évités]]/Base[[#This Row],[Population_emploi]]</f>
        <v>3.4840701776406475</v>
      </c>
      <c r="AL334" s="4">
        <f>Base[[#This Row],[Coût_société]]*10^9*Base[[#This Row],[Risque]]*Base[[#This Row],[Prévalence]]*Base[[#This Row],[Part_coûts_salarié]]/Base[[#This Row],[Population_emploi]]</f>
        <v>0.66606903371695558</v>
      </c>
      <c r="AM334" s="4">
        <f>IF(Base[[#This Row],[Pathologie]]&lt;&gt;"Dépendance",0,14909.24243952)</f>
        <v>0</v>
      </c>
      <c r="AN334" s="4">
        <f>IF(Base[[#This Row],[Pathologie]]&lt;&gt;"Dépendance",0,1316000)</f>
        <v>0</v>
      </c>
      <c r="AO334" s="4">
        <f>IF(Base[[#This Row],[Pathologie]]&lt;&gt;"Dépendance",0,Base[[#This Row],['[SC']Coût_personne_dépendante]]*Base[[#This Row],['[SC']Nb_personnes_dépendantes]])</f>
        <v>0</v>
      </c>
      <c r="AP334" s="4">
        <f>IF(Base[[#This Row],[Pathologie]]&lt;&gt;"Dépendance",0,Base[[#This Row],['[SC']Coût_total_dépendance]]/Base[[#This Row],[Population_totale]])</f>
        <v>0</v>
      </c>
      <c r="AQ334" s="4">
        <f>IF(Base[[#This Row],[Pathologie]]&lt;&gt;"Dépendance",0,4.5)</f>
        <v>0</v>
      </c>
      <c r="AR334" s="4">
        <v>0.83987615528424797</v>
      </c>
      <c r="AS334" s="4">
        <f>Base[[#This Row],[Espérance_vie]]+Base[[#This Row],['[SC']Hausse_esp_de_vie]]-Base[[#This Row],['[SC']Durée_moyenne_dépendance_avt]]+Base[[#This Row],[Risque]]</f>
        <v>83.311582934057242</v>
      </c>
      <c r="AT3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4" s="4">
        <v>62.9</v>
      </c>
      <c r="AW334" s="4">
        <f t="shared" si="4"/>
        <v>336905600000</v>
      </c>
      <c r="AX334" s="4">
        <v>15049171</v>
      </c>
      <c r="AY334" s="4">
        <f>Base[[#This Row],['[SC']Budget_total_retraites]]/Base[[#This Row],['[SC']Nombre_de_retraités]]</f>
        <v>22386.987296509556</v>
      </c>
      <c r="AZ334" s="4">
        <f>Base[[#This Row],['[SC']Budget_par_retraité]]*Base[[#This Row],['[SC']Nb_personnes_dépendantes]]</f>
        <v>0</v>
      </c>
      <c r="BA334" s="4">
        <f>Base[[#This Row],['[SC']'[Dépendance']Coût_retraite_personnes_dépendantes]]/Base[[#This Row],[Population_totale]]</f>
        <v>0</v>
      </c>
      <c r="BB33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4" s="4">
        <f>Base[[#This Row],['[SC']'[Dépendance']Gains]]-Base[[#This Row],['[SC']'[Dépendance']Coûts]]</f>
        <v>0</v>
      </c>
      <c r="BD334" s="4">
        <f>IF(Base[[#This Row],[Pathologie]]&lt;&gt;"Mort prématurée",0,Base[[#This Row],[Risque]]*Base[[#This Row],[Prévalence]]*Base[[#This Row],[Population_totale]])</f>
        <v>0</v>
      </c>
      <c r="BE334" s="4">
        <v>52.74</v>
      </c>
      <c r="BF334" s="4">
        <f>Base[[#This Row],['[SC']Âge_moyen_retraite]]-Base[[#This Row],['[SC']'[Mort_prématurée']Âge_moyen_mort précoce]]</f>
        <v>10.159999999999997</v>
      </c>
      <c r="BG334" s="4">
        <f>Base[[#This Row],[Espérance_vie]]+Base[[#This Row],['[SC']Hausse_esp_de_vie]]-Base[[#This Row],['[SC']Âge_moyen_retraite]]</f>
        <v>20.236955218602098</v>
      </c>
      <c r="BH334" s="4">
        <v>106583.42676924677</v>
      </c>
      <c r="BI334" s="4">
        <v>97601.789429271477</v>
      </c>
      <c r="BJ334" s="4">
        <v>302038.31496633729</v>
      </c>
      <c r="BK334" s="4">
        <v>117293.58934859755</v>
      </c>
      <c r="BL334" s="4">
        <v>1523999.9999999995</v>
      </c>
      <c r="BM3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4" s="4">
        <v>294804.96027377353</v>
      </c>
      <c r="BO3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4" s="4">
        <f>(Base[[#This Row],['[SC']'[Mort_prématurée']Gains]]-Base[[#This Row],['[SC']'[Mort_prématurée']Coûts]])/Base[[#This Row],[Population_totale]]</f>
        <v>0</v>
      </c>
      <c r="BQ334" s="4">
        <f>IF(Base[[#This Row],[Pathologie]]&lt;&gt;"Mort prématurée",0,Base[[#This Row],[Risque]])</f>
        <v>0</v>
      </c>
      <c r="BR334" s="4">
        <v>2680</v>
      </c>
      <c r="BS3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4" s="4">
        <f>Base[[#This Row],[Prévalence_prod]]*(1-Base[[#This Row],[Risque]])*Base[[#This Row],[Durée_arrêt]]*Base[[#This Row],[Population_emploi]]</f>
        <v>6119788.0459513394</v>
      </c>
      <c r="BV334" s="4">
        <f>Base[[#This Row],['[Prod']'[Absentéisme']Total_jours_absence_avant]]-Base[[#This Row],['[Prod']'[Absentéisme']Total_jours_absence_après]]</f>
        <v>1294790.9998255819</v>
      </c>
      <c r="BW334" s="4">
        <f>IF(AND(Base[[#This Row],[Pathologie]]&lt;&gt;"Dépendance",Base[[#This Row],[Pathologie]]&lt;&gt;"Mort prématurée",Base[[#This Row],[Pathologie]]&lt;&gt;"Migraine"),0.0619,0)</f>
        <v>6.1899999999999997E-2</v>
      </c>
      <c r="BX334" s="4">
        <v>254</v>
      </c>
      <c r="BY33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4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4" s="4">
        <f>Base[[#This Row],[Prévalence_prod]]*Base[[#This Row],[Présentéisme]]*Base[[#This Row],['[Prod']Jours_ouvrés]]</f>
        <v>1.7912080000000001</v>
      </c>
      <c r="CB334" s="4">
        <f>Base[[#This Row],[Prévalence_prod]]*(1-Base[[#This Row],[Risque]])*Base[[#This Row],[Présentéisme]]*Base[[#This Row],['[Prod']Jours_ouvrés]]</f>
        <v>1.4784134390550281</v>
      </c>
      <c r="CC334" s="4">
        <f>Base[[#This Row],['[Prod']'[Présentéisme']Jours_avant]]-Base[[#This Row],['[Prod']'[Présentéisme']Jours_après]]</f>
        <v>0.31279456094497204</v>
      </c>
      <c r="CD334" s="4">
        <f>Base[[#This Row],['[Prod']'[Présentéisme']Jours_gagnés]]/Base[[#This Row],['[Prod']Jours_ouvrés]]</f>
        <v>1.2314746493896538E-3</v>
      </c>
      <c r="CE334">
        <v>7.5880726467531134E-2</v>
      </c>
      <c r="CF334">
        <v>1.989821358241517E-2</v>
      </c>
      <c r="CG334" s="4">
        <v>11</v>
      </c>
      <c r="CH334" s="4">
        <v>0.19346787829229528</v>
      </c>
      <c r="CI334" s="4">
        <v>2.8126549817953091E-2</v>
      </c>
      <c r="CJ334" s="4">
        <f>IF(Base[[#This Row],[Secteur]]&lt;&gt;"Moyenne",Base[[#This Row],['[Prod']'[Turnover']DMC_initiale]]*(1+Base[[#This Row],['[Prod']'[Turnover']Ecart_accidents]]*Base[[#This Row],['[Prod']Impact_motifs_turnover]]),CJ317*CI317+CJ318*CI318+CJ319*CI319+CJ320*CI320+CJ321*CI321+CJ322*CI322+CJ323*CI323+CJ324*CI324+CJ325*CI325+CJ326*CI326+CJ327*CI327+CJ328*CI328+CJ329*CI329+CJ330*CI330+CJ331*CI331+CJ332*CI332+CJ333*CI333)</f>
        <v>11.042346316799566</v>
      </c>
      <c r="CK334" s="4">
        <f>1/Base[[#This Row],['[Prod']'[Turnover']DMC_initiale]]</f>
        <v>9.0909090909090912E-2</v>
      </c>
      <c r="CL334" s="4">
        <f>1/Base[[#This Row],['[Prod']'[Turnover']DMC_finale]]</f>
        <v>9.0560463447756881E-2</v>
      </c>
    </row>
    <row r="335" spans="2:90" x14ac:dyDescent="0.25">
      <c r="B335" s="4" t="s">
        <v>327</v>
      </c>
      <c r="C335">
        <v>15</v>
      </c>
      <c r="D335" t="s">
        <v>83</v>
      </c>
      <c r="E335" t="s">
        <v>8</v>
      </c>
      <c r="F335" s="3">
        <v>0.17462771545514072</v>
      </c>
      <c r="G335" s="3">
        <v>4.1000000000000002E-2</v>
      </c>
      <c r="H335" s="3">
        <v>4.1000000000000002E-2</v>
      </c>
      <c r="I335" s="3">
        <v>0.17199999999999999</v>
      </c>
      <c r="J335" s="3">
        <v>3.8954334592466999</v>
      </c>
      <c r="K335" s="3">
        <v>7.0000000000000007E-2</v>
      </c>
      <c r="L335" s="2">
        <f>Base[[#This Row],[Coût]]*Base[[#This Row],[Part_ménages_dépenses_santé]]</f>
        <v>0.27268034214726899</v>
      </c>
      <c r="M335" s="2">
        <v>0.82690611956969029</v>
      </c>
      <c r="N335" s="6">
        <v>27700000</v>
      </c>
      <c r="O335" s="7">
        <f>Base[[#This Row],[Coût_salarié]]*10^9*Base[[#This Row],[Risque]]*Base[[#This Row],[Prévalence]]*Base[[#This Row],[Part_coûts_salarié]]/Base[[#This Row],[Population_emploi]]</f>
        <v>5.8281040450233614E-2</v>
      </c>
      <c r="P335">
        <v>50</v>
      </c>
      <c r="Q335">
        <v>50</v>
      </c>
      <c r="R335" s="2">
        <v>9.9999999999999978E-2</v>
      </c>
      <c r="S335" s="2">
        <v>0.33340000000000003</v>
      </c>
      <c r="T335" s="4">
        <v>4.1000000000000002E-2</v>
      </c>
      <c r="U335" s="4">
        <f>IF(Bases_annexes!$F$5=0,16.6587111018772,0.77*Bases_annexes!$F$5/(IF(OR(ISBLANK('Données_d''entrée'!$E$44),'Données_d''entrée'!$E$44=0),35,'Données_d''entrée'!$E$44)*52))</f>
        <v>16.658711101877199</v>
      </c>
      <c r="V335" s="4">
        <v>6.5286422873795198</v>
      </c>
      <c r="W3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5" s="4">
        <v>234.5</v>
      </c>
      <c r="Y335" s="4">
        <f>(Base[[#This Row],['[Maladies']Coûts_évités_par_salarié]]+Base[[#This Row],['[Travail']Coûts_évités_par_salarié]])/Base[[#This Row],[Budget_santé_salarié]]</f>
        <v>1.2185928814859663E-2</v>
      </c>
      <c r="Z335" s="4">
        <v>0.8</v>
      </c>
      <c r="AA335" s="4">
        <f>Base[[#This Row],[Coût]]*Base[[#This Row],[Part_société_dépenses_santé]]</f>
        <v>3.1163467673973599</v>
      </c>
      <c r="AB335" s="4">
        <v>67635124</v>
      </c>
      <c r="AC335" s="4">
        <v>82.297079063317852</v>
      </c>
      <c r="AD335" s="4">
        <v>0.11599999999999999</v>
      </c>
      <c r="AE335" s="4">
        <f>Base[[#This Row],['[SC']Prévalence_travail]]*Base[[#This Row],[Population_emploi]]</f>
        <v>3213200</v>
      </c>
      <c r="AF335" s="4">
        <f>Base[[#This Row],[Risque]]*Base[[#This Row],['[SC']Patients_en_emploi]]</f>
        <v>561113.77530045819</v>
      </c>
      <c r="AG335" s="4">
        <v>552654220.25999999</v>
      </c>
      <c r="AH335" s="4">
        <f>IFERROR(Base[[#This Row],['[SC']Prestations]]/Base[[#This Row],['[SC']Patients_en_emploi]],0)</f>
        <v>171.99496460226564</v>
      </c>
      <c r="AI335" s="4">
        <v>51.7</v>
      </c>
      <c r="AJ3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5" s="4">
        <f>Base[[#This Row],['[SC']'[Travail']Coûts_évités]]/Base[[#This Row],[Population_emploi]]</f>
        <v>3.4840701776406475</v>
      </c>
      <c r="AL335" s="4">
        <f>Base[[#This Row],[Coût_société]]*10^9*Base[[#This Row],[Risque]]*Base[[#This Row],[Prévalence]]*Base[[#This Row],[Part_coûts_salarié]]/Base[[#This Row],[Population_emploi]]</f>
        <v>0.66606903371695558</v>
      </c>
      <c r="AM335" s="4">
        <f>IF(Base[[#This Row],[Pathologie]]&lt;&gt;"Dépendance",0,14909.24243952)</f>
        <v>0</v>
      </c>
      <c r="AN335" s="4">
        <f>IF(Base[[#This Row],[Pathologie]]&lt;&gt;"Dépendance",0,1316000)</f>
        <v>0</v>
      </c>
      <c r="AO335" s="4">
        <f>IF(Base[[#This Row],[Pathologie]]&lt;&gt;"Dépendance",0,Base[[#This Row],['[SC']Coût_personne_dépendante]]*Base[[#This Row],['[SC']Nb_personnes_dépendantes]])</f>
        <v>0</v>
      </c>
      <c r="AP335" s="4">
        <f>IF(Base[[#This Row],[Pathologie]]&lt;&gt;"Dépendance",0,Base[[#This Row],['[SC']Coût_total_dépendance]]/Base[[#This Row],[Population_totale]])</f>
        <v>0</v>
      </c>
      <c r="AQ335" s="4">
        <f>IF(Base[[#This Row],[Pathologie]]&lt;&gt;"Dépendance",0,4.5)</f>
        <v>0</v>
      </c>
      <c r="AR335" s="4">
        <v>0.83987615528424797</v>
      </c>
      <c r="AS335" s="4">
        <f>Base[[#This Row],[Espérance_vie]]+Base[[#This Row],['[SC']Hausse_esp_de_vie]]-Base[[#This Row],['[SC']Durée_moyenne_dépendance_avt]]+Base[[#This Row],[Risque]]</f>
        <v>83.311582934057242</v>
      </c>
      <c r="AT3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5" s="4">
        <v>62.9</v>
      </c>
      <c r="AW335" s="4">
        <f t="shared" si="4"/>
        <v>336905600000</v>
      </c>
      <c r="AX335" s="4">
        <v>15049171</v>
      </c>
      <c r="AY335" s="4">
        <f>Base[[#This Row],['[SC']Budget_total_retraites]]/Base[[#This Row],['[SC']Nombre_de_retraités]]</f>
        <v>22386.987296509556</v>
      </c>
      <c r="AZ335" s="4">
        <f>Base[[#This Row],['[SC']Budget_par_retraité]]*Base[[#This Row],['[SC']Nb_personnes_dépendantes]]</f>
        <v>0</v>
      </c>
      <c r="BA335" s="4">
        <f>Base[[#This Row],['[SC']'[Dépendance']Coût_retraite_personnes_dépendantes]]/Base[[#This Row],[Population_totale]]</f>
        <v>0</v>
      </c>
      <c r="BB3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5" s="4">
        <f>Base[[#This Row],['[SC']'[Dépendance']Gains]]-Base[[#This Row],['[SC']'[Dépendance']Coûts]]</f>
        <v>0</v>
      </c>
      <c r="BD335" s="4">
        <f>IF(Base[[#This Row],[Pathologie]]&lt;&gt;"Mort prématurée",0,Base[[#This Row],[Risque]]*Base[[#This Row],[Prévalence]]*Base[[#This Row],[Population_totale]])</f>
        <v>0</v>
      </c>
      <c r="BE335" s="4">
        <v>52.74</v>
      </c>
      <c r="BF335" s="4">
        <f>Base[[#This Row],['[SC']Âge_moyen_retraite]]-Base[[#This Row],['[SC']'[Mort_prématurée']Âge_moyen_mort précoce]]</f>
        <v>10.159999999999997</v>
      </c>
      <c r="BG335" s="4">
        <f>Base[[#This Row],[Espérance_vie]]+Base[[#This Row],['[SC']Hausse_esp_de_vie]]-Base[[#This Row],['[SC']Âge_moyen_retraite]]</f>
        <v>20.236955218602098</v>
      </c>
      <c r="BH335" s="4">
        <v>106583.42676924677</v>
      </c>
      <c r="BI335" s="4">
        <v>97601.789429271477</v>
      </c>
      <c r="BJ335" s="4">
        <v>302038.31496633729</v>
      </c>
      <c r="BK335" s="4">
        <v>117293.58934859755</v>
      </c>
      <c r="BL335" s="4">
        <v>1523999.9999999995</v>
      </c>
      <c r="BM3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5" s="4">
        <v>294804.96027377353</v>
      </c>
      <c r="BO3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5" s="4">
        <f>(Base[[#This Row],['[SC']'[Mort_prématurée']Gains]]-Base[[#This Row],['[SC']'[Mort_prématurée']Coûts]])/Base[[#This Row],[Population_totale]]</f>
        <v>0</v>
      </c>
      <c r="BQ335" s="4">
        <f>IF(Base[[#This Row],[Pathologie]]&lt;&gt;"Mort prématurée",0,Base[[#This Row],[Risque]])</f>
        <v>0</v>
      </c>
      <c r="BR335" s="4">
        <v>2680</v>
      </c>
      <c r="BS3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5" s="4">
        <f>Base[[#This Row],[Prévalence_prod]]*(1-Base[[#This Row],[Risque]])*Base[[#This Row],[Durée_arrêt]]*Base[[#This Row],[Population_emploi]]</f>
        <v>6119788.0459513394</v>
      </c>
      <c r="BV335" s="4">
        <f>Base[[#This Row],['[Prod']'[Absentéisme']Total_jours_absence_avant]]-Base[[#This Row],['[Prod']'[Absentéisme']Total_jours_absence_après]]</f>
        <v>1294790.9998255819</v>
      </c>
      <c r="BW335" s="4">
        <f>IF(AND(Base[[#This Row],[Pathologie]]&lt;&gt;"Dépendance",Base[[#This Row],[Pathologie]]&lt;&gt;"Mort prématurée",Base[[#This Row],[Pathologie]]&lt;&gt;"Migraine"),0.0619,0)</f>
        <v>6.1899999999999997E-2</v>
      </c>
      <c r="BX335" s="4">
        <v>254</v>
      </c>
      <c r="BY335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5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5" s="4">
        <f>Base[[#This Row],[Prévalence_prod]]*Base[[#This Row],[Présentéisme]]*Base[[#This Row],['[Prod']Jours_ouvrés]]</f>
        <v>1.7912080000000001</v>
      </c>
      <c r="CB335" s="4">
        <f>Base[[#This Row],[Prévalence_prod]]*(1-Base[[#This Row],[Risque]])*Base[[#This Row],[Présentéisme]]*Base[[#This Row],['[Prod']Jours_ouvrés]]</f>
        <v>1.4784134390550281</v>
      </c>
      <c r="CC335" s="4">
        <f>Base[[#This Row],['[Prod']'[Présentéisme']Jours_avant]]-Base[[#This Row],['[Prod']'[Présentéisme']Jours_après]]</f>
        <v>0.31279456094497204</v>
      </c>
      <c r="CD335" s="4">
        <f>Base[[#This Row],['[Prod']'[Présentéisme']Jours_gagnés]]/Base[[#This Row],['[Prod']Jours_ouvrés]]</f>
        <v>1.2314746493896538E-3</v>
      </c>
      <c r="CE335">
        <v>7.5880726467531134E-2</v>
      </c>
      <c r="CF335">
        <v>1.989821358241517E-2</v>
      </c>
      <c r="CG335" s="4">
        <v>11</v>
      </c>
      <c r="CH335" s="4">
        <v>0.13729577077682142</v>
      </c>
      <c r="CI335" s="4">
        <v>1.373516710817578E-2</v>
      </c>
      <c r="CJ335" s="4">
        <f>IF(Base[[#This Row],[Secteur]]&lt;&gt;"Moyenne",Base[[#This Row],['[Prod']'[Turnover']DMC_initiale]]*(1+Base[[#This Row],['[Prod']'[Turnover']Ecart_accidents]]*Base[[#This Row],['[Prod']Impact_motifs_turnover]]),CJ318*CI318+CJ319*CI319+CJ320*CI320+CJ321*CI321+CJ322*CI322+CJ323*CI323+CJ324*CI324+CJ325*CI325+CJ326*CI326+CJ327*CI327+CJ328*CI328+CJ329*CI329+CJ330*CI330+CJ331*CI331+CJ332*CI332+CJ333*CI333+CJ334*CI334)</f>
        <v>11.030051346279674</v>
      </c>
      <c r="CK335" s="4">
        <f>1/Base[[#This Row],['[Prod']'[Turnover']DMC_initiale]]</f>
        <v>9.0909090909090912E-2</v>
      </c>
      <c r="CL335" s="4">
        <f>1/Base[[#This Row],['[Prod']'[Turnover']DMC_finale]]</f>
        <v>9.0661409326738093E-2</v>
      </c>
    </row>
    <row r="336" spans="2:90" x14ac:dyDescent="0.25">
      <c r="B336" s="4" t="s">
        <v>328</v>
      </c>
      <c r="C336">
        <v>15</v>
      </c>
      <c r="D336" t="s">
        <v>83</v>
      </c>
      <c r="E336" t="s">
        <v>8</v>
      </c>
      <c r="F336" s="3">
        <v>0.17462771545514072</v>
      </c>
      <c r="G336" s="3">
        <v>4.1000000000000002E-2</v>
      </c>
      <c r="H336" s="3">
        <v>4.1000000000000002E-2</v>
      </c>
      <c r="I336" s="3">
        <v>0.17199999999999999</v>
      </c>
      <c r="J336" s="3">
        <v>3.8954334592466999</v>
      </c>
      <c r="K336" s="3">
        <v>7.0000000000000007E-2</v>
      </c>
      <c r="L336" s="2">
        <f>Base[[#This Row],[Coût]]*Base[[#This Row],[Part_ménages_dépenses_santé]]</f>
        <v>0.27268034214726899</v>
      </c>
      <c r="M336" s="2">
        <v>0.82690611956969029</v>
      </c>
      <c r="N336" s="6">
        <v>27700000</v>
      </c>
      <c r="O336" s="7">
        <f>Base[[#This Row],[Coût_salarié]]*10^9*Base[[#This Row],[Risque]]*Base[[#This Row],[Prévalence]]*Base[[#This Row],[Part_coûts_salarié]]/Base[[#This Row],[Population_emploi]]</f>
        <v>5.8281040450233614E-2</v>
      </c>
      <c r="P336">
        <v>50</v>
      </c>
      <c r="Q336">
        <v>50</v>
      </c>
      <c r="R336" s="2">
        <v>9.9999999999999978E-2</v>
      </c>
      <c r="S336" s="2">
        <v>0.33340000000000003</v>
      </c>
      <c r="T336" s="4">
        <v>4.1000000000000002E-2</v>
      </c>
      <c r="U336" s="4">
        <f>IF(Bases_annexes!$F$5=0,16.6587111018772,0.77*Bases_annexes!$F$5/(IF(OR(ISBLANK('Données_d''entrée'!$E$44),'Données_d''entrée'!$E$44=0),35,'Données_d''entrée'!$E$44)*52))</f>
        <v>16.658711101877199</v>
      </c>
      <c r="V336" s="4">
        <v>6.5286422873795198</v>
      </c>
      <c r="W3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6" s="4">
        <v>234.5</v>
      </c>
      <c r="Y336" s="4">
        <f>(Base[[#This Row],['[Maladies']Coûts_évités_par_salarié]]+Base[[#This Row],['[Travail']Coûts_évités_par_salarié]])/Base[[#This Row],[Budget_santé_salarié]]</f>
        <v>1.2185928814859663E-2</v>
      </c>
      <c r="Z336" s="4">
        <v>0.8</v>
      </c>
      <c r="AA336" s="4">
        <f>Base[[#This Row],[Coût]]*Base[[#This Row],[Part_société_dépenses_santé]]</f>
        <v>3.1163467673973599</v>
      </c>
      <c r="AB336" s="4">
        <v>67635124</v>
      </c>
      <c r="AC336" s="4">
        <v>82.297079063317852</v>
      </c>
      <c r="AD336" s="4">
        <v>0.11599999999999999</v>
      </c>
      <c r="AE336" s="4">
        <f>Base[[#This Row],['[SC']Prévalence_travail]]*Base[[#This Row],[Population_emploi]]</f>
        <v>3213200</v>
      </c>
      <c r="AF336" s="4">
        <f>Base[[#This Row],[Risque]]*Base[[#This Row],['[SC']Patients_en_emploi]]</f>
        <v>561113.77530045819</v>
      </c>
      <c r="AG336" s="4">
        <v>552654220.25999999</v>
      </c>
      <c r="AH336" s="4">
        <f>IFERROR(Base[[#This Row],['[SC']Prestations]]/Base[[#This Row],['[SC']Patients_en_emploi]],0)</f>
        <v>171.99496460226564</v>
      </c>
      <c r="AI336" s="4">
        <v>51.7</v>
      </c>
      <c r="AJ3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6" s="4">
        <f>Base[[#This Row],['[SC']'[Travail']Coûts_évités]]/Base[[#This Row],[Population_emploi]]</f>
        <v>3.4840701776406475</v>
      </c>
      <c r="AL336" s="4">
        <f>Base[[#This Row],[Coût_société]]*10^9*Base[[#This Row],[Risque]]*Base[[#This Row],[Prévalence]]*Base[[#This Row],[Part_coûts_salarié]]/Base[[#This Row],[Population_emploi]]</f>
        <v>0.66606903371695558</v>
      </c>
      <c r="AM336" s="4">
        <f>IF(Base[[#This Row],[Pathologie]]&lt;&gt;"Dépendance",0,14909.24243952)</f>
        <v>0</v>
      </c>
      <c r="AN336" s="4">
        <f>IF(Base[[#This Row],[Pathologie]]&lt;&gt;"Dépendance",0,1316000)</f>
        <v>0</v>
      </c>
      <c r="AO336" s="4">
        <f>IF(Base[[#This Row],[Pathologie]]&lt;&gt;"Dépendance",0,Base[[#This Row],['[SC']Coût_personne_dépendante]]*Base[[#This Row],['[SC']Nb_personnes_dépendantes]])</f>
        <v>0</v>
      </c>
      <c r="AP336" s="4">
        <f>IF(Base[[#This Row],[Pathologie]]&lt;&gt;"Dépendance",0,Base[[#This Row],['[SC']Coût_total_dépendance]]/Base[[#This Row],[Population_totale]])</f>
        <v>0</v>
      </c>
      <c r="AQ336" s="4">
        <f>IF(Base[[#This Row],[Pathologie]]&lt;&gt;"Dépendance",0,4.5)</f>
        <v>0</v>
      </c>
      <c r="AR336" s="4">
        <v>0.83987615528424797</v>
      </c>
      <c r="AS336" s="4">
        <f>Base[[#This Row],[Espérance_vie]]+Base[[#This Row],['[SC']Hausse_esp_de_vie]]-Base[[#This Row],['[SC']Durée_moyenne_dépendance_avt]]+Base[[#This Row],[Risque]]</f>
        <v>83.311582934057242</v>
      </c>
      <c r="AT3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6" s="4">
        <v>62.9</v>
      </c>
      <c r="AW336" s="4">
        <f t="shared" si="4"/>
        <v>336905600000</v>
      </c>
      <c r="AX336" s="4">
        <v>15049171</v>
      </c>
      <c r="AY336" s="4">
        <f>Base[[#This Row],['[SC']Budget_total_retraites]]/Base[[#This Row],['[SC']Nombre_de_retraités]]</f>
        <v>22386.987296509556</v>
      </c>
      <c r="AZ336" s="4">
        <f>Base[[#This Row],['[SC']Budget_par_retraité]]*Base[[#This Row],['[SC']Nb_personnes_dépendantes]]</f>
        <v>0</v>
      </c>
      <c r="BA336" s="4">
        <f>Base[[#This Row],['[SC']'[Dépendance']Coût_retraite_personnes_dépendantes]]/Base[[#This Row],[Population_totale]]</f>
        <v>0</v>
      </c>
      <c r="BB3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6" s="4">
        <f>Base[[#This Row],['[SC']'[Dépendance']Gains]]-Base[[#This Row],['[SC']'[Dépendance']Coûts]]</f>
        <v>0</v>
      </c>
      <c r="BD336" s="4">
        <f>IF(Base[[#This Row],[Pathologie]]&lt;&gt;"Mort prématurée",0,Base[[#This Row],[Risque]]*Base[[#This Row],[Prévalence]]*Base[[#This Row],[Population_totale]])</f>
        <v>0</v>
      </c>
      <c r="BE336" s="4">
        <v>52.74</v>
      </c>
      <c r="BF336" s="4">
        <f>Base[[#This Row],['[SC']Âge_moyen_retraite]]-Base[[#This Row],['[SC']'[Mort_prématurée']Âge_moyen_mort précoce]]</f>
        <v>10.159999999999997</v>
      </c>
      <c r="BG336" s="4">
        <f>Base[[#This Row],[Espérance_vie]]+Base[[#This Row],['[SC']Hausse_esp_de_vie]]-Base[[#This Row],['[SC']Âge_moyen_retraite]]</f>
        <v>20.236955218602098</v>
      </c>
      <c r="BH336" s="4">
        <v>106583.42676924677</v>
      </c>
      <c r="BI336" s="4">
        <v>97601.789429271477</v>
      </c>
      <c r="BJ336" s="4">
        <v>302038.31496633729</v>
      </c>
      <c r="BK336" s="4">
        <v>117293.58934859755</v>
      </c>
      <c r="BL336" s="4">
        <v>1523999.9999999995</v>
      </c>
      <c r="BM3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6" s="4">
        <v>294804.96027377353</v>
      </c>
      <c r="BO3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6" s="4">
        <f>(Base[[#This Row],['[SC']'[Mort_prématurée']Gains]]-Base[[#This Row],['[SC']'[Mort_prématurée']Coûts]])/Base[[#This Row],[Population_totale]]</f>
        <v>0</v>
      </c>
      <c r="BQ336" s="4">
        <f>IF(Base[[#This Row],[Pathologie]]&lt;&gt;"Mort prématurée",0,Base[[#This Row],[Risque]])</f>
        <v>0</v>
      </c>
      <c r="BR336" s="4">
        <v>2680</v>
      </c>
      <c r="BS3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6" s="4">
        <f>Base[[#This Row],[Prévalence_prod]]*(1-Base[[#This Row],[Risque]])*Base[[#This Row],[Durée_arrêt]]*Base[[#This Row],[Population_emploi]]</f>
        <v>6119788.0459513394</v>
      </c>
      <c r="BV336" s="4">
        <f>Base[[#This Row],['[Prod']'[Absentéisme']Total_jours_absence_avant]]-Base[[#This Row],['[Prod']'[Absentéisme']Total_jours_absence_après]]</f>
        <v>1294790.9998255819</v>
      </c>
      <c r="BW336" s="4">
        <f>IF(AND(Base[[#This Row],[Pathologie]]&lt;&gt;"Dépendance",Base[[#This Row],[Pathologie]]&lt;&gt;"Mort prématurée",Base[[#This Row],[Pathologie]]&lt;&gt;"Migraine"),0.0619,0)</f>
        <v>6.1899999999999997E-2</v>
      </c>
      <c r="BX336" s="4">
        <v>254</v>
      </c>
      <c r="BY336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6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6" s="4">
        <f>Base[[#This Row],[Prévalence_prod]]*Base[[#This Row],[Présentéisme]]*Base[[#This Row],['[Prod']Jours_ouvrés]]</f>
        <v>1.7912080000000001</v>
      </c>
      <c r="CB336" s="4">
        <f>Base[[#This Row],[Prévalence_prod]]*(1-Base[[#This Row],[Risque]])*Base[[#This Row],[Présentéisme]]*Base[[#This Row],['[Prod']Jours_ouvrés]]</f>
        <v>1.4784134390550281</v>
      </c>
      <c r="CC336" s="4">
        <f>Base[[#This Row],['[Prod']'[Présentéisme']Jours_avant]]-Base[[#This Row],['[Prod']'[Présentéisme']Jours_après]]</f>
        <v>0.31279456094497204</v>
      </c>
      <c r="CD336" s="4">
        <f>Base[[#This Row],['[Prod']'[Présentéisme']Jours_gagnés]]/Base[[#This Row],['[Prod']Jours_ouvrés]]</f>
        <v>1.2314746493896538E-3</v>
      </c>
      <c r="CE336">
        <v>7.5880726467531134E-2</v>
      </c>
      <c r="CF336">
        <v>1.989821358241517E-2</v>
      </c>
      <c r="CG336" s="4">
        <v>11</v>
      </c>
      <c r="CH336" s="4">
        <v>0.60922528771817497</v>
      </c>
      <c r="CI336" s="4">
        <v>3.8601807163334179E-3</v>
      </c>
      <c r="CJ336" s="4">
        <f>IF(Base[[#This Row],[Secteur]]&lt;&gt;"Moyenne",Base[[#This Row],['[Prod']'[Turnover']DMC_initiale]]*(1+Base[[#This Row],['[Prod']'[Turnover']Ecart_accidents]]*Base[[#This Row],['[Prod']Impact_motifs_turnover]]),CJ319*CI319+CJ320*CI320+CJ321*CI321+CJ322*CI322+CJ323*CI323+CJ324*CI324+CJ325*CI325+CJ326*CI326+CJ327*CI327+CJ328*CI328+CJ329*CI329+CJ330*CI330+CJ331*CI331+CJ332*CI332+CJ333*CI333+CJ334*CI334+CJ335*CI335)</f>
        <v>11.133347443843071</v>
      </c>
      <c r="CK336" s="4">
        <f>1/Base[[#This Row],['[Prod']'[Turnover']DMC_initiale]]</f>
        <v>9.0909090909090912E-2</v>
      </c>
      <c r="CL336" s="4">
        <f>1/Base[[#This Row],['[Prod']'[Turnover']DMC_finale]]</f>
        <v>8.9820245442265148E-2</v>
      </c>
    </row>
    <row r="337" spans="2:90" x14ac:dyDescent="0.25">
      <c r="B337" s="4" t="s">
        <v>329</v>
      </c>
      <c r="C337">
        <v>15</v>
      </c>
      <c r="D337" t="s">
        <v>83</v>
      </c>
      <c r="E337" t="s">
        <v>8</v>
      </c>
      <c r="F337" s="3">
        <v>0.17462771545514072</v>
      </c>
      <c r="G337" s="3">
        <v>4.1000000000000002E-2</v>
      </c>
      <c r="H337" s="3">
        <v>4.1000000000000002E-2</v>
      </c>
      <c r="I337" s="3">
        <v>0.17199999999999999</v>
      </c>
      <c r="J337" s="3">
        <v>3.8954334592466999</v>
      </c>
      <c r="K337" s="3">
        <v>7.0000000000000007E-2</v>
      </c>
      <c r="L337" s="2">
        <f>Base[[#This Row],[Coût]]*Base[[#This Row],[Part_ménages_dépenses_santé]]</f>
        <v>0.27268034214726899</v>
      </c>
      <c r="M337" s="2">
        <v>0.82690611956969029</v>
      </c>
      <c r="N337" s="6">
        <v>27700000</v>
      </c>
      <c r="O337" s="7">
        <f>Base[[#This Row],[Coût_salarié]]*10^9*Base[[#This Row],[Risque]]*Base[[#This Row],[Prévalence]]*Base[[#This Row],[Part_coûts_salarié]]/Base[[#This Row],[Population_emploi]]</f>
        <v>5.8281040450233614E-2</v>
      </c>
      <c r="P337">
        <v>50</v>
      </c>
      <c r="Q337">
        <v>50</v>
      </c>
      <c r="R337" s="2">
        <v>9.9999999999999978E-2</v>
      </c>
      <c r="S337" s="2">
        <v>0.33340000000000003</v>
      </c>
      <c r="T337" s="4">
        <v>4.1000000000000002E-2</v>
      </c>
      <c r="U337" s="4">
        <f>IF(Bases_annexes!$F$5=0,16.6587111018772,0.77*Bases_annexes!$F$5/(IF(OR(ISBLANK('Données_d''entrée'!$E$44),'Données_d''entrée'!$E$44=0),35,'Données_d''entrée'!$E$44)*52))</f>
        <v>16.658711101877199</v>
      </c>
      <c r="V337" s="4">
        <v>6.5286422873795198</v>
      </c>
      <c r="W3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7" s="4">
        <v>234.5</v>
      </c>
      <c r="Y337" s="4">
        <f>(Base[[#This Row],['[Maladies']Coûts_évités_par_salarié]]+Base[[#This Row],['[Travail']Coûts_évités_par_salarié]])/Base[[#This Row],[Budget_santé_salarié]]</f>
        <v>1.2185928814859663E-2</v>
      </c>
      <c r="Z337" s="4">
        <v>0.8</v>
      </c>
      <c r="AA337" s="4">
        <f>Base[[#This Row],[Coût]]*Base[[#This Row],[Part_société_dépenses_santé]]</f>
        <v>3.1163467673973599</v>
      </c>
      <c r="AB337" s="4">
        <v>67635124</v>
      </c>
      <c r="AC337" s="4">
        <v>82.297079063317852</v>
      </c>
      <c r="AD337" s="4">
        <v>0.11599999999999999</v>
      </c>
      <c r="AE337" s="4">
        <f>Base[[#This Row],['[SC']Prévalence_travail]]*Base[[#This Row],[Population_emploi]]</f>
        <v>3213200</v>
      </c>
      <c r="AF337" s="4">
        <f>Base[[#This Row],[Risque]]*Base[[#This Row],['[SC']Patients_en_emploi]]</f>
        <v>561113.77530045819</v>
      </c>
      <c r="AG337" s="4">
        <v>552654220.25999999</v>
      </c>
      <c r="AH337" s="4">
        <f>IFERROR(Base[[#This Row],['[SC']Prestations]]/Base[[#This Row],['[SC']Patients_en_emploi]],0)</f>
        <v>171.99496460226564</v>
      </c>
      <c r="AI337" s="4">
        <v>51.7</v>
      </c>
      <c r="AJ3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7" s="4">
        <f>Base[[#This Row],['[SC']'[Travail']Coûts_évités]]/Base[[#This Row],[Population_emploi]]</f>
        <v>3.4840701776406475</v>
      </c>
      <c r="AL337" s="4">
        <f>Base[[#This Row],[Coût_société]]*10^9*Base[[#This Row],[Risque]]*Base[[#This Row],[Prévalence]]*Base[[#This Row],[Part_coûts_salarié]]/Base[[#This Row],[Population_emploi]]</f>
        <v>0.66606903371695558</v>
      </c>
      <c r="AM337" s="4">
        <f>IF(Base[[#This Row],[Pathologie]]&lt;&gt;"Dépendance",0,14909.24243952)</f>
        <v>0</v>
      </c>
      <c r="AN337" s="4">
        <f>IF(Base[[#This Row],[Pathologie]]&lt;&gt;"Dépendance",0,1316000)</f>
        <v>0</v>
      </c>
      <c r="AO337" s="4">
        <f>IF(Base[[#This Row],[Pathologie]]&lt;&gt;"Dépendance",0,Base[[#This Row],['[SC']Coût_personne_dépendante]]*Base[[#This Row],['[SC']Nb_personnes_dépendantes]])</f>
        <v>0</v>
      </c>
      <c r="AP337" s="4">
        <f>IF(Base[[#This Row],[Pathologie]]&lt;&gt;"Dépendance",0,Base[[#This Row],['[SC']Coût_total_dépendance]]/Base[[#This Row],[Population_totale]])</f>
        <v>0</v>
      </c>
      <c r="AQ337" s="4">
        <f>IF(Base[[#This Row],[Pathologie]]&lt;&gt;"Dépendance",0,4.5)</f>
        <v>0</v>
      </c>
      <c r="AR337" s="4">
        <v>0.83987615528424797</v>
      </c>
      <c r="AS337" s="4">
        <f>Base[[#This Row],[Espérance_vie]]+Base[[#This Row],['[SC']Hausse_esp_de_vie]]-Base[[#This Row],['[SC']Durée_moyenne_dépendance_avt]]+Base[[#This Row],[Risque]]</f>
        <v>83.311582934057242</v>
      </c>
      <c r="AT3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7" s="4">
        <v>62.9</v>
      </c>
      <c r="AW337" s="4">
        <f t="shared" si="4"/>
        <v>336905600000</v>
      </c>
      <c r="AX337" s="4">
        <v>15049171</v>
      </c>
      <c r="AY337" s="4">
        <f>Base[[#This Row],['[SC']Budget_total_retraites]]/Base[[#This Row],['[SC']Nombre_de_retraités]]</f>
        <v>22386.987296509556</v>
      </c>
      <c r="AZ337" s="4">
        <f>Base[[#This Row],['[SC']Budget_par_retraité]]*Base[[#This Row],['[SC']Nb_personnes_dépendantes]]</f>
        <v>0</v>
      </c>
      <c r="BA337" s="4">
        <f>Base[[#This Row],['[SC']'[Dépendance']Coût_retraite_personnes_dépendantes]]/Base[[#This Row],[Population_totale]]</f>
        <v>0</v>
      </c>
      <c r="BB3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7" s="4">
        <f>Base[[#This Row],['[SC']'[Dépendance']Gains]]-Base[[#This Row],['[SC']'[Dépendance']Coûts]]</f>
        <v>0</v>
      </c>
      <c r="BD337" s="4">
        <f>IF(Base[[#This Row],[Pathologie]]&lt;&gt;"Mort prématurée",0,Base[[#This Row],[Risque]]*Base[[#This Row],[Prévalence]]*Base[[#This Row],[Population_totale]])</f>
        <v>0</v>
      </c>
      <c r="BE337" s="4">
        <v>52.74</v>
      </c>
      <c r="BF337" s="4">
        <f>Base[[#This Row],['[SC']Âge_moyen_retraite]]-Base[[#This Row],['[SC']'[Mort_prématurée']Âge_moyen_mort précoce]]</f>
        <v>10.159999999999997</v>
      </c>
      <c r="BG337" s="4">
        <f>Base[[#This Row],[Espérance_vie]]+Base[[#This Row],['[SC']Hausse_esp_de_vie]]-Base[[#This Row],['[SC']Âge_moyen_retraite]]</f>
        <v>20.236955218602098</v>
      </c>
      <c r="BH337" s="4">
        <v>106583.42676924677</v>
      </c>
      <c r="BI337" s="4">
        <v>97601.789429271477</v>
      </c>
      <c r="BJ337" s="4">
        <v>302038.31496633729</v>
      </c>
      <c r="BK337" s="4">
        <v>117293.58934859755</v>
      </c>
      <c r="BL337" s="4">
        <v>1523999.9999999995</v>
      </c>
      <c r="BM3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7" s="4">
        <v>294804.96027377353</v>
      </c>
      <c r="BO3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7" s="4">
        <f>(Base[[#This Row],['[SC']'[Mort_prématurée']Gains]]-Base[[#This Row],['[SC']'[Mort_prématurée']Coûts]])/Base[[#This Row],[Population_totale]]</f>
        <v>0</v>
      </c>
      <c r="BQ337" s="4">
        <f>IF(Base[[#This Row],[Pathologie]]&lt;&gt;"Mort prématurée",0,Base[[#This Row],[Risque]])</f>
        <v>0</v>
      </c>
      <c r="BR337" s="4">
        <v>2680</v>
      </c>
      <c r="BS3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7" s="4">
        <f>Base[[#This Row],[Prévalence_prod]]*(1-Base[[#This Row],[Risque]])*Base[[#This Row],[Durée_arrêt]]*Base[[#This Row],[Population_emploi]]</f>
        <v>6119788.0459513394</v>
      </c>
      <c r="BV337" s="4">
        <f>Base[[#This Row],['[Prod']'[Absentéisme']Total_jours_absence_avant]]-Base[[#This Row],['[Prod']'[Absentéisme']Total_jours_absence_après]]</f>
        <v>1294790.9998255819</v>
      </c>
      <c r="BW337" s="4">
        <f>IF(AND(Base[[#This Row],[Pathologie]]&lt;&gt;"Dépendance",Base[[#This Row],[Pathologie]]&lt;&gt;"Mort prématurée",Base[[#This Row],[Pathologie]]&lt;&gt;"Migraine"),0.0619,0)</f>
        <v>6.1899999999999997E-2</v>
      </c>
      <c r="BX337" s="4">
        <v>254</v>
      </c>
      <c r="BY337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7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7" s="4">
        <f>Base[[#This Row],[Prévalence_prod]]*Base[[#This Row],[Présentéisme]]*Base[[#This Row],['[Prod']Jours_ouvrés]]</f>
        <v>1.7912080000000001</v>
      </c>
      <c r="CB337" s="4">
        <f>Base[[#This Row],[Prévalence_prod]]*(1-Base[[#This Row],[Risque]])*Base[[#This Row],[Présentéisme]]*Base[[#This Row],['[Prod']Jours_ouvrés]]</f>
        <v>1.4784134390550281</v>
      </c>
      <c r="CC337" s="4">
        <f>Base[[#This Row],['[Prod']'[Présentéisme']Jours_avant]]-Base[[#This Row],['[Prod']'[Présentéisme']Jours_après]]</f>
        <v>0.31279456094497204</v>
      </c>
      <c r="CD337" s="4">
        <f>Base[[#This Row],['[Prod']'[Présentéisme']Jours_gagnés]]/Base[[#This Row],['[Prod']Jours_ouvrés]]</f>
        <v>1.2314746493896538E-3</v>
      </c>
      <c r="CE337">
        <v>7.5880726467531134E-2</v>
      </c>
      <c r="CF337">
        <v>1.989821358241517E-2</v>
      </c>
      <c r="CG337" s="4">
        <v>11</v>
      </c>
      <c r="CH337" s="4">
        <v>0.78414927716175975</v>
      </c>
      <c r="CI337" s="4">
        <v>0.12835819090128339</v>
      </c>
      <c r="CJ337" s="4">
        <f>IF(Base[[#This Row],[Secteur]]&lt;&gt;"Moyenne",Base[[#This Row],['[Prod']'[Turnover']DMC_initiale]]*(1+Base[[#This Row],['[Prod']'[Turnover']Ecart_accidents]]*Base[[#This Row],['[Prod']Impact_motifs_turnover]]),CJ320*CI320+CJ321*CI321+CJ322*CI322+CJ323*CI323+CJ324*CI324+CJ325*CI325+CJ326*CI326+CJ327*CI327+CJ328*CI328+CJ329*CI329+CJ330*CI330+CJ331*CI331+CJ332*CI332+CJ333*CI333+CJ334*CI334+CJ335*CI335+CJ336*CI336)</f>
        <v>11.171634867772074</v>
      </c>
      <c r="CK337" s="4">
        <f>1/Base[[#This Row],['[Prod']'[Turnover']DMC_initiale]]</f>
        <v>9.0909090909090912E-2</v>
      </c>
      <c r="CL337" s="4">
        <f>1/Base[[#This Row],['[Prod']'[Turnover']DMC_finale]]</f>
        <v>8.9512413521927708E-2</v>
      </c>
    </row>
    <row r="338" spans="2:90" x14ac:dyDescent="0.25">
      <c r="B338" s="4" t="s">
        <v>330</v>
      </c>
      <c r="C338">
        <v>15</v>
      </c>
      <c r="D338" t="s">
        <v>83</v>
      </c>
      <c r="E338" t="s">
        <v>8</v>
      </c>
      <c r="F338" s="3">
        <v>0.17462771545514072</v>
      </c>
      <c r="G338" s="3">
        <v>4.1000000000000002E-2</v>
      </c>
      <c r="H338" s="3">
        <v>4.1000000000000002E-2</v>
      </c>
      <c r="I338" s="3">
        <v>0.17199999999999999</v>
      </c>
      <c r="J338" s="3">
        <v>3.8954334592466999</v>
      </c>
      <c r="K338" s="3">
        <v>7.0000000000000007E-2</v>
      </c>
      <c r="L338" s="2">
        <f>Base[[#This Row],[Coût]]*Base[[#This Row],[Part_ménages_dépenses_santé]]</f>
        <v>0.27268034214726899</v>
      </c>
      <c r="M338" s="2">
        <v>0.82690611956969029</v>
      </c>
      <c r="N338" s="6">
        <v>27700000</v>
      </c>
      <c r="O338" s="7">
        <f>Base[[#This Row],[Coût_salarié]]*10^9*Base[[#This Row],[Risque]]*Base[[#This Row],[Prévalence]]*Base[[#This Row],[Part_coûts_salarié]]/Base[[#This Row],[Population_emploi]]</f>
        <v>5.8281040450233614E-2</v>
      </c>
      <c r="P338">
        <v>50</v>
      </c>
      <c r="Q338">
        <v>50</v>
      </c>
      <c r="R338" s="2">
        <v>9.9999999999999978E-2</v>
      </c>
      <c r="S338" s="2">
        <v>0.33340000000000003</v>
      </c>
      <c r="T338" s="4">
        <v>4.1000000000000002E-2</v>
      </c>
      <c r="U338" s="4">
        <f>IF(Bases_annexes!$F$5=0,16.6587111018772,0.77*Bases_annexes!$F$5/(IF(OR(ISBLANK('Données_d''entrée'!$E$44),'Données_d''entrée'!$E$44=0),35,'Données_d''entrée'!$E$44)*52))</f>
        <v>16.658711101877199</v>
      </c>
      <c r="V338" s="4">
        <v>6.5286422873795198</v>
      </c>
      <c r="W3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8" s="4">
        <v>234.5</v>
      </c>
      <c r="Y338" s="4">
        <f>(Base[[#This Row],['[Maladies']Coûts_évités_par_salarié]]+Base[[#This Row],['[Travail']Coûts_évités_par_salarié]])/Base[[#This Row],[Budget_santé_salarié]]</f>
        <v>1.2185928814859663E-2</v>
      </c>
      <c r="Z338" s="4">
        <v>0.8</v>
      </c>
      <c r="AA338" s="4">
        <f>Base[[#This Row],[Coût]]*Base[[#This Row],[Part_société_dépenses_santé]]</f>
        <v>3.1163467673973599</v>
      </c>
      <c r="AB338" s="4">
        <v>67635124</v>
      </c>
      <c r="AC338" s="4">
        <v>82.297079063317852</v>
      </c>
      <c r="AD338" s="4">
        <v>0.11599999999999999</v>
      </c>
      <c r="AE338" s="4">
        <f>Base[[#This Row],['[SC']Prévalence_travail]]*Base[[#This Row],[Population_emploi]]</f>
        <v>3213200</v>
      </c>
      <c r="AF338" s="4">
        <f>Base[[#This Row],[Risque]]*Base[[#This Row],['[SC']Patients_en_emploi]]</f>
        <v>561113.77530045819</v>
      </c>
      <c r="AG338" s="4">
        <v>552654220.25999999</v>
      </c>
      <c r="AH338" s="4">
        <f>IFERROR(Base[[#This Row],['[SC']Prestations]]/Base[[#This Row],['[SC']Patients_en_emploi]],0)</f>
        <v>171.99496460226564</v>
      </c>
      <c r="AI338" s="4">
        <v>51.7</v>
      </c>
      <c r="AJ3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8" s="4">
        <f>Base[[#This Row],['[SC']'[Travail']Coûts_évités]]/Base[[#This Row],[Population_emploi]]</f>
        <v>3.4840701776406475</v>
      </c>
      <c r="AL338" s="4">
        <f>Base[[#This Row],[Coût_société]]*10^9*Base[[#This Row],[Risque]]*Base[[#This Row],[Prévalence]]*Base[[#This Row],[Part_coûts_salarié]]/Base[[#This Row],[Population_emploi]]</f>
        <v>0.66606903371695558</v>
      </c>
      <c r="AM338" s="4">
        <f>IF(Base[[#This Row],[Pathologie]]&lt;&gt;"Dépendance",0,14909.24243952)</f>
        <v>0</v>
      </c>
      <c r="AN338" s="4">
        <f>IF(Base[[#This Row],[Pathologie]]&lt;&gt;"Dépendance",0,1316000)</f>
        <v>0</v>
      </c>
      <c r="AO338" s="4">
        <f>IF(Base[[#This Row],[Pathologie]]&lt;&gt;"Dépendance",0,Base[[#This Row],['[SC']Coût_personne_dépendante]]*Base[[#This Row],['[SC']Nb_personnes_dépendantes]])</f>
        <v>0</v>
      </c>
      <c r="AP338" s="4">
        <f>IF(Base[[#This Row],[Pathologie]]&lt;&gt;"Dépendance",0,Base[[#This Row],['[SC']Coût_total_dépendance]]/Base[[#This Row],[Population_totale]])</f>
        <v>0</v>
      </c>
      <c r="AQ338" s="4">
        <f>IF(Base[[#This Row],[Pathologie]]&lt;&gt;"Dépendance",0,4.5)</f>
        <v>0</v>
      </c>
      <c r="AR338" s="4">
        <v>0.83987615528424797</v>
      </c>
      <c r="AS338" s="4">
        <f>Base[[#This Row],[Espérance_vie]]+Base[[#This Row],['[SC']Hausse_esp_de_vie]]-Base[[#This Row],['[SC']Durée_moyenne_dépendance_avt]]+Base[[#This Row],[Risque]]</f>
        <v>83.311582934057242</v>
      </c>
      <c r="AT3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8" s="4">
        <v>62.9</v>
      </c>
      <c r="AW338" s="4">
        <f t="shared" si="4"/>
        <v>336905600000</v>
      </c>
      <c r="AX338" s="4">
        <v>15049171</v>
      </c>
      <c r="AY338" s="4">
        <f>Base[[#This Row],['[SC']Budget_total_retraites]]/Base[[#This Row],['[SC']Nombre_de_retraités]]</f>
        <v>22386.987296509556</v>
      </c>
      <c r="AZ338" s="4">
        <f>Base[[#This Row],['[SC']Budget_par_retraité]]*Base[[#This Row],['[SC']Nb_personnes_dépendantes]]</f>
        <v>0</v>
      </c>
      <c r="BA338" s="4">
        <f>Base[[#This Row],['[SC']'[Dépendance']Coût_retraite_personnes_dépendantes]]/Base[[#This Row],[Population_totale]]</f>
        <v>0</v>
      </c>
      <c r="BB3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8" s="4">
        <f>Base[[#This Row],['[SC']'[Dépendance']Gains]]-Base[[#This Row],['[SC']'[Dépendance']Coûts]]</f>
        <v>0</v>
      </c>
      <c r="BD338" s="4">
        <f>IF(Base[[#This Row],[Pathologie]]&lt;&gt;"Mort prématurée",0,Base[[#This Row],[Risque]]*Base[[#This Row],[Prévalence]]*Base[[#This Row],[Population_totale]])</f>
        <v>0</v>
      </c>
      <c r="BE338" s="4">
        <v>52.74</v>
      </c>
      <c r="BF338" s="4">
        <f>Base[[#This Row],['[SC']Âge_moyen_retraite]]-Base[[#This Row],['[SC']'[Mort_prématurée']Âge_moyen_mort précoce]]</f>
        <v>10.159999999999997</v>
      </c>
      <c r="BG338" s="4">
        <f>Base[[#This Row],[Espérance_vie]]+Base[[#This Row],['[SC']Hausse_esp_de_vie]]-Base[[#This Row],['[SC']Âge_moyen_retraite]]</f>
        <v>20.236955218602098</v>
      </c>
      <c r="BH338" s="4">
        <v>106583.42676924677</v>
      </c>
      <c r="BI338" s="4">
        <v>97601.789429271477</v>
      </c>
      <c r="BJ338" s="4">
        <v>302038.31496633729</v>
      </c>
      <c r="BK338" s="4">
        <v>117293.58934859755</v>
      </c>
      <c r="BL338" s="4">
        <v>1523999.9999999995</v>
      </c>
      <c r="BM3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8" s="4">
        <v>294804.96027377353</v>
      </c>
      <c r="BO3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8" s="4">
        <f>(Base[[#This Row],['[SC']'[Mort_prématurée']Gains]]-Base[[#This Row],['[SC']'[Mort_prématurée']Coûts]])/Base[[#This Row],[Population_totale]]</f>
        <v>0</v>
      </c>
      <c r="BQ338" s="4">
        <f>IF(Base[[#This Row],[Pathologie]]&lt;&gt;"Mort prématurée",0,Base[[#This Row],[Risque]])</f>
        <v>0</v>
      </c>
      <c r="BR338" s="4">
        <v>2680</v>
      </c>
      <c r="BS3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8" s="4">
        <f>Base[[#This Row],[Prévalence_prod]]*(1-Base[[#This Row],[Risque]])*Base[[#This Row],[Durée_arrêt]]*Base[[#This Row],[Population_emploi]]</f>
        <v>6119788.0459513394</v>
      </c>
      <c r="BV338" s="4">
        <f>Base[[#This Row],['[Prod']'[Absentéisme']Total_jours_absence_avant]]-Base[[#This Row],['[Prod']'[Absentéisme']Total_jours_absence_après]]</f>
        <v>1294790.9998255819</v>
      </c>
      <c r="BW338" s="4">
        <f>IF(AND(Base[[#This Row],[Pathologie]]&lt;&gt;"Dépendance",Base[[#This Row],[Pathologie]]&lt;&gt;"Mort prématurée",Base[[#This Row],[Pathologie]]&lt;&gt;"Migraine"),0.0619,0)</f>
        <v>6.1899999999999997E-2</v>
      </c>
      <c r="BX338" s="4">
        <v>254</v>
      </c>
      <c r="BY338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8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8" s="4">
        <f>Base[[#This Row],[Prévalence_prod]]*Base[[#This Row],[Présentéisme]]*Base[[#This Row],['[Prod']Jours_ouvrés]]</f>
        <v>1.7912080000000001</v>
      </c>
      <c r="CB338" s="4">
        <f>Base[[#This Row],[Prévalence_prod]]*(1-Base[[#This Row],[Risque]])*Base[[#This Row],[Présentéisme]]*Base[[#This Row],['[Prod']Jours_ouvrés]]</f>
        <v>1.4784134390550281</v>
      </c>
      <c r="CC338" s="4">
        <f>Base[[#This Row],['[Prod']'[Présentéisme']Jours_avant]]-Base[[#This Row],['[Prod']'[Présentéisme']Jours_après]]</f>
        <v>0.31279456094497204</v>
      </c>
      <c r="CD338" s="4">
        <f>Base[[#This Row],['[Prod']'[Présentéisme']Jours_gagnés]]/Base[[#This Row],['[Prod']Jours_ouvrés]]</f>
        <v>1.2314746493896538E-3</v>
      </c>
      <c r="CE338">
        <v>7.5880726467531134E-2</v>
      </c>
      <c r="CF338">
        <v>1.989821358241517E-2</v>
      </c>
      <c r="CG338" s="4">
        <v>11</v>
      </c>
      <c r="CH338" s="4">
        <v>0.99648427619813984</v>
      </c>
      <c r="CI338" s="4">
        <v>0.42377466100567313</v>
      </c>
      <c r="CJ338" s="4">
        <f>IF(Base[[#This Row],[Secteur]]&lt;&gt;"Moyenne",Base[[#This Row],['[Prod']'[Turnover']DMC_initiale]]*(1+Base[[#This Row],['[Prod']'[Turnover']Ecart_accidents]]*Base[[#This Row],['[Prod']Impact_motifs_turnover]]),CJ321*CI321+CJ322*CI322+CJ323*CI323+CJ324*CI324+CJ325*CI325+CJ326*CI326+CJ327*CI327+CJ328*CI328+CJ329*CI329+CJ330*CI330+CJ331*CI331+CJ332*CI332+CJ333*CI333+CJ334*CI334+CJ335*CI335+CJ336*CI336+CJ337*CI337)</f>
        <v>11.218110826552397</v>
      </c>
      <c r="CK338" s="4">
        <f>1/Base[[#This Row],['[Prod']'[Turnover']DMC_initiale]]</f>
        <v>9.0909090909090912E-2</v>
      </c>
      <c r="CL338" s="4">
        <f>1/Base[[#This Row],['[Prod']'[Turnover']DMC_finale]]</f>
        <v>8.9141568973723953E-2</v>
      </c>
    </row>
    <row r="339" spans="2:90" x14ac:dyDescent="0.25">
      <c r="B339" s="4" t="s">
        <v>331</v>
      </c>
      <c r="C339">
        <v>15</v>
      </c>
      <c r="D339" t="s">
        <v>83</v>
      </c>
      <c r="E339" t="s">
        <v>8</v>
      </c>
      <c r="F339" s="3">
        <v>0.17462771545514072</v>
      </c>
      <c r="G339" s="3">
        <v>4.1000000000000002E-2</v>
      </c>
      <c r="H339" s="3">
        <v>4.1000000000000002E-2</v>
      </c>
      <c r="I339" s="3">
        <v>0.17199999999999999</v>
      </c>
      <c r="J339" s="3">
        <v>3.8954334592466999</v>
      </c>
      <c r="K339" s="3">
        <v>7.0000000000000007E-2</v>
      </c>
      <c r="L339" s="2">
        <f>Base[[#This Row],[Coût]]*Base[[#This Row],[Part_ménages_dépenses_santé]]</f>
        <v>0.27268034214726899</v>
      </c>
      <c r="M339" s="2">
        <v>0.82690611956969029</v>
      </c>
      <c r="N339" s="6">
        <v>27700000</v>
      </c>
      <c r="O339" s="7">
        <f>Base[[#This Row],[Coût_salarié]]*10^9*Base[[#This Row],[Risque]]*Base[[#This Row],[Prévalence]]*Base[[#This Row],[Part_coûts_salarié]]/Base[[#This Row],[Population_emploi]]</f>
        <v>5.8281040450233614E-2</v>
      </c>
      <c r="P339">
        <v>50</v>
      </c>
      <c r="Q339">
        <v>50</v>
      </c>
      <c r="R339" s="2">
        <v>9.9999999999999978E-2</v>
      </c>
      <c r="S339" s="2">
        <v>0.33340000000000003</v>
      </c>
      <c r="T339" s="4">
        <v>4.1000000000000002E-2</v>
      </c>
      <c r="U339" s="4">
        <f>IF(Bases_annexes!$F$5=0,16.6587111018772,0.77*Bases_annexes!$F$5/(IF(OR(ISBLANK('Données_d''entrée'!$E$44),'Données_d''entrée'!$E$44=0),35,'Données_d''entrée'!$E$44)*52))</f>
        <v>16.658711101877199</v>
      </c>
      <c r="V339" s="4">
        <v>6.5286422873795198</v>
      </c>
      <c r="W3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39" s="4">
        <v>234.5</v>
      </c>
      <c r="Y339" s="4">
        <f>(Base[[#This Row],['[Maladies']Coûts_évités_par_salarié]]+Base[[#This Row],['[Travail']Coûts_évités_par_salarié]])/Base[[#This Row],[Budget_santé_salarié]]</f>
        <v>1.2185928814859663E-2</v>
      </c>
      <c r="Z339" s="4">
        <v>0.8</v>
      </c>
      <c r="AA339" s="4">
        <f>Base[[#This Row],[Coût]]*Base[[#This Row],[Part_société_dépenses_santé]]</f>
        <v>3.1163467673973599</v>
      </c>
      <c r="AB339" s="4">
        <v>67635124</v>
      </c>
      <c r="AC339" s="4">
        <v>82.297079063317852</v>
      </c>
      <c r="AD339" s="4">
        <v>0.11599999999999999</v>
      </c>
      <c r="AE339" s="4">
        <f>Base[[#This Row],['[SC']Prévalence_travail]]*Base[[#This Row],[Population_emploi]]</f>
        <v>3213200</v>
      </c>
      <c r="AF339" s="4">
        <f>Base[[#This Row],[Risque]]*Base[[#This Row],['[SC']Patients_en_emploi]]</f>
        <v>561113.77530045819</v>
      </c>
      <c r="AG339" s="4">
        <v>552654220.25999999</v>
      </c>
      <c r="AH339" s="4">
        <f>IFERROR(Base[[#This Row],['[SC']Prestations]]/Base[[#This Row],['[SC']Patients_en_emploi]],0)</f>
        <v>171.99496460226564</v>
      </c>
      <c r="AI339" s="4">
        <v>51.7</v>
      </c>
      <c r="AJ3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39" s="4">
        <f>Base[[#This Row],['[SC']'[Travail']Coûts_évités]]/Base[[#This Row],[Population_emploi]]</f>
        <v>3.4840701776406475</v>
      </c>
      <c r="AL339" s="4">
        <f>Base[[#This Row],[Coût_société]]*10^9*Base[[#This Row],[Risque]]*Base[[#This Row],[Prévalence]]*Base[[#This Row],[Part_coûts_salarié]]/Base[[#This Row],[Population_emploi]]</f>
        <v>0.66606903371695558</v>
      </c>
      <c r="AM339" s="4">
        <f>IF(Base[[#This Row],[Pathologie]]&lt;&gt;"Dépendance",0,14909.24243952)</f>
        <v>0</v>
      </c>
      <c r="AN339" s="4">
        <f>IF(Base[[#This Row],[Pathologie]]&lt;&gt;"Dépendance",0,1316000)</f>
        <v>0</v>
      </c>
      <c r="AO339" s="4">
        <f>IF(Base[[#This Row],[Pathologie]]&lt;&gt;"Dépendance",0,Base[[#This Row],['[SC']Coût_personne_dépendante]]*Base[[#This Row],['[SC']Nb_personnes_dépendantes]])</f>
        <v>0</v>
      </c>
      <c r="AP339" s="4">
        <f>IF(Base[[#This Row],[Pathologie]]&lt;&gt;"Dépendance",0,Base[[#This Row],['[SC']Coût_total_dépendance]]/Base[[#This Row],[Population_totale]])</f>
        <v>0</v>
      </c>
      <c r="AQ339" s="4">
        <f>IF(Base[[#This Row],[Pathologie]]&lt;&gt;"Dépendance",0,4.5)</f>
        <v>0</v>
      </c>
      <c r="AR339" s="4">
        <v>0.83987615528424797</v>
      </c>
      <c r="AS339" s="4">
        <f>Base[[#This Row],[Espérance_vie]]+Base[[#This Row],['[SC']Hausse_esp_de_vie]]-Base[[#This Row],['[SC']Durée_moyenne_dépendance_avt]]+Base[[#This Row],[Risque]]</f>
        <v>83.311582934057242</v>
      </c>
      <c r="AT3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39" s="4">
        <v>62.9</v>
      </c>
      <c r="AW339" s="4">
        <f t="shared" si="4"/>
        <v>336905600000</v>
      </c>
      <c r="AX339" s="4">
        <v>15049171</v>
      </c>
      <c r="AY339" s="4">
        <f>Base[[#This Row],['[SC']Budget_total_retraites]]/Base[[#This Row],['[SC']Nombre_de_retraités]]</f>
        <v>22386.987296509556</v>
      </c>
      <c r="AZ339" s="4">
        <f>Base[[#This Row],['[SC']Budget_par_retraité]]*Base[[#This Row],['[SC']Nb_personnes_dépendantes]]</f>
        <v>0</v>
      </c>
      <c r="BA339" s="4">
        <f>Base[[#This Row],['[SC']'[Dépendance']Coût_retraite_personnes_dépendantes]]/Base[[#This Row],[Population_totale]]</f>
        <v>0</v>
      </c>
      <c r="BB3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39" s="4">
        <f>Base[[#This Row],['[SC']'[Dépendance']Gains]]-Base[[#This Row],['[SC']'[Dépendance']Coûts]]</f>
        <v>0</v>
      </c>
      <c r="BD339" s="4">
        <f>IF(Base[[#This Row],[Pathologie]]&lt;&gt;"Mort prématurée",0,Base[[#This Row],[Risque]]*Base[[#This Row],[Prévalence]]*Base[[#This Row],[Population_totale]])</f>
        <v>0</v>
      </c>
      <c r="BE339" s="4">
        <v>52.74</v>
      </c>
      <c r="BF339" s="4">
        <f>Base[[#This Row],['[SC']Âge_moyen_retraite]]-Base[[#This Row],['[SC']'[Mort_prématurée']Âge_moyen_mort précoce]]</f>
        <v>10.159999999999997</v>
      </c>
      <c r="BG339" s="4">
        <f>Base[[#This Row],[Espérance_vie]]+Base[[#This Row],['[SC']Hausse_esp_de_vie]]-Base[[#This Row],['[SC']Âge_moyen_retraite]]</f>
        <v>20.236955218602098</v>
      </c>
      <c r="BH339" s="4">
        <v>106583.42676924677</v>
      </c>
      <c r="BI339" s="4">
        <v>97601.789429271477</v>
      </c>
      <c r="BJ339" s="4">
        <v>302038.31496633729</v>
      </c>
      <c r="BK339" s="4">
        <v>117293.58934859755</v>
      </c>
      <c r="BL339" s="4">
        <v>1523999.9999999995</v>
      </c>
      <c r="BM3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39" s="4">
        <v>294804.96027377353</v>
      </c>
      <c r="BO3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39" s="4">
        <f>(Base[[#This Row],['[SC']'[Mort_prématurée']Gains]]-Base[[#This Row],['[SC']'[Mort_prématurée']Coûts]])/Base[[#This Row],[Population_totale]]</f>
        <v>0</v>
      </c>
      <c r="BQ339" s="4">
        <f>IF(Base[[#This Row],[Pathologie]]&lt;&gt;"Mort prématurée",0,Base[[#This Row],[Risque]])</f>
        <v>0</v>
      </c>
      <c r="BR339" s="4">
        <v>2680</v>
      </c>
      <c r="BS3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39" s="4">
        <f>Base[[#This Row],[Prévalence_prod]]*(1-Base[[#This Row],[Risque]])*Base[[#This Row],[Durée_arrêt]]*Base[[#This Row],[Population_emploi]]</f>
        <v>6119788.0459513394</v>
      </c>
      <c r="BV339" s="4">
        <f>Base[[#This Row],['[Prod']'[Absentéisme']Total_jours_absence_avant]]-Base[[#This Row],['[Prod']'[Absentéisme']Total_jours_absence_après]]</f>
        <v>1294790.9998255819</v>
      </c>
      <c r="BW339" s="4">
        <f>IF(AND(Base[[#This Row],[Pathologie]]&lt;&gt;"Dépendance",Base[[#This Row],[Pathologie]]&lt;&gt;"Mort prématurée",Base[[#This Row],[Pathologie]]&lt;&gt;"Migraine"),0.0619,0)</f>
        <v>6.1899999999999997E-2</v>
      </c>
      <c r="BX339" s="4">
        <v>254</v>
      </c>
      <c r="BY33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39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39" s="4">
        <f>Base[[#This Row],[Prévalence_prod]]*Base[[#This Row],[Présentéisme]]*Base[[#This Row],['[Prod']Jours_ouvrés]]</f>
        <v>1.7912080000000001</v>
      </c>
      <c r="CB339" s="4">
        <f>Base[[#This Row],[Prévalence_prod]]*(1-Base[[#This Row],[Risque]])*Base[[#This Row],[Présentéisme]]*Base[[#This Row],['[Prod']Jours_ouvrés]]</f>
        <v>1.4784134390550281</v>
      </c>
      <c r="CC339" s="4">
        <f>Base[[#This Row],['[Prod']'[Présentéisme']Jours_avant]]-Base[[#This Row],['[Prod']'[Présentéisme']Jours_après]]</f>
        <v>0.31279456094497204</v>
      </c>
      <c r="CD339" s="4">
        <f>Base[[#This Row],['[Prod']'[Présentéisme']Jours_gagnés]]/Base[[#This Row],['[Prod']Jours_ouvrés]]</f>
        <v>1.2314746493896538E-3</v>
      </c>
      <c r="CE339">
        <v>7.5880726467531134E-2</v>
      </c>
      <c r="CF339">
        <v>1.989821358241517E-2</v>
      </c>
      <c r="CG339" s="4">
        <v>11</v>
      </c>
      <c r="CH339" s="4">
        <v>1.1593596509901765</v>
      </c>
      <c r="CI339" s="4">
        <v>4.0741311947357597E-2</v>
      </c>
      <c r="CJ339" s="4">
        <f>IF(Base[[#This Row],[Secteur]]&lt;&gt;"Moyenne",Base[[#This Row],['[Prod']'[Turnover']DMC_initiale]]*(1+Base[[#This Row],['[Prod']'[Turnover']Ecart_accidents]]*Base[[#This Row],['[Prod']Impact_motifs_turnover]]),CJ322*CI322+CJ323*CI323+CJ324*CI324+CJ325*CI325+CJ326*CI326+CJ327*CI327+CJ328*CI328+CJ329*CI329+CJ330*CI330+CJ331*CI331+CJ332*CI332+CJ333*CI333+CJ334*CI334+CJ335*CI335+CJ336*CI336+CJ337*CI337+CJ338*CI338)</f>
        <v>11.253761045496606</v>
      </c>
      <c r="CK339" s="4">
        <f>1/Base[[#This Row],['[Prod']'[Turnover']DMC_initiale]]</f>
        <v>9.0909090909090912E-2</v>
      </c>
      <c r="CL339" s="4">
        <f>1/Base[[#This Row],['[Prod']'[Turnover']DMC_finale]]</f>
        <v>8.8859181917690336E-2</v>
      </c>
    </row>
    <row r="340" spans="2:90" x14ac:dyDescent="0.25">
      <c r="B340" s="4" t="s">
        <v>332</v>
      </c>
      <c r="C340">
        <v>15</v>
      </c>
      <c r="D340" t="s">
        <v>83</v>
      </c>
      <c r="E340" t="s">
        <v>8</v>
      </c>
      <c r="F340" s="3">
        <v>0.17462771545514072</v>
      </c>
      <c r="G340" s="3">
        <v>4.1000000000000002E-2</v>
      </c>
      <c r="H340" s="3">
        <v>4.1000000000000002E-2</v>
      </c>
      <c r="I340" s="3">
        <v>0.17199999999999999</v>
      </c>
      <c r="J340" s="3">
        <v>3.8954334592466999</v>
      </c>
      <c r="K340" s="3">
        <v>7.0000000000000007E-2</v>
      </c>
      <c r="L340" s="2">
        <f>Base[[#This Row],[Coût]]*Base[[#This Row],[Part_ménages_dépenses_santé]]</f>
        <v>0.27268034214726899</v>
      </c>
      <c r="M340" s="2">
        <v>0.82690611956969029</v>
      </c>
      <c r="N340" s="6">
        <v>27700000</v>
      </c>
      <c r="O340" s="7">
        <f>Base[[#This Row],[Coût_salarié]]*10^9*Base[[#This Row],[Risque]]*Base[[#This Row],[Prévalence]]*Base[[#This Row],[Part_coûts_salarié]]/Base[[#This Row],[Population_emploi]]</f>
        <v>5.8281040450233614E-2</v>
      </c>
      <c r="P340">
        <v>50</v>
      </c>
      <c r="Q340">
        <v>50</v>
      </c>
      <c r="R340" s="2">
        <v>9.9999999999999978E-2</v>
      </c>
      <c r="S340" s="2">
        <v>0.33340000000000003</v>
      </c>
      <c r="T340" s="4">
        <v>4.1000000000000002E-2</v>
      </c>
      <c r="U340" s="4">
        <f>IF(Bases_annexes!$F$5=0,16.6587111018772,0.77*Bases_annexes!$F$5/(IF(OR(ISBLANK('Données_d''entrée'!$E$44),'Données_d''entrée'!$E$44=0),35,'Données_d''entrée'!$E$44)*52))</f>
        <v>16.658711101877199</v>
      </c>
      <c r="V340" s="4">
        <v>6.5286422873795198</v>
      </c>
      <c r="W3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2.7993192666343574</v>
      </c>
      <c r="X340" s="4">
        <v>234.5</v>
      </c>
      <c r="Y340" s="4">
        <f>(Base[[#This Row],['[Maladies']Coûts_évités_par_salarié]]+Base[[#This Row],['[Travail']Coûts_évités_par_salarié]])/Base[[#This Row],[Budget_santé_salarié]]</f>
        <v>1.2185928814859663E-2</v>
      </c>
      <c r="Z340" s="4">
        <v>0.8</v>
      </c>
      <c r="AA340" s="4">
        <f>Base[[#This Row],[Coût]]*Base[[#This Row],[Part_société_dépenses_santé]]</f>
        <v>3.1163467673973599</v>
      </c>
      <c r="AB340" s="4">
        <v>67635124</v>
      </c>
      <c r="AC340" s="4">
        <v>82.297079063317852</v>
      </c>
      <c r="AD340" s="4">
        <v>0.11599999999999999</v>
      </c>
      <c r="AE340" s="4">
        <f>Base[[#This Row],['[SC']Prévalence_travail]]*Base[[#This Row],[Population_emploi]]</f>
        <v>3213200</v>
      </c>
      <c r="AF340" s="4">
        <f>Base[[#This Row],[Risque]]*Base[[#This Row],['[SC']Patients_en_emploi]]</f>
        <v>561113.77530045819</v>
      </c>
      <c r="AG340" s="4">
        <v>552654220.25999999</v>
      </c>
      <c r="AH340" s="4">
        <f>IFERROR(Base[[#This Row],['[SC']Prestations]]/Base[[#This Row],['[SC']Patients_en_emploi]],0)</f>
        <v>171.99496460226564</v>
      </c>
      <c r="AI340" s="4">
        <v>51.7</v>
      </c>
      <c r="AJ3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96508743.920645937</v>
      </c>
      <c r="AK340" s="4">
        <f>Base[[#This Row],['[SC']'[Travail']Coûts_évités]]/Base[[#This Row],[Population_emploi]]</f>
        <v>3.4840701776406475</v>
      </c>
      <c r="AL340" s="4">
        <f>Base[[#This Row],[Coût_société]]*10^9*Base[[#This Row],[Risque]]*Base[[#This Row],[Prévalence]]*Base[[#This Row],[Part_coûts_salarié]]/Base[[#This Row],[Population_emploi]]</f>
        <v>0.66606903371695558</v>
      </c>
      <c r="AM340" s="4">
        <f>IF(Base[[#This Row],[Pathologie]]&lt;&gt;"Dépendance",0,14909.24243952)</f>
        <v>0</v>
      </c>
      <c r="AN340" s="4">
        <f>IF(Base[[#This Row],[Pathologie]]&lt;&gt;"Dépendance",0,1316000)</f>
        <v>0</v>
      </c>
      <c r="AO340" s="4">
        <f>IF(Base[[#This Row],[Pathologie]]&lt;&gt;"Dépendance",0,Base[[#This Row],['[SC']Coût_personne_dépendante]]*Base[[#This Row],['[SC']Nb_personnes_dépendantes]])</f>
        <v>0</v>
      </c>
      <c r="AP340" s="4">
        <f>IF(Base[[#This Row],[Pathologie]]&lt;&gt;"Dépendance",0,Base[[#This Row],['[SC']Coût_total_dépendance]]/Base[[#This Row],[Population_totale]])</f>
        <v>0</v>
      </c>
      <c r="AQ340" s="4">
        <f>IF(Base[[#This Row],[Pathologie]]&lt;&gt;"Dépendance",0,4.5)</f>
        <v>0</v>
      </c>
      <c r="AR340" s="4">
        <v>0.83987615528424797</v>
      </c>
      <c r="AS340" s="4">
        <f>Base[[#This Row],[Espérance_vie]]+Base[[#This Row],['[SC']Hausse_esp_de_vie]]-Base[[#This Row],['[SC']Durée_moyenne_dépendance_avt]]+Base[[#This Row],[Risque]]</f>
        <v>83.311582934057242</v>
      </c>
      <c r="AT3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0" s="4">
        <v>62.9</v>
      </c>
      <c r="AW340" s="4">
        <f t="shared" si="4"/>
        <v>336905600000</v>
      </c>
      <c r="AX340" s="4">
        <v>15049171</v>
      </c>
      <c r="AY340" s="4">
        <f>Base[[#This Row],['[SC']Budget_total_retraites]]/Base[[#This Row],['[SC']Nombre_de_retraités]]</f>
        <v>22386.987296509556</v>
      </c>
      <c r="AZ340" s="4">
        <f>Base[[#This Row],['[SC']Budget_par_retraité]]*Base[[#This Row],['[SC']Nb_personnes_dépendantes]]</f>
        <v>0</v>
      </c>
      <c r="BA340" s="4">
        <f>Base[[#This Row],['[SC']'[Dépendance']Coût_retraite_personnes_dépendantes]]/Base[[#This Row],[Population_totale]]</f>
        <v>0</v>
      </c>
      <c r="BB3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0" s="4">
        <f>Base[[#This Row],['[SC']'[Dépendance']Gains]]-Base[[#This Row],['[SC']'[Dépendance']Coûts]]</f>
        <v>0</v>
      </c>
      <c r="BD340" s="4">
        <f>IF(Base[[#This Row],[Pathologie]]&lt;&gt;"Mort prématurée",0,Base[[#This Row],[Risque]]*Base[[#This Row],[Prévalence]]*Base[[#This Row],[Population_totale]])</f>
        <v>0</v>
      </c>
      <c r="BE340" s="4">
        <v>52.74</v>
      </c>
      <c r="BF340" s="4">
        <f>Base[[#This Row],['[SC']Âge_moyen_retraite]]-Base[[#This Row],['[SC']'[Mort_prématurée']Âge_moyen_mort précoce]]</f>
        <v>10.159999999999997</v>
      </c>
      <c r="BG340" s="4">
        <f>Base[[#This Row],[Espérance_vie]]+Base[[#This Row],['[SC']Hausse_esp_de_vie]]-Base[[#This Row],['[SC']Âge_moyen_retraite]]</f>
        <v>20.236955218602098</v>
      </c>
      <c r="BH340" s="4">
        <v>106583.42676924677</v>
      </c>
      <c r="BI340" s="4">
        <v>97601.789429271477</v>
      </c>
      <c r="BJ340" s="4">
        <v>302038.31496633729</v>
      </c>
      <c r="BK340" s="4">
        <v>117293.58934859755</v>
      </c>
      <c r="BL340" s="4">
        <v>1523999.9999999995</v>
      </c>
      <c r="BM3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0" s="4">
        <v>294804.96027377353</v>
      </c>
      <c r="BO3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0" s="4">
        <f>(Base[[#This Row],['[SC']'[Mort_prématurée']Gains]]-Base[[#This Row],['[SC']'[Mort_prématurée']Coûts]])/Base[[#This Row],[Population_totale]]</f>
        <v>0</v>
      </c>
      <c r="BQ340" s="4">
        <f>IF(Base[[#This Row],[Pathologie]]&lt;&gt;"Mort prématurée",0,Base[[#This Row],[Risque]])</f>
        <v>0</v>
      </c>
      <c r="BR340" s="4">
        <v>2680</v>
      </c>
      <c r="BS3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1.5485594072229862E-3</v>
      </c>
      <c r="BT3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340" s="4">
        <f>Base[[#This Row],[Prévalence_prod]]*(1-Base[[#This Row],[Risque]])*Base[[#This Row],[Durée_arrêt]]*Base[[#This Row],[Population_emploi]]</f>
        <v>6119788.0459513394</v>
      </c>
      <c r="BV340" s="4">
        <f>Base[[#This Row],['[Prod']'[Absentéisme']Total_jours_absence_avant]]-Base[[#This Row],['[Prod']'[Absentéisme']Total_jours_absence_après]]</f>
        <v>1294790.9998255819</v>
      </c>
      <c r="BW340" s="4">
        <f>IF(AND(Base[[#This Row],[Pathologie]]&lt;&gt;"Dépendance",Base[[#This Row],[Pathologie]]&lt;&gt;"Mort prématurée",Base[[#This Row],[Pathologie]]&lt;&gt;"Migraine"),0.0619,0)</f>
        <v>6.1899999999999997E-2</v>
      </c>
      <c r="BX340" s="4">
        <v>254</v>
      </c>
      <c r="BY34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340" s="4">
        <f>(Base[[#This Row],['[Prod']'[Absentéisme']Jours_théoriques]]-Base[[#This Row],['[Prod']'[Absentéisme']Total_jours_absence_évités]])/(Base[[#This Row],[Population_emploi]]*Base[[#This Row],['[Prod']Jours_ouvrés]])</f>
        <v>1.9906218391181002E-3</v>
      </c>
      <c r="CA340" s="4">
        <f>Base[[#This Row],[Prévalence_prod]]*Base[[#This Row],[Présentéisme]]*Base[[#This Row],['[Prod']Jours_ouvrés]]</f>
        <v>1.7912080000000001</v>
      </c>
      <c r="CB340" s="4">
        <f>Base[[#This Row],[Prévalence_prod]]*(1-Base[[#This Row],[Risque]])*Base[[#This Row],[Présentéisme]]*Base[[#This Row],['[Prod']Jours_ouvrés]]</f>
        <v>1.4784134390550281</v>
      </c>
      <c r="CC340" s="4">
        <f>Base[[#This Row],['[Prod']'[Présentéisme']Jours_avant]]-Base[[#This Row],['[Prod']'[Présentéisme']Jours_après]]</f>
        <v>0.31279456094497204</v>
      </c>
      <c r="CD340" s="4">
        <f>Base[[#This Row],['[Prod']'[Présentéisme']Jours_gagnés]]/Base[[#This Row],['[Prod']Jours_ouvrés]]</f>
        <v>1.2314746493896538E-3</v>
      </c>
      <c r="CE340">
        <v>7.5880726467531134E-2</v>
      </c>
      <c r="CF340">
        <v>1.989821358241517E-2</v>
      </c>
      <c r="CG340" s="4">
        <v>11</v>
      </c>
      <c r="CH340" s="4">
        <v>0.85076983926913452</v>
      </c>
      <c r="CI340" s="4">
        <v>0</v>
      </c>
      <c r="CJ340" s="4">
        <f>IF(Base[[#This Row],[Secteur]]&lt;&gt;"Moyenne",Base[[#This Row],['[Prod']'[Turnover']DMC_initiale]]*(1+Base[[#This Row],['[Prod']'[Turnover']Ecart_accidents]]*Base[[#This Row],['[Prod']Impact_motifs_turnover]]),CJ323*CI323+CJ324*CI324+CJ325*CI325+CJ326*CI326+CJ327*CI327+CJ328*CI328+CJ329*CI329+CJ330*CI330+CJ331*CI331+CJ332*CI332+CJ333*CI333+CJ334*CI334+CJ335*CI335+CJ336*CI336+CJ337*CI337+CJ338*CI338+CJ339*CI339)</f>
        <v>11.186216799683796</v>
      </c>
      <c r="CK340" s="4">
        <f>1/Base[[#This Row],['[Prod']'[Turnover']DMC_initiale]]</f>
        <v>9.0909090909090912E-2</v>
      </c>
      <c r="CL340" s="4">
        <f>1/Base[[#This Row],['[Prod']'[Turnover']DMC_finale]]</f>
        <v>8.9395728502979416E-2</v>
      </c>
    </row>
    <row r="341" spans="2:90" x14ac:dyDescent="0.25">
      <c r="B341" s="4" t="s">
        <v>315</v>
      </c>
      <c r="C341">
        <v>15</v>
      </c>
      <c r="D341" t="s">
        <v>83</v>
      </c>
      <c r="E341" t="s">
        <v>9</v>
      </c>
      <c r="F341" s="3">
        <v>0.18294332095300453</v>
      </c>
      <c r="G341" s="3">
        <v>0.14499999999999999</v>
      </c>
      <c r="H341" s="3">
        <v>0.14499999999999999</v>
      </c>
      <c r="I341" s="3">
        <v>0.153</v>
      </c>
      <c r="J341" s="3">
        <v>29.93</v>
      </c>
      <c r="K341" s="3">
        <v>7.0000000000000007E-2</v>
      </c>
      <c r="L341" s="2">
        <f>Base[[#This Row],[Coût]]*Base[[#This Row],[Part_ménages_dépenses_santé]]</f>
        <v>2.0951</v>
      </c>
      <c r="M341" s="2">
        <v>0.82690611956969029</v>
      </c>
      <c r="N341" s="6">
        <v>27700000</v>
      </c>
      <c r="O341" s="7">
        <f>Base[[#This Row],[Coût_salarié]]*10^9*Base[[#This Row],[Risque]]*Base[[#This Row],[Prévalence]]*Base[[#This Row],[Part_coûts_salarié]]/Base[[#This Row],[Population_emploi]]</f>
        <v>1.6590739890735007</v>
      </c>
      <c r="P341">
        <v>50</v>
      </c>
      <c r="Q341">
        <v>50</v>
      </c>
      <c r="R341" s="2">
        <v>9.9999999999999978E-2</v>
      </c>
      <c r="S341" s="2">
        <v>0.33340000000000003</v>
      </c>
      <c r="T341" s="4">
        <v>0.14499999999999999</v>
      </c>
      <c r="U341" s="4">
        <f>IF(Bases_annexes!$F$5=0,16.6587111018772,0.77*Bases_annexes!$F$5/(IF(OR(ISBLANK('Données_d''entrée'!$E$44),'Données_d''entrée'!$E$44=0),35,'Données_d''entrée'!$E$44)*52))</f>
        <v>16.658711101877199</v>
      </c>
      <c r="V341" s="4">
        <v>17.7120401072847</v>
      </c>
      <c r="W3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1" s="4">
        <v>234.5</v>
      </c>
      <c r="Y341" s="4">
        <f>(Base[[#This Row],['[Maladies']Coûts_évités_par_salarié]]+Base[[#This Row],['[Travail']Coûts_évités_par_salarié]])/Base[[#This Row],[Budget_santé_salarié]]</f>
        <v>6.6055060309971547E-2</v>
      </c>
      <c r="Z341" s="4">
        <v>0.8</v>
      </c>
      <c r="AA341" s="4">
        <f>Base[[#This Row],[Coût]]*Base[[#This Row],[Part_société_dépenses_santé]]</f>
        <v>23.944000000000003</v>
      </c>
      <c r="AB341" s="4">
        <v>67635124</v>
      </c>
      <c r="AC341" s="4">
        <v>82.297079063317852</v>
      </c>
      <c r="AD341" s="4">
        <v>0.14499999999999999</v>
      </c>
      <c r="AE341" s="4">
        <f>Base[[#This Row],['[SC']Prévalence_travail]]*Base[[#This Row],[Population_emploi]]</f>
        <v>4016499.9999999995</v>
      </c>
      <c r="AF341" s="4">
        <f>Base[[#This Row],[Risque]]*Base[[#This Row],['[SC']Patients_en_emploi]]</f>
        <v>734791.84860774258</v>
      </c>
      <c r="AG341" s="4">
        <v>5730042552.54</v>
      </c>
      <c r="AH341" s="4">
        <f>IFERROR(Base[[#This Row],['[SC']Prestations]]/Base[[#This Row],['[SC']Patients_en_emploi]],0)</f>
        <v>1426.625806682435</v>
      </c>
      <c r="AI341" s="4">
        <v>51.7</v>
      </c>
      <c r="AJ3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1" s="4">
        <f>Base[[#This Row],['[SC']'[Travail']Coûts_évités]]/Base[[#This Row],[Population_emploi]]</f>
        <v>37.84379111060283</v>
      </c>
      <c r="AL341" s="4">
        <f>Base[[#This Row],[Coût_société]]*10^9*Base[[#This Row],[Risque]]*Base[[#This Row],[Prévalence]]*Base[[#This Row],[Part_coûts_salarié]]/Base[[#This Row],[Population_emploi]]</f>
        <v>18.960845589411438</v>
      </c>
      <c r="AM341" s="4">
        <f>IF(Base[[#This Row],[Pathologie]]&lt;&gt;"Dépendance",0,14909.24243952)</f>
        <v>0</v>
      </c>
      <c r="AN341" s="4">
        <f>IF(Base[[#This Row],[Pathologie]]&lt;&gt;"Dépendance",0,1316000)</f>
        <v>0</v>
      </c>
      <c r="AO341" s="4">
        <f>IF(Base[[#This Row],[Pathologie]]&lt;&gt;"Dépendance",0,Base[[#This Row],['[SC']Coût_personne_dépendante]]*Base[[#This Row],['[SC']Nb_personnes_dépendantes]])</f>
        <v>0</v>
      </c>
      <c r="AP341" s="4">
        <f>IF(Base[[#This Row],[Pathologie]]&lt;&gt;"Dépendance",0,Base[[#This Row],['[SC']Coût_total_dépendance]]/Base[[#This Row],[Population_totale]])</f>
        <v>0</v>
      </c>
      <c r="AQ341" s="4">
        <f>IF(Base[[#This Row],[Pathologie]]&lt;&gt;"Dépendance",0,4.5)</f>
        <v>0</v>
      </c>
      <c r="AR341" s="4">
        <v>0.83987615528424797</v>
      </c>
      <c r="AS341" s="4">
        <f>Base[[#This Row],[Espérance_vie]]+Base[[#This Row],['[SC']Hausse_esp_de_vie]]-Base[[#This Row],['[SC']Durée_moyenne_dépendance_avt]]+Base[[#This Row],[Risque]]</f>
        <v>83.319898539555098</v>
      </c>
      <c r="AT3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1" s="4">
        <v>62.9</v>
      </c>
      <c r="AW341" s="4">
        <f t="shared" si="0"/>
        <v>336905600000</v>
      </c>
      <c r="AX341" s="4">
        <v>15049171</v>
      </c>
      <c r="AY341" s="4">
        <f>Base[[#This Row],['[SC']Budget_total_retraites]]/Base[[#This Row],['[SC']Nombre_de_retraités]]</f>
        <v>22386.987296509556</v>
      </c>
      <c r="AZ341" s="4">
        <f>Base[[#This Row],['[SC']Budget_par_retraité]]*Base[[#This Row],['[SC']Nb_personnes_dépendantes]]</f>
        <v>0</v>
      </c>
      <c r="BA341" s="4">
        <f>Base[[#This Row],['[SC']'[Dépendance']Coût_retraite_personnes_dépendantes]]/Base[[#This Row],[Population_totale]]</f>
        <v>0</v>
      </c>
      <c r="BB3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1" s="4">
        <f>Base[[#This Row],['[SC']'[Dépendance']Gains]]-Base[[#This Row],['[SC']'[Dépendance']Coûts]]</f>
        <v>0</v>
      </c>
      <c r="BD341" s="4">
        <f>IF(Base[[#This Row],[Pathologie]]&lt;&gt;"Mort prématurée",0,Base[[#This Row],[Risque]]*Base[[#This Row],[Prévalence]]*Base[[#This Row],[Population_totale]])</f>
        <v>0</v>
      </c>
      <c r="BE341" s="4">
        <v>52.74</v>
      </c>
      <c r="BF341" s="4">
        <f>Base[[#This Row],['[SC']Âge_moyen_retraite]]-Base[[#This Row],['[SC']'[Mort_prématurée']Âge_moyen_mort précoce]]</f>
        <v>10.159999999999997</v>
      </c>
      <c r="BG341" s="4">
        <f>Base[[#This Row],[Espérance_vie]]+Base[[#This Row],['[SC']Hausse_esp_de_vie]]-Base[[#This Row],['[SC']Âge_moyen_retraite]]</f>
        <v>20.236955218602098</v>
      </c>
      <c r="BH341" s="4">
        <v>106583.42676924677</v>
      </c>
      <c r="BI341" s="4">
        <v>97601.789429271477</v>
      </c>
      <c r="BJ341" s="4">
        <v>302038.31496633729</v>
      </c>
      <c r="BK341" s="4">
        <v>117293.58934859755</v>
      </c>
      <c r="BL341" s="4">
        <v>1523999.9999999995</v>
      </c>
      <c r="BM3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1" s="4">
        <v>294804.96027377353</v>
      </c>
      <c r="BO3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1" s="4">
        <f>(Base[[#This Row],['[SC']'[Mort_prématurée']Gains]]-Base[[#This Row],['[SC']'[Mort_prématurée']Coûts]])/Base[[#This Row],[Population_totale]]</f>
        <v>0</v>
      </c>
      <c r="BQ341" s="4">
        <f>IF(Base[[#This Row],[Pathologie]]&lt;&gt;"Mort prématurée",0,Base[[#This Row],[Risque]])</f>
        <v>0</v>
      </c>
      <c r="BR341" s="4">
        <v>2680</v>
      </c>
      <c r="BS3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1" s="4">
        <f>Base[[#This Row],[Prévalence_prod]]*(1-Base[[#This Row],[Risque]])*Base[[#This Row],[Durée_arrêt]]*Base[[#This Row],[Population_emploi]]</f>
        <v>58125746.397862785</v>
      </c>
      <c r="BV341" s="4">
        <f>Base[[#This Row],['[Prod']'[Absentéisme']Total_jours_absence_avant]]-Base[[#This Row],['[Prod']'[Absentéisme']Total_jours_absence_après]]</f>
        <v>13014662.693046205</v>
      </c>
      <c r="BW341" s="4">
        <f>IF(AND(Base[[#This Row],[Pathologie]]&lt;&gt;"Dépendance",Base[[#This Row],[Pathologie]]&lt;&gt;"Mort prématurée",Base[[#This Row],[Pathologie]]&lt;&gt;"Migraine"),0.0619,0)</f>
        <v>6.1899999999999997E-2</v>
      </c>
      <c r="BX341" s="4">
        <v>254</v>
      </c>
      <c r="BY34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1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1" s="4">
        <f>Base[[#This Row],[Prévalence_prod]]*Base[[#This Row],[Présentéisme]]*Base[[#This Row],['[Prod']Jours_ouvrés]]</f>
        <v>5.6349899999999993</v>
      </c>
      <c r="CB341" s="4">
        <f>Base[[#This Row],[Prévalence_prod]]*(1-Base[[#This Row],[Risque]])*Base[[#This Row],[Présentéisme]]*Base[[#This Row],['[Prod']Jours_ouvrés]]</f>
        <v>4.6041062158630286</v>
      </c>
      <c r="CC341" s="4">
        <f>Base[[#This Row],['[Prod']'[Présentéisme']Jours_avant]]-Base[[#This Row],['[Prod']'[Présentéisme']Jours_après]]</f>
        <v>1.0308837841369707</v>
      </c>
      <c r="CD341" s="4">
        <f>Base[[#This Row],['[Prod']'[Présentéisme']Jours_gagnés]]/Base[[#This Row],['[Prod']Jours_ouvrés]]</f>
        <v>4.0585975753424045E-3</v>
      </c>
      <c r="CE341">
        <v>7.5880726467531134E-2</v>
      </c>
      <c r="CF341">
        <v>1.989821358241517E-2</v>
      </c>
      <c r="CG341" s="4">
        <v>11</v>
      </c>
      <c r="CH341" s="4">
        <v>1.3966184516047948</v>
      </c>
      <c r="CI341" s="4">
        <v>1.4392894727292521E-2</v>
      </c>
      <c r="CJ341" s="4">
        <f>IF(Base[[#This Row],[Secteur]]&lt;&gt;"Moyenne",Base[[#This Row],['[Prod']'[Turnover']DMC_initiale]]*(1+Base[[#This Row],['[Prod']'[Turnover']Ecart_accidents]]*Base[[#This Row],['[Prod']Impact_motifs_turnover]]),CJ324*CI324+CJ325*CI325+CJ326*CI326+CJ327*CI327+CJ328*CI328+CJ329*CI329+CJ330*CI330+CJ331*CI331+CJ332*CI332+CJ333*CI333+CJ334*CI334+CJ335*CI335+CJ336*CI336+CJ337*CI337+CJ338*CI338+CJ339*CI339+CJ340*CI340)</f>
        <v>11.305692334674916</v>
      </c>
      <c r="CK341" s="4">
        <f>1/Base[[#This Row],['[Prod']'[Turnover']DMC_initiale]]</f>
        <v>9.0909090909090912E-2</v>
      </c>
      <c r="CL341" s="4">
        <f>1/Base[[#This Row],['[Prod']'[Turnover']DMC_finale]]</f>
        <v>8.8451018336397527E-2</v>
      </c>
    </row>
    <row r="342" spans="2:90" x14ac:dyDescent="0.25">
      <c r="B342" s="4" t="s">
        <v>316</v>
      </c>
      <c r="C342">
        <v>15</v>
      </c>
      <c r="D342" t="s">
        <v>83</v>
      </c>
      <c r="E342" t="s">
        <v>9</v>
      </c>
      <c r="F342" s="3">
        <v>0.18294332095300453</v>
      </c>
      <c r="G342" s="3">
        <v>0.14499999999999999</v>
      </c>
      <c r="H342" s="3">
        <v>0.14499999999999999</v>
      </c>
      <c r="I342" s="3">
        <v>0.153</v>
      </c>
      <c r="J342" s="3">
        <v>29.93</v>
      </c>
      <c r="K342" s="3">
        <v>7.0000000000000007E-2</v>
      </c>
      <c r="L342" s="2">
        <f>Base[[#This Row],[Coût]]*Base[[#This Row],[Part_ménages_dépenses_santé]]</f>
        <v>2.0951</v>
      </c>
      <c r="M342" s="2">
        <v>0.82690611956969029</v>
      </c>
      <c r="N342" s="6">
        <v>27700000</v>
      </c>
      <c r="O342" s="7">
        <f>Base[[#This Row],[Coût_salarié]]*10^9*Base[[#This Row],[Risque]]*Base[[#This Row],[Prévalence]]*Base[[#This Row],[Part_coûts_salarié]]/Base[[#This Row],[Population_emploi]]</f>
        <v>1.6590739890735007</v>
      </c>
      <c r="P342">
        <v>50</v>
      </c>
      <c r="Q342">
        <v>50</v>
      </c>
      <c r="R342" s="2">
        <v>9.9999999999999978E-2</v>
      </c>
      <c r="S342" s="2">
        <v>0.33340000000000003</v>
      </c>
      <c r="T342" s="4">
        <v>0.14499999999999999</v>
      </c>
      <c r="U342" s="4">
        <f>IF(Bases_annexes!$F$5=0,16.6587111018772,0.77*Bases_annexes!$F$5/(IF(OR(ISBLANK('Données_d''entrée'!$E$44),'Données_d''entrée'!$E$44=0),35,'Données_d''entrée'!$E$44)*52))</f>
        <v>16.658711101877199</v>
      </c>
      <c r="V342" s="4">
        <v>17.7120401072847</v>
      </c>
      <c r="W3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2" s="4">
        <v>234.5</v>
      </c>
      <c r="Y342" s="4">
        <f>(Base[[#This Row],['[Maladies']Coûts_évités_par_salarié]]+Base[[#This Row],['[Travail']Coûts_évités_par_salarié]])/Base[[#This Row],[Budget_santé_salarié]]</f>
        <v>6.6055060309971547E-2</v>
      </c>
      <c r="Z342" s="4">
        <v>0.8</v>
      </c>
      <c r="AA342" s="4">
        <f>Base[[#This Row],[Coût]]*Base[[#This Row],[Part_société_dépenses_santé]]</f>
        <v>23.944000000000003</v>
      </c>
      <c r="AB342" s="4">
        <v>67635124</v>
      </c>
      <c r="AC342" s="4">
        <v>82.297079063317852</v>
      </c>
      <c r="AD342" s="4">
        <v>0.14499999999999999</v>
      </c>
      <c r="AE342" s="4">
        <f>Base[[#This Row],['[SC']Prévalence_travail]]*Base[[#This Row],[Population_emploi]]</f>
        <v>4016499.9999999995</v>
      </c>
      <c r="AF342" s="4">
        <f>Base[[#This Row],[Risque]]*Base[[#This Row],['[SC']Patients_en_emploi]]</f>
        <v>734791.84860774258</v>
      </c>
      <c r="AG342" s="4">
        <v>5730042552.54</v>
      </c>
      <c r="AH342" s="4">
        <f>IFERROR(Base[[#This Row],['[SC']Prestations]]/Base[[#This Row],['[SC']Patients_en_emploi]],0)</f>
        <v>1426.625806682435</v>
      </c>
      <c r="AI342" s="4">
        <v>51.7</v>
      </c>
      <c r="AJ3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2" s="4">
        <f>Base[[#This Row],['[SC']'[Travail']Coûts_évités]]/Base[[#This Row],[Population_emploi]]</f>
        <v>37.84379111060283</v>
      </c>
      <c r="AL342" s="4">
        <f>Base[[#This Row],[Coût_société]]*10^9*Base[[#This Row],[Risque]]*Base[[#This Row],[Prévalence]]*Base[[#This Row],[Part_coûts_salarié]]/Base[[#This Row],[Population_emploi]]</f>
        <v>18.960845589411438</v>
      </c>
      <c r="AM342" s="4">
        <f>IF(Base[[#This Row],[Pathologie]]&lt;&gt;"Dépendance",0,14909.24243952)</f>
        <v>0</v>
      </c>
      <c r="AN342" s="4">
        <f>IF(Base[[#This Row],[Pathologie]]&lt;&gt;"Dépendance",0,1316000)</f>
        <v>0</v>
      </c>
      <c r="AO342" s="4">
        <f>IF(Base[[#This Row],[Pathologie]]&lt;&gt;"Dépendance",0,Base[[#This Row],['[SC']Coût_personne_dépendante]]*Base[[#This Row],['[SC']Nb_personnes_dépendantes]])</f>
        <v>0</v>
      </c>
      <c r="AP342" s="4">
        <f>IF(Base[[#This Row],[Pathologie]]&lt;&gt;"Dépendance",0,Base[[#This Row],['[SC']Coût_total_dépendance]]/Base[[#This Row],[Population_totale]])</f>
        <v>0</v>
      </c>
      <c r="AQ342" s="4">
        <f>IF(Base[[#This Row],[Pathologie]]&lt;&gt;"Dépendance",0,4.5)</f>
        <v>0</v>
      </c>
      <c r="AR342" s="4">
        <v>0.83987615528424797</v>
      </c>
      <c r="AS342" s="4">
        <f>Base[[#This Row],[Espérance_vie]]+Base[[#This Row],['[SC']Hausse_esp_de_vie]]-Base[[#This Row],['[SC']Durée_moyenne_dépendance_avt]]+Base[[#This Row],[Risque]]</f>
        <v>83.319898539555098</v>
      </c>
      <c r="AT3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2" s="4">
        <v>62.9</v>
      </c>
      <c r="AW342" s="4">
        <f t="shared" ref="AW342:AW358" si="5">336905600000</f>
        <v>336905600000</v>
      </c>
      <c r="AX342" s="4">
        <v>15049171</v>
      </c>
      <c r="AY342" s="4">
        <f>Base[[#This Row],['[SC']Budget_total_retraites]]/Base[[#This Row],['[SC']Nombre_de_retraités]]</f>
        <v>22386.987296509556</v>
      </c>
      <c r="AZ342" s="4">
        <f>Base[[#This Row],['[SC']Budget_par_retraité]]*Base[[#This Row],['[SC']Nb_personnes_dépendantes]]</f>
        <v>0</v>
      </c>
      <c r="BA342" s="4">
        <f>Base[[#This Row],['[SC']'[Dépendance']Coût_retraite_personnes_dépendantes]]/Base[[#This Row],[Population_totale]]</f>
        <v>0</v>
      </c>
      <c r="BB3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2" s="4">
        <f>Base[[#This Row],['[SC']'[Dépendance']Gains]]-Base[[#This Row],['[SC']'[Dépendance']Coûts]]</f>
        <v>0</v>
      </c>
      <c r="BD342" s="4">
        <f>IF(Base[[#This Row],[Pathologie]]&lt;&gt;"Mort prématurée",0,Base[[#This Row],[Risque]]*Base[[#This Row],[Prévalence]]*Base[[#This Row],[Population_totale]])</f>
        <v>0</v>
      </c>
      <c r="BE342" s="4">
        <v>52.74</v>
      </c>
      <c r="BF342" s="4">
        <f>Base[[#This Row],['[SC']Âge_moyen_retraite]]-Base[[#This Row],['[SC']'[Mort_prématurée']Âge_moyen_mort précoce]]</f>
        <v>10.159999999999997</v>
      </c>
      <c r="BG342" s="4">
        <f>Base[[#This Row],[Espérance_vie]]+Base[[#This Row],['[SC']Hausse_esp_de_vie]]-Base[[#This Row],['[SC']Âge_moyen_retraite]]</f>
        <v>20.236955218602098</v>
      </c>
      <c r="BH342" s="4">
        <v>106583.42676924677</v>
      </c>
      <c r="BI342" s="4">
        <v>97601.789429271477</v>
      </c>
      <c r="BJ342" s="4">
        <v>302038.31496633729</v>
      </c>
      <c r="BK342" s="4">
        <v>117293.58934859755</v>
      </c>
      <c r="BL342" s="4">
        <v>1523999.9999999995</v>
      </c>
      <c r="BM3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2" s="4">
        <v>294804.96027377353</v>
      </c>
      <c r="BO3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2" s="4">
        <f>(Base[[#This Row],['[SC']'[Mort_prématurée']Gains]]-Base[[#This Row],['[SC']'[Mort_prématurée']Coûts]])/Base[[#This Row],[Population_totale]]</f>
        <v>0</v>
      </c>
      <c r="BQ342" s="4">
        <f>IF(Base[[#This Row],[Pathologie]]&lt;&gt;"Mort prématurée",0,Base[[#This Row],[Risque]])</f>
        <v>0</v>
      </c>
      <c r="BR342" s="4">
        <v>2680</v>
      </c>
      <c r="BS3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2" s="4">
        <f>Base[[#This Row],[Prévalence_prod]]*(1-Base[[#This Row],[Risque]])*Base[[#This Row],[Durée_arrêt]]*Base[[#This Row],[Population_emploi]]</f>
        <v>58125746.397862785</v>
      </c>
      <c r="BV342" s="4">
        <f>Base[[#This Row],['[Prod']'[Absentéisme']Total_jours_absence_avant]]-Base[[#This Row],['[Prod']'[Absentéisme']Total_jours_absence_après]]</f>
        <v>13014662.693046205</v>
      </c>
      <c r="BW342" s="4">
        <f>IF(AND(Base[[#This Row],[Pathologie]]&lt;&gt;"Dépendance",Base[[#This Row],[Pathologie]]&lt;&gt;"Mort prématurée",Base[[#This Row],[Pathologie]]&lt;&gt;"Migraine"),0.0619,0)</f>
        <v>6.1899999999999997E-2</v>
      </c>
      <c r="BX342" s="4">
        <v>254</v>
      </c>
      <c r="BY34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2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2" s="4">
        <f>Base[[#This Row],[Prévalence_prod]]*Base[[#This Row],[Présentéisme]]*Base[[#This Row],['[Prod']Jours_ouvrés]]</f>
        <v>5.6349899999999993</v>
      </c>
      <c r="CB342" s="4">
        <f>Base[[#This Row],[Prévalence_prod]]*(1-Base[[#This Row],[Risque]])*Base[[#This Row],[Présentéisme]]*Base[[#This Row],['[Prod']Jours_ouvrés]]</f>
        <v>4.6041062158630286</v>
      </c>
      <c r="CC342" s="4">
        <f>Base[[#This Row],['[Prod']'[Présentéisme']Jours_avant]]-Base[[#This Row],['[Prod']'[Présentéisme']Jours_après]]</f>
        <v>1.0308837841369707</v>
      </c>
      <c r="CD342" s="4">
        <f>Base[[#This Row],['[Prod']'[Présentéisme']Jours_gagnés]]/Base[[#This Row],['[Prod']Jours_ouvrés]]</f>
        <v>4.0585975753424045E-3</v>
      </c>
      <c r="CE342">
        <v>7.5880726467531134E-2</v>
      </c>
      <c r="CF342">
        <v>1.989821358241517E-2</v>
      </c>
      <c r="CG342" s="4">
        <v>11</v>
      </c>
      <c r="CH342" s="4">
        <v>0.68054183762612652</v>
      </c>
      <c r="CI342" s="4">
        <v>1.2135452577082654E-2</v>
      </c>
      <c r="CJ342" s="4">
        <f>IF(Base[[#This Row],[Secteur]]&lt;&gt;"Moyenne",Base[[#This Row],['[Prod']'[Turnover']DMC_initiale]]*(1+Base[[#This Row],['[Prod']'[Turnover']Ecart_accidents]]*Base[[#This Row],['[Prod']Impact_motifs_turnover]]),CJ325*CI325+CJ326*CI326+CJ327*CI327+CJ328*CI328+CJ329*CI329+CJ330*CI330+CJ331*CI331+CJ332*CI332+CJ333*CI333+CJ334*CI334+CJ335*CI335+CJ336*CI336+CJ337*CI337+CJ338*CI338+CJ339*CI339+CJ340*CI340+CJ341*CI341)</f>
        <v>11.148957235205394</v>
      </c>
      <c r="CK342" s="4">
        <f>1/Base[[#This Row],['[Prod']'[Turnover']DMC_initiale]]</f>
        <v>9.0909090909090912E-2</v>
      </c>
      <c r="CL342" s="4">
        <f>1/Base[[#This Row],['[Prod']'[Turnover']DMC_finale]]</f>
        <v>8.9694487018236124E-2</v>
      </c>
    </row>
    <row r="343" spans="2:90" x14ac:dyDescent="0.25">
      <c r="B343" s="4" t="s">
        <v>317</v>
      </c>
      <c r="C343">
        <v>15</v>
      </c>
      <c r="D343" t="s">
        <v>83</v>
      </c>
      <c r="E343" t="s">
        <v>9</v>
      </c>
      <c r="F343" s="3">
        <v>0.18294332095300453</v>
      </c>
      <c r="G343" s="3">
        <v>0.14499999999999999</v>
      </c>
      <c r="H343" s="3">
        <v>0.14499999999999999</v>
      </c>
      <c r="I343" s="3">
        <v>0.153</v>
      </c>
      <c r="J343" s="3">
        <v>29.93</v>
      </c>
      <c r="K343" s="3">
        <v>7.0000000000000007E-2</v>
      </c>
      <c r="L343" s="2">
        <f>Base[[#This Row],[Coût]]*Base[[#This Row],[Part_ménages_dépenses_santé]]</f>
        <v>2.0951</v>
      </c>
      <c r="M343" s="2">
        <v>0.82690611956969029</v>
      </c>
      <c r="N343" s="6">
        <v>27700000</v>
      </c>
      <c r="O343" s="7">
        <f>Base[[#This Row],[Coût_salarié]]*10^9*Base[[#This Row],[Risque]]*Base[[#This Row],[Prévalence]]*Base[[#This Row],[Part_coûts_salarié]]/Base[[#This Row],[Population_emploi]]</f>
        <v>1.6590739890735007</v>
      </c>
      <c r="P343">
        <v>50</v>
      </c>
      <c r="Q343">
        <v>50</v>
      </c>
      <c r="R343" s="2">
        <v>9.9999999999999978E-2</v>
      </c>
      <c r="S343" s="2">
        <v>0.33340000000000003</v>
      </c>
      <c r="T343" s="4">
        <v>0.14499999999999999</v>
      </c>
      <c r="U343" s="4">
        <f>IF(Bases_annexes!$F$5=0,16.6587111018772,0.77*Bases_annexes!$F$5/(IF(OR(ISBLANK('Données_d''entrée'!$E$44),'Données_d''entrée'!$E$44=0),35,'Données_d''entrée'!$E$44)*52))</f>
        <v>16.658711101877199</v>
      </c>
      <c r="V343" s="4">
        <v>17.7120401072847</v>
      </c>
      <c r="W3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3" s="4">
        <v>234.5</v>
      </c>
      <c r="Y343" s="4">
        <f>(Base[[#This Row],['[Maladies']Coûts_évités_par_salarié]]+Base[[#This Row],['[Travail']Coûts_évités_par_salarié]])/Base[[#This Row],[Budget_santé_salarié]]</f>
        <v>6.6055060309971547E-2</v>
      </c>
      <c r="Z343" s="4">
        <v>0.8</v>
      </c>
      <c r="AA343" s="4">
        <f>Base[[#This Row],[Coût]]*Base[[#This Row],[Part_société_dépenses_santé]]</f>
        <v>23.944000000000003</v>
      </c>
      <c r="AB343" s="4">
        <v>67635124</v>
      </c>
      <c r="AC343" s="4">
        <v>82.297079063317852</v>
      </c>
      <c r="AD343" s="4">
        <v>0.14499999999999999</v>
      </c>
      <c r="AE343" s="4">
        <f>Base[[#This Row],['[SC']Prévalence_travail]]*Base[[#This Row],[Population_emploi]]</f>
        <v>4016499.9999999995</v>
      </c>
      <c r="AF343" s="4">
        <f>Base[[#This Row],[Risque]]*Base[[#This Row],['[SC']Patients_en_emploi]]</f>
        <v>734791.84860774258</v>
      </c>
      <c r="AG343" s="4">
        <v>5730042552.54</v>
      </c>
      <c r="AH343" s="4">
        <f>IFERROR(Base[[#This Row],['[SC']Prestations]]/Base[[#This Row],['[SC']Patients_en_emploi]],0)</f>
        <v>1426.625806682435</v>
      </c>
      <c r="AI343" s="4">
        <v>51.7</v>
      </c>
      <c r="AJ3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3" s="4">
        <f>Base[[#This Row],['[SC']'[Travail']Coûts_évités]]/Base[[#This Row],[Population_emploi]]</f>
        <v>37.84379111060283</v>
      </c>
      <c r="AL343" s="4">
        <f>Base[[#This Row],[Coût_société]]*10^9*Base[[#This Row],[Risque]]*Base[[#This Row],[Prévalence]]*Base[[#This Row],[Part_coûts_salarié]]/Base[[#This Row],[Population_emploi]]</f>
        <v>18.960845589411438</v>
      </c>
      <c r="AM343" s="4">
        <f>IF(Base[[#This Row],[Pathologie]]&lt;&gt;"Dépendance",0,14909.24243952)</f>
        <v>0</v>
      </c>
      <c r="AN343" s="4">
        <f>IF(Base[[#This Row],[Pathologie]]&lt;&gt;"Dépendance",0,1316000)</f>
        <v>0</v>
      </c>
      <c r="AO343" s="4">
        <f>IF(Base[[#This Row],[Pathologie]]&lt;&gt;"Dépendance",0,Base[[#This Row],['[SC']Coût_personne_dépendante]]*Base[[#This Row],['[SC']Nb_personnes_dépendantes]])</f>
        <v>0</v>
      </c>
      <c r="AP343" s="4">
        <f>IF(Base[[#This Row],[Pathologie]]&lt;&gt;"Dépendance",0,Base[[#This Row],['[SC']Coût_total_dépendance]]/Base[[#This Row],[Population_totale]])</f>
        <v>0</v>
      </c>
      <c r="AQ343" s="4">
        <f>IF(Base[[#This Row],[Pathologie]]&lt;&gt;"Dépendance",0,4.5)</f>
        <v>0</v>
      </c>
      <c r="AR343" s="4">
        <v>0.83987615528424797</v>
      </c>
      <c r="AS343" s="4">
        <f>Base[[#This Row],[Espérance_vie]]+Base[[#This Row],['[SC']Hausse_esp_de_vie]]-Base[[#This Row],['[SC']Durée_moyenne_dépendance_avt]]+Base[[#This Row],[Risque]]</f>
        <v>83.319898539555098</v>
      </c>
      <c r="AT3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3" s="4">
        <v>62.9</v>
      </c>
      <c r="AW343" s="4">
        <f t="shared" si="5"/>
        <v>336905600000</v>
      </c>
      <c r="AX343" s="4">
        <v>15049171</v>
      </c>
      <c r="AY343" s="4">
        <f>Base[[#This Row],['[SC']Budget_total_retraites]]/Base[[#This Row],['[SC']Nombre_de_retraités]]</f>
        <v>22386.987296509556</v>
      </c>
      <c r="AZ343" s="4">
        <f>Base[[#This Row],['[SC']Budget_par_retraité]]*Base[[#This Row],['[SC']Nb_personnes_dépendantes]]</f>
        <v>0</v>
      </c>
      <c r="BA343" s="4">
        <f>Base[[#This Row],['[SC']'[Dépendance']Coût_retraite_personnes_dépendantes]]/Base[[#This Row],[Population_totale]]</f>
        <v>0</v>
      </c>
      <c r="BB3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3" s="4">
        <f>Base[[#This Row],['[SC']'[Dépendance']Gains]]-Base[[#This Row],['[SC']'[Dépendance']Coûts]]</f>
        <v>0</v>
      </c>
      <c r="BD343" s="4">
        <f>IF(Base[[#This Row],[Pathologie]]&lt;&gt;"Mort prématurée",0,Base[[#This Row],[Risque]]*Base[[#This Row],[Prévalence]]*Base[[#This Row],[Population_totale]])</f>
        <v>0</v>
      </c>
      <c r="BE343" s="4">
        <v>52.74</v>
      </c>
      <c r="BF343" s="4">
        <f>Base[[#This Row],['[SC']Âge_moyen_retraite]]-Base[[#This Row],['[SC']'[Mort_prématurée']Âge_moyen_mort précoce]]</f>
        <v>10.159999999999997</v>
      </c>
      <c r="BG343" s="4">
        <f>Base[[#This Row],[Espérance_vie]]+Base[[#This Row],['[SC']Hausse_esp_de_vie]]-Base[[#This Row],['[SC']Âge_moyen_retraite]]</f>
        <v>20.236955218602098</v>
      </c>
      <c r="BH343" s="4">
        <v>106583.42676924677</v>
      </c>
      <c r="BI343" s="4">
        <v>97601.789429271477</v>
      </c>
      <c r="BJ343" s="4">
        <v>302038.31496633729</v>
      </c>
      <c r="BK343" s="4">
        <v>117293.58934859755</v>
      </c>
      <c r="BL343" s="4">
        <v>1523999.9999999995</v>
      </c>
      <c r="BM3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3" s="4">
        <v>294804.96027377353</v>
      </c>
      <c r="BO3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3" s="4">
        <f>(Base[[#This Row],['[SC']'[Mort_prématurée']Gains]]-Base[[#This Row],['[SC']'[Mort_prématurée']Coûts]])/Base[[#This Row],[Population_totale]]</f>
        <v>0</v>
      </c>
      <c r="BQ343" s="4">
        <f>IF(Base[[#This Row],[Pathologie]]&lt;&gt;"Mort prématurée",0,Base[[#This Row],[Risque]])</f>
        <v>0</v>
      </c>
      <c r="BR343" s="4">
        <v>2680</v>
      </c>
      <c r="BS3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3" s="4">
        <f>Base[[#This Row],[Prévalence_prod]]*(1-Base[[#This Row],[Risque]])*Base[[#This Row],[Durée_arrêt]]*Base[[#This Row],[Population_emploi]]</f>
        <v>58125746.397862785</v>
      </c>
      <c r="BV343" s="4">
        <f>Base[[#This Row],['[Prod']'[Absentéisme']Total_jours_absence_avant]]-Base[[#This Row],['[Prod']'[Absentéisme']Total_jours_absence_après]]</f>
        <v>13014662.693046205</v>
      </c>
      <c r="BW343" s="4">
        <f>IF(AND(Base[[#This Row],[Pathologie]]&lt;&gt;"Dépendance",Base[[#This Row],[Pathologie]]&lt;&gt;"Mort prématurée",Base[[#This Row],[Pathologie]]&lt;&gt;"Migraine"),0.0619,0)</f>
        <v>6.1899999999999997E-2</v>
      </c>
      <c r="BX343" s="4">
        <v>254</v>
      </c>
      <c r="BY343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3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3" s="4">
        <f>Base[[#This Row],[Prévalence_prod]]*Base[[#This Row],[Présentéisme]]*Base[[#This Row],['[Prod']Jours_ouvrés]]</f>
        <v>5.6349899999999993</v>
      </c>
      <c r="CB343" s="4">
        <f>Base[[#This Row],[Prévalence_prod]]*(1-Base[[#This Row],[Risque]])*Base[[#This Row],[Présentéisme]]*Base[[#This Row],['[Prod']Jours_ouvrés]]</f>
        <v>4.6041062158630286</v>
      </c>
      <c r="CC343" s="4">
        <f>Base[[#This Row],['[Prod']'[Présentéisme']Jours_avant]]-Base[[#This Row],['[Prod']'[Présentéisme']Jours_après]]</f>
        <v>1.0308837841369707</v>
      </c>
      <c r="CD343" s="4">
        <f>Base[[#This Row],['[Prod']'[Présentéisme']Jours_gagnés]]/Base[[#This Row],['[Prod']Jours_ouvrés]]</f>
        <v>4.0585975753424045E-3</v>
      </c>
      <c r="CE343">
        <v>7.5880726467531134E-2</v>
      </c>
      <c r="CF343">
        <v>1.989821358241517E-2</v>
      </c>
      <c r="CG343" s="4">
        <v>11</v>
      </c>
      <c r="CH343" s="4">
        <v>0.31563677172153043</v>
      </c>
      <c r="CI343" s="4">
        <v>1.3003350630813707E-4</v>
      </c>
      <c r="CJ343" s="4">
        <f>IF(Base[[#This Row],[Secteur]]&lt;&gt;"Moyenne",Base[[#This Row],['[Prod']'[Turnover']DMC_initiale]]*(1+Base[[#This Row],['[Prod']'[Turnover']Ecart_accidents]]*Base[[#This Row],['[Prod']Impact_motifs_turnover]]),CJ326*CI326+CJ327*CI327+CJ328*CI328+CJ329*CI329+CJ330*CI330+CJ331*CI331+CJ332*CI332+CJ333*CI333+CJ334*CI334+CJ335*CI335+CJ336*CI336+CJ337*CI337+CJ338*CI338+CJ339*CI339+CJ340*CI340+CJ341*CI341+CJ342*CI342)</f>
        <v>11.069086686879968</v>
      </c>
      <c r="CK343" s="4">
        <f>1/Base[[#This Row],['[Prod']'[Turnover']DMC_initiale]]</f>
        <v>9.0909090909090912E-2</v>
      </c>
      <c r="CL343" s="4">
        <f>1/Base[[#This Row],['[Prod']'[Turnover']DMC_finale]]</f>
        <v>9.0341690176235209E-2</v>
      </c>
    </row>
    <row r="344" spans="2:90" x14ac:dyDescent="0.25">
      <c r="B344" s="4" t="s">
        <v>318</v>
      </c>
      <c r="C344">
        <v>15</v>
      </c>
      <c r="D344" t="s">
        <v>83</v>
      </c>
      <c r="E344" t="s">
        <v>9</v>
      </c>
      <c r="F344" s="3">
        <v>0.18294332095300453</v>
      </c>
      <c r="G344" s="3">
        <v>0.14499999999999999</v>
      </c>
      <c r="H344" s="3">
        <v>0.14499999999999999</v>
      </c>
      <c r="I344" s="3">
        <v>0.153</v>
      </c>
      <c r="J344" s="3">
        <v>29.93</v>
      </c>
      <c r="K344" s="3">
        <v>7.0000000000000007E-2</v>
      </c>
      <c r="L344" s="2">
        <f>Base[[#This Row],[Coût]]*Base[[#This Row],[Part_ménages_dépenses_santé]]</f>
        <v>2.0951</v>
      </c>
      <c r="M344" s="2">
        <v>0.82690611956969029</v>
      </c>
      <c r="N344" s="6">
        <v>27700000</v>
      </c>
      <c r="O344" s="7">
        <f>Base[[#This Row],[Coût_salarié]]*10^9*Base[[#This Row],[Risque]]*Base[[#This Row],[Prévalence]]*Base[[#This Row],[Part_coûts_salarié]]/Base[[#This Row],[Population_emploi]]</f>
        <v>1.6590739890735007</v>
      </c>
      <c r="P344">
        <v>50</v>
      </c>
      <c r="Q344">
        <v>50</v>
      </c>
      <c r="R344" s="2">
        <v>9.9999999999999978E-2</v>
      </c>
      <c r="S344" s="2">
        <v>0.33340000000000003</v>
      </c>
      <c r="T344" s="4">
        <v>0.14499999999999999</v>
      </c>
      <c r="U344" s="4">
        <f>IF(Bases_annexes!$F$5=0,16.6587111018772,0.77*Bases_annexes!$F$5/(IF(OR(ISBLANK('Données_d''entrée'!$E$44),'Données_d''entrée'!$E$44=0),35,'Données_d''entrée'!$E$44)*52))</f>
        <v>16.658711101877199</v>
      </c>
      <c r="V344" s="4">
        <v>17.7120401072847</v>
      </c>
      <c r="W3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4" s="4">
        <v>234.5</v>
      </c>
      <c r="Y344" s="4">
        <f>(Base[[#This Row],['[Maladies']Coûts_évités_par_salarié]]+Base[[#This Row],['[Travail']Coûts_évités_par_salarié]])/Base[[#This Row],[Budget_santé_salarié]]</f>
        <v>6.6055060309971547E-2</v>
      </c>
      <c r="Z344" s="4">
        <v>0.8</v>
      </c>
      <c r="AA344" s="4">
        <f>Base[[#This Row],[Coût]]*Base[[#This Row],[Part_société_dépenses_santé]]</f>
        <v>23.944000000000003</v>
      </c>
      <c r="AB344" s="4">
        <v>67635124</v>
      </c>
      <c r="AC344" s="4">
        <v>82.297079063317852</v>
      </c>
      <c r="AD344" s="4">
        <v>0.14499999999999999</v>
      </c>
      <c r="AE344" s="4">
        <f>Base[[#This Row],['[SC']Prévalence_travail]]*Base[[#This Row],[Population_emploi]]</f>
        <v>4016499.9999999995</v>
      </c>
      <c r="AF344" s="4">
        <f>Base[[#This Row],[Risque]]*Base[[#This Row],['[SC']Patients_en_emploi]]</f>
        <v>734791.84860774258</v>
      </c>
      <c r="AG344" s="4">
        <v>5730042552.54</v>
      </c>
      <c r="AH344" s="4">
        <f>IFERROR(Base[[#This Row],['[SC']Prestations]]/Base[[#This Row],['[SC']Patients_en_emploi]],0)</f>
        <v>1426.625806682435</v>
      </c>
      <c r="AI344" s="4">
        <v>51.7</v>
      </c>
      <c r="AJ3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4" s="4">
        <f>Base[[#This Row],['[SC']'[Travail']Coûts_évités]]/Base[[#This Row],[Population_emploi]]</f>
        <v>37.84379111060283</v>
      </c>
      <c r="AL344" s="4">
        <f>Base[[#This Row],[Coût_société]]*10^9*Base[[#This Row],[Risque]]*Base[[#This Row],[Prévalence]]*Base[[#This Row],[Part_coûts_salarié]]/Base[[#This Row],[Population_emploi]]</f>
        <v>18.960845589411438</v>
      </c>
      <c r="AM344" s="4">
        <f>IF(Base[[#This Row],[Pathologie]]&lt;&gt;"Dépendance",0,14909.24243952)</f>
        <v>0</v>
      </c>
      <c r="AN344" s="4">
        <f>IF(Base[[#This Row],[Pathologie]]&lt;&gt;"Dépendance",0,1316000)</f>
        <v>0</v>
      </c>
      <c r="AO344" s="4">
        <f>IF(Base[[#This Row],[Pathologie]]&lt;&gt;"Dépendance",0,Base[[#This Row],['[SC']Coût_personne_dépendante]]*Base[[#This Row],['[SC']Nb_personnes_dépendantes]])</f>
        <v>0</v>
      </c>
      <c r="AP344" s="4">
        <f>IF(Base[[#This Row],[Pathologie]]&lt;&gt;"Dépendance",0,Base[[#This Row],['[SC']Coût_total_dépendance]]/Base[[#This Row],[Population_totale]])</f>
        <v>0</v>
      </c>
      <c r="AQ344" s="4">
        <f>IF(Base[[#This Row],[Pathologie]]&lt;&gt;"Dépendance",0,4.5)</f>
        <v>0</v>
      </c>
      <c r="AR344" s="4">
        <v>0.83987615528424797</v>
      </c>
      <c r="AS344" s="4">
        <f>Base[[#This Row],[Espérance_vie]]+Base[[#This Row],['[SC']Hausse_esp_de_vie]]-Base[[#This Row],['[SC']Durée_moyenne_dépendance_avt]]+Base[[#This Row],[Risque]]</f>
        <v>83.319898539555098</v>
      </c>
      <c r="AT3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4" s="4">
        <v>62.9</v>
      </c>
      <c r="AW344" s="4">
        <f t="shared" si="5"/>
        <v>336905600000</v>
      </c>
      <c r="AX344" s="4">
        <v>15049171</v>
      </c>
      <c r="AY344" s="4">
        <f>Base[[#This Row],['[SC']Budget_total_retraites]]/Base[[#This Row],['[SC']Nombre_de_retraités]]</f>
        <v>22386.987296509556</v>
      </c>
      <c r="AZ344" s="4">
        <f>Base[[#This Row],['[SC']Budget_par_retraité]]*Base[[#This Row],['[SC']Nb_personnes_dépendantes]]</f>
        <v>0</v>
      </c>
      <c r="BA344" s="4">
        <f>Base[[#This Row],['[SC']'[Dépendance']Coût_retraite_personnes_dépendantes]]/Base[[#This Row],[Population_totale]]</f>
        <v>0</v>
      </c>
      <c r="BB3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4" s="4">
        <f>Base[[#This Row],['[SC']'[Dépendance']Gains]]-Base[[#This Row],['[SC']'[Dépendance']Coûts]]</f>
        <v>0</v>
      </c>
      <c r="BD344" s="4">
        <f>IF(Base[[#This Row],[Pathologie]]&lt;&gt;"Mort prématurée",0,Base[[#This Row],[Risque]]*Base[[#This Row],[Prévalence]]*Base[[#This Row],[Population_totale]])</f>
        <v>0</v>
      </c>
      <c r="BE344" s="4">
        <v>52.74</v>
      </c>
      <c r="BF344" s="4">
        <f>Base[[#This Row],['[SC']Âge_moyen_retraite]]-Base[[#This Row],['[SC']'[Mort_prématurée']Âge_moyen_mort précoce]]</f>
        <v>10.159999999999997</v>
      </c>
      <c r="BG344" s="4">
        <f>Base[[#This Row],[Espérance_vie]]+Base[[#This Row],['[SC']Hausse_esp_de_vie]]-Base[[#This Row],['[SC']Âge_moyen_retraite]]</f>
        <v>20.236955218602098</v>
      </c>
      <c r="BH344" s="4">
        <v>106583.42676924677</v>
      </c>
      <c r="BI344" s="4">
        <v>97601.789429271477</v>
      </c>
      <c r="BJ344" s="4">
        <v>302038.31496633729</v>
      </c>
      <c r="BK344" s="4">
        <v>117293.58934859755</v>
      </c>
      <c r="BL344" s="4">
        <v>1523999.9999999995</v>
      </c>
      <c r="BM3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4" s="4">
        <v>294804.96027377353</v>
      </c>
      <c r="BO3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4" s="4">
        <f>(Base[[#This Row],['[SC']'[Mort_prématurée']Gains]]-Base[[#This Row],['[SC']'[Mort_prématurée']Coûts]])/Base[[#This Row],[Population_totale]]</f>
        <v>0</v>
      </c>
      <c r="BQ344" s="4">
        <f>IF(Base[[#This Row],[Pathologie]]&lt;&gt;"Mort prématurée",0,Base[[#This Row],[Risque]])</f>
        <v>0</v>
      </c>
      <c r="BR344" s="4">
        <v>2680</v>
      </c>
      <c r="BS3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4" s="4">
        <f>Base[[#This Row],[Prévalence_prod]]*(1-Base[[#This Row],[Risque]])*Base[[#This Row],[Durée_arrêt]]*Base[[#This Row],[Population_emploi]]</f>
        <v>58125746.397862785</v>
      </c>
      <c r="BV344" s="4">
        <f>Base[[#This Row],['[Prod']'[Absentéisme']Total_jours_absence_avant]]-Base[[#This Row],['[Prod']'[Absentéisme']Total_jours_absence_après]]</f>
        <v>13014662.693046205</v>
      </c>
      <c r="BW344" s="4">
        <f>IF(AND(Base[[#This Row],[Pathologie]]&lt;&gt;"Dépendance",Base[[#This Row],[Pathologie]]&lt;&gt;"Mort prématurée",Base[[#This Row],[Pathologie]]&lt;&gt;"Migraine"),0.0619,0)</f>
        <v>6.1899999999999997E-2</v>
      </c>
      <c r="BX344" s="4">
        <v>254</v>
      </c>
      <c r="BY344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4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4" s="4">
        <f>Base[[#This Row],[Prévalence_prod]]*Base[[#This Row],[Présentéisme]]*Base[[#This Row],['[Prod']Jours_ouvrés]]</f>
        <v>5.6349899999999993</v>
      </c>
      <c r="CB344" s="4">
        <f>Base[[#This Row],[Prévalence_prod]]*(1-Base[[#This Row],[Risque]])*Base[[#This Row],[Présentéisme]]*Base[[#This Row],['[Prod']Jours_ouvrés]]</f>
        <v>4.6041062158630286</v>
      </c>
      <c r="CC344" s="4">
        <f>Base[[#This Row],['[Prod']'[Présentéisme']Jours_avant]]-Base[[#This Row],['[Prod']'[Présentéisme']Jours_après]]</f>
        <v>1.0308837841369707</v>
      </c>
      <c r="CD344" s="4">
        <f>Base[[#This Row],['[Prod']'[Présentéisme']Jours_gagnés]]/Base[[#This Row],['[Prod']Jours_ouvrés]]</f>
        <v>4.0585975753424045E-3</v>
      </c>
      <c r="CE344">
        <v>7.5880726467531134E-2</v>
      </c>
      <c r="CF344">
        <v>1.989821358241517E-2</v>
      </c>
      <c r="CG344" s="4">
        <v>11</v>
      </c>
      <c r="CH344" s="4">
        <v>1.1688035738877327</v>
      </c>
      <c r="CI344" s="4">
        <v>9.6557438521367826E-3</v>
      </c>
      <c r="CJ344" s="4">
        <f>IF(Base[[#This Row],[Secteur]]&lt;&gt;"Moyenne",Base[[#This Row],['[Prod']'[Turnover']DMC_initiale]]*(1+Base[[#This Row],['[Prod']'[Turnover']Ecart_accidents]]*Base[[#This Row],['[Prod']Impact_motifs_turnover]]),CJ327*CI327+CJ328*CI328+CJ329*CI329+CJ330*CI330+CJ331*CI331+CJ332*CI332+CJ333*CI333+CJ334*CI334+CJ335*CI335+CJ336*CI336+CJ337*CI337+CJ338*CI338+CJ339*CI339+CJ340*CI340+CJ341*CI341+CJ342*CI342+CJ343*CI343)</f>
        <v>11.25582813464019</v>
      </c>
      <c r="CK344" s="4">
        <f>1/Base[[#This Row],['[Prod']'[Turnover']DMC_initiale]]</f>
        <v>9.0909090909090912E-2</v>
      </c>
      <c r="CL344" s="4">
        <f>1/Base[[#This Row],['[Prod']'[Turnover']DMC_finale]]</f>
        <v>8.8842863273868436E-2</v>
      </c>
    </row>
    <row r="345" spans="2:90" x14ac:dyDescent="0.25">
      <c r="B345" s="4" t="s">
        <v>319</v>
      </c>
      <c r="C345">
        <v>15</v>
      </c>
      <c r="D345" t="s">
        <v>83</v>
      </c>
      <c r="E345" t="s">
        <v>9</v>
      </c>
      <c r="F345" s="3">
        <v>0.18294332095300453</v>
      </c>
      <c r="G345" s="3">
        <v>0.14499999999999999</v>
      </c>
      <c r="H345" s="3">
        <v>0.14499999999999999</v>
      </c>
      <c r="I345" s="3">
        <v>0.153</v>
      </c>
      <c r="J345" s="3">
        <v>29.93</v>
      </c>
      <c r="K345" s="3">
        <v>7.0000000000000007E-2</v>
      </c>
      <c r="L345" s="2">
        <f>Base[[#This Row],[Coût]]*Base[[#This Row],[Part_ménages_dépenses_santé]]</f>
        <v>2.0951</v>
      </c>
      <c r="M345" s="2">
        <v>0.82690611956969029</v>
      </c>
      <c r="N345" s="6">
        <v>27700000</v>
      </c>
      <c r="O345" s="7">
        <f>Base[[#This Row],[Coût_salarié]]*10^9*Base[[#This Row],[Risque]]*Base[[#This Row],[Prévalence]]*Base[[#This Row],[Part_coûts_salarié]]/Base[[#This Row],[Population_emploi]]</f>
        <v>1.6590739890735007</v>
      </c>
      <c r="P345">
        <v>50</v>
      </c>
      <c r="Q345">
        <v>50</v>
      </c>
      <c r="R345" s="2">
        <v>9.9999999999999978E-2</v>
      </c>
      <c r="S345" s="2">
        <v>0.33340000000000003</v>
      </c>
      <c r="T345" s="4">
        <v>0.14499999999999999</v>
      </c>
      <c r="U345" s="4">
        <f>IF(Bases_annexes!$F$5=0,16.6587111018772,0.77*Bases_annexes!$F$5/(IF(OR(ISBLANK('Données_d''entrée'!$E$44),'Données_d''entrée'!$E$44=0),35,'Données_d''entrée'!$E$44)*52))</f>
        <v>16.658711101877199</v>
      </c>
      <c r="V345" s="4">
        <v>17.7120401072847</v>
      </c>
      <c r="W3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5" s="4">
        <v>234.5</v>
      </c>
      <c r="Y345" s="4">
        <f>(Base[[#This Row],['[Maladies']Coûts_évités_par_salarié]]+Base[[#This Row],['[Travail']Coûts_évités_par_salarié]])/Base[[#This Row],[Budget_santé_salarié]]</f>
        <v>6.6055060309971547E-2</v>
      </c>
      <c r="Z345" s="4">
        <v>0.8</v>
      </c>
      <c r="AA345" s="4">
        <f>Base[[#This Row],[Coût]]*Base[[#This Row],[Part_société_dépenses_santé]]</f>
        <v>23.944000000000003</v>
      </c>
      <c r="AB345" s="4">
        <v>67635124</v>
      </c>
      <c r="AC345" s="4">
        <v>82.297079063317852</v>
      </c>
      <c r="AD345" s="4">
        <v>0.14499999999999999</v>
      </c>
      <c r="AE345" s="4">
        <f>Base[[#This Row],['[SC']Prévalence_travail]]*Base[[#This Row],[Population_emploi]]</f>
        <v>4016499.9999999995</v>
      </c>
      <c r="AF345" s="4">
        <f>Base[[#This Row],[Risque]]*Base[[#This Row],['[SC']Patients_en_emploi]]</f>
        <v>734791.84860774258</v>
      </c>
      <c r="AG345" s="4">
        <v>5730042552.54</v>
      </c>
      <c r="AH345" s="4">
        <f>IFERROR(Base[[#This Row],['[SC']Prestations]]/Base[[#This Row],['[SC']Patients_en_emploi]],0)</f>
        <v>1426.625806682435</v>
      </c>
      <c r="AI345" s="4">
        <v>51.7</v>
      </c>
      <c r="AJ3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5" s="4">
        <f>Base[[#This Row],['[SC']'[Travail']Coûts_évités]]/Base[[#This Row],[Population_emploi]]</f>
        <v>37.84379111060283</v>
      </c>
      <c r="AL345" s="4">
        <f>Base[[#This Row],[Coût_société]]*10^9*Base[[#This Row],[Risque]]*Base[[#This Row],[Prévalence]]*Base[[#This Row],[Part_coûts_salarié]]/Base[[#This Row],[Population_emploi]]</f>
        <v>18.960845589411438</v>
      </c>
      <c r="AM345" s="4">
        <f>IF(Base[[#This Row],[Pathologie]]&lt;&gt;"Dépendance",0,14909.24243952)</f>
        <v>0</v>
      </c>
      <c r="AN345" s="4">
        <f>IF(Base[[#This Row],[Pathologie]]&lt;&gt;"Dépendance",0,1316000)</f>
        <v>0</v>
      </c>
      <c r="AO345" s="4">
        <f>IF(Base[[#This Row],[Pathologie]]&lt;&gt;"Dépendance",0,Base[[#This Row],['[SC']Coût_personne_dépendante]]*Base[[#This Row],['[SC']Nb_personnes_dépendantes]])</f>
        <v>0</v>
      </c>
      <c r="AP345" s="4">
        <f>IF(Base[[#This Row],[Pathologie]]&lt;&gt;"Dépendance",0,Base[[#This Row],['[SC']Coût_total_dépendance]]/Base[[#This Row],[Population_totale]])</f>
        <v>0</v>
      </c>
      <c r="AQ345" s="4">
        <f>IF(Base[[#This Row],[Pathologie]]&lt;&gt;"Dépendance",0,4.5)</f>
        <v>0</v>
      </c>
      <c r="AR345" s="4">
        <v>0.83987615528424797</v>
      </c>
      <c r="AS345" s="4">
        <f>Base[[#This Row],[Espérance_vie]]+Base[[#This Row],['[SC']Hausse_esp_de_vie]]-Base[[#This Row],['[SC']Durée_moyenne_dépendance_avt]]+Base[[#This Row],[Risque]]</f>
        <v>83.319898539555098</v>
      </c>
      <c r="AT3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5" s="4">
        <v>62.9</v>
      </c>
      <c r="AW345" s="4">
        <f t="shared" si="5"/>
        <v>336905600000</v>
      </c>
      <c r="AX345" s="4">
        <v>15049171</v>
      </c>
      <c r="AY345" s="4">
        <f>Base[[#This Row],['[SC']Budget_total_retraites]]/Base[[#This Row],['[SC']Nombre_de_retraités]]</f>
        <v>22386.987296509556</v>
      </c>
      <c r="AZ345" s="4">
        <f>Base[[#This Row],['[SC']Budget_par_retraité]]*Base[[#This Row],['[SC']Nb_personnes_dépendantes]]</f>
        <v>0</v>
      </c>
      <c r="BA345" s="4">
        <f>Base[[#This Row],['[SC']'[Dépendance']Coût_retraite_personnes_dépendantes]]/Base[[#This Row],[Population_totale]]</f>
        <v>0</v>
      </c>
      <c r="BB3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5" s="4">
        <f>Base[[#This Row],['[SC']'[Dépendance']Gains]]-Base[[#This Row],['[SC']'[Dépendance']Coûts]]</f>
        <v>0</v>
      </c>
      <c r="BD345" s="4">
        <f>IF(Base[[#This Row],[Pathologie]]&lt;&gt;"Mort prématurée",0,Base[[#This Row],[Risque]]*Base[[#This Row],[Prévalence]]*Base[[#This Row],[Population_totale]])</f>
        <v>0</v>
      </c>
      <c r="BE345" s="4">
        <v>52.74</v>
      </c>
      <c r="BF345" s="4">
        <f>Base[[#This Row],['[SC']Âge_moyen_retraite]]-Base[[#This Row],['[SC']'[Mort_prématurée']Âge_moyen_mort précoce]]</f>
        <v>10.159999999999997</v>
      </c>
      <c r="BG345" s="4">
        <f>Base[[#This Row],[Espérance_vie]]+Base[[#This Row],['[SC']Hausse_esp_de_vie]]-Base[[#This Row],['[SC']Âge_moyen_retraite]]</f>
        <v>20.236955218602098</v>
      </c>
      <c r="BH345" s="4">
        <v>106583.42676924677</v>
      </c>
      <c r="BI345" s="4">
        <v>97601.789429271477</v>
      </c>
      <c r="BJ345" s="4">
        <v>302038.31496633729</v>
      </c>
      <c r="BK345" s="4">
        <v>117293.58934859755</v>
      </c>
      <c r="BL345" s="4">
        <v>1523999.9999999995</v>
      </c>
      <c r="BM3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5" s="4">
        <v>294804.96027377353</v>
      </c>
      <c r="BO3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5" s="4">
        <f>(Base[[#This Row],['[SC']'[Mort_prématurée']Gains]]-Base[[#This Row],['[SC']'[Mort_prématurée']Coûts]])/Base[[#This Row],[Population_totale]]</f>
        <v>0</v>
      </c>
      <c r="BQ345" s="4">
        <f>IF(Base[[#This Row],[Pathologie]]&lt;&gt;"Mort prématurée",0,Base[[#This Row],[Risque]])</f>
        <v>0</v>
      </c>
      <c r="BR345" s="4">
        <v>2680</v>
      </c>
      <c r="BS3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5" s="4">
        <f>Base[[#This Row],[Prévalence_prod]]*(1-Base[[#This Row],[Risque]])*Base[[#This Row],[Durée_arrêt]]*Base[[#This Row],[Population_emploi]]</f>
        <v>58125746.397862785</v>
      </c>
      <c r="BV345" s="4">
        <f>Base[[#This Row],['[Prod']'[Absentéisme']Total_jours_absence_avant]]-Base[[#This Row],['[Prod']'[Absentéisme']Total_jours_absence_après]]</f>
        <v>13014662.693046205</v>
      </c>
      <c r="BW345" s="4">
        <f>IF(AND(Base[[#This Row],[Pathologie]]&lt;&gt;"Dépendance",Base[[#This Row],[Pathologie]]&lt;&gt;"Mort prématurée",Base[[#This Row],[Pathologie]]&lt;&gt;"Migraine"),0.0619,0)</f>
        <v>6.1899999999999997E-2</v>
      </c>
      <c r="BX345" s="4">
        <v>254</v>
      </c>
      <c r="BY345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5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5" s="4">
        <f>Base[[#This Row],[Prévalence_prod]]*Base[[#This Row],[Présentéisme]]*Base[[#This Row],['[Prod']Jours_ouvrés]]</f>
        <v>5.6349899999999993</v>
      </c>
      <c r="CB345" s="4">
        <f>Base[[#This Row],[Prévalence_prod]]*(1-Base[[#This Row],[Risque]])*Base[[#This Row],[Présentéisme]]*Base[[#This Row],['[Prod']Jours_ouvrés]]</f>
        <v>4.6041062158630286</v>
      </c>
      <c r="CC345" s="4">
        <f>Base[[#This Row],['[Prod']'[Présentéisme']Jours_avant]]-Base[[#This Row],['[Prod']'[Présentéisme']Jours_après]]</f>
        <v>1.0308837841369707</v>
      </c>
      <c r="CD345" s="4">
        <f>Base[[#This Row],['[Prod']'[Présentéisme']Jours_gagnés]]/Base[[#This Row],['[Prod']Jours_ouvrés]]</f>
        <v>4.0585975753424045E-3</v>
      </c>
      <c r="CE345">
        <v>7.5880726467531134E-2</v>
      </c>
      <c r="CF345">
        <v>1.989821358241517E-2</v>
      </c>
      <c r="CG345" s="4">
        <v>11</v>
      </c>
      <c r="CH345" s="4">
        <v>0.52204401140486179</v>
      </c>
      <c r="CI345" s="4">
        <v>1.2443904150185675E-2</v>
      </c>
      <c r="CJ345" s="4">
        <f>IF(Base[[#This Row],[Secteur]]&lt;&gt;"Moyenne",Base[[#This Row],['[Prod']'[Turnover']DMC_initiale]]*(1+Base[[#This Row],['[Prod']'[Turnover']Ecart_accidents]]*Base[[#This Row],['[Prod']Impact_motifs_turnover]]),CJ328*CI328+CJ329*CI329+CJ330*CI330+CJ331*CI331+CJ332*CI332+CJ333*CI333+CJ334*CI334+CJ335*CI335+CJ336*CI336+CJ337*CI337+CJ338*CI338+CJ339*CI339+CJ340*CI340+CJ341*CI341+CJ342*CI342+CJ343*CI343+CJ344*CI344)</f>
        <v>11.114265175621902</v>
      </c>
      <c r="CK345" s="4">
        <f>1/Base[[#This Row],['[Prod']'[Turnover']DMC_initiale]]</f>
        <v>9.0909090909090912E-2</v>
      </c>
      <c r="CL345" s="4">
        <f>1/Base[[#This Row],['[Prod']'[Turnover']DMC_finale]]</f>
        <v>8.9974459327586145E-2</v>
      </c>
    </row>
    <row r="346" spans="2:90" x14ac:dyDescent="0.25">
      <c r="B346" s="4" t="s">
        <v>320</v>
      </c>
      <c r="C346">
        <v>15</v>
      </c>
      <c r="D346" t="s">
        <v>83</v>
      </c>
      <c r="E346" t="s">
        <v>9</v>
      </c>
      <c r="F346" s="3">
        <v>0.18294332095300453</v>
      </c>
      <c r="G346" s="3">
        <v>0.14499999999999999</v>
      </c>
      <c r="H346" s="3">
        <v>0.14499999999999999</v>
      </c>
      <c r="I346" s="3">
        <v>0.153</v>
      </c>
      <c r="J346" s="3">
        <v>29.93</v>
      </c>
      <c r="K346" s="3">
        <v>7.0000000000000007E-2</v>
      </c>
      <c r="L346" s="2">
        <f>Base[[#This Row],[Coût]]*Base[[#This Row],[Part_ménages_dépenses_santé]]</f>
        <v>2.0951</v>
      </c>
      <c r="M346" s="2">
        <v>0.82690611956969029</v>
      </c>
      <c r="N346" s="6">
        <v>27700000</v>
      </c>
      <c r="O346" s="7">
        <f>Base[[#This Row],[Coût_salarié]]*10^9*Base[[#This Row],[Risque]]*Base[[#This Row],[Prévalence]]*Base[[#This Row],[Part_coûts_salarié]]/Base[[#This Row],[Population_emploi]]</f>
        <v>1.6590739890735007</v>
      </c>
      <c r="P346">
        <v>50</v>
      </c>
      <c r="Q346">
        <v>50</v>
      </c>
      <c r="R346" s="2">
        <v>9.9999999999999978E-2</v>
      </c>
      <c r="S346" s="2">
        <v>0.33340000000000003</v>
      </c>
      <c r="T346" s="4">
        <v>0.14499999999999999</v>
      </c>
      <c r="U346" s="4">
        <f>IF(Bases_annexes!$F$5=0,16.6587111018772,0.77*Bases_annexes!$F$5/(IF(OR(ISBLANK('Données_d''entrée'!$E$44),'Données_d''entrée'!$E$44=0),35,'Données_d''entrée'!$E$44)*52))</f>
        <v>16.658711101877199</v>
      </c>
      <c r="V346" s="4">
        <v>17.7120401072847</v>
      </c>
      <c r="W3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6" s="4">
        <v>234.5</v>
      </c>
      <c r="Y346" s="4">
        <f>(Base[[#This Row],['[Maladies']Coûts_évités_par_salarié]]+Base[[#This Row],['[Travail']Coûts_évités_par_salarié]])/Base[[#This Row],[Budget_santé_salarié]]</f>
        <v>6.6055060309971547E-2</v>
      </c>
      <c r="Z346" s="4">
        <v>0.8</v>
      </c>
      <c r="AA346" s="4">
        <f>Base[[#This Row],[Coût]]*Base[[#This Row],[Part_société_dépenses_santé]]</f>
        <v>23.944000000000003</v>
      </c>
      <c r="AB346" s="4">
        <v>67635124</v>
      </c>
      <c r="AC346" s="4">
        <v>82.297079063317852</v>
      </c>
      <c r="AD346" s="4">
        <v>0.14499999999999999</v>
      </c>
      <c r="AE346" s="4">
        <f>Base[[#This Row],['[SC']Prévalence_travail]]*Base[[#This Row],[Population_emploi]]</f>
        <v>4016499.9999999995</v>
      </c>
      <c r="AF346" s="4">
        <f>Base[[#This Row],[Risque]]*Base[[#This Row],['[SC']Patients_en_emploi]]</f>
        <v>734791.84860774258</v>
      </c>
      <c r="AG346" s="4">
        <v>5730042552.54</v>
      </c>
      <c r="AH346" s="4">
        <f>IFERROR(Base[[#This Row],['[SC']Prestations]]/Base[[#This Row],['[SC']Patients_en_emploi]],0)</f>
        <v>1426.625806682435</v>
      </c>
      <c r="AI346" s="4">
        <v>51.7</v>
      </c>
      <c r="AJ3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6" s="4">
        <f>Base[[#This Row],['[SC']'[Travail']Coûts_évités]]/Base[[#This Row],[Population_emploi]]</f>
        <v>37.84379111060283</v>
      </c>
      <c r="AL346" s="4">
        <f>Base[[#This Row],[Coût_société]]*10^9*Base[[#This Row],[Risque]]*Base[[#This Row],[Prévalence]]*Base[[#This Row],[Part_coûts_salarié]]/Base[[#This Row],[Population_emploi]]</f>
        <v>18.960845589411438</v>
      </c>
      <c r="AM346" s="4">
        <f>IF(Base[[#This Row],[Pathologie]]&lt;&gt;"Dépendance",0,14909.24243952)</f>
        <v>0</v>
      </c>
      <c r="AN346" s="4">
        <f>IF(Base[[#This Row],[Pathologie]]&lt;&gt;"Dépendance",0,1316000)</f>
        <v>0</v>
      </c>
      <c r="AO346" s="4">
        <f>IF(Base[[#This Row],[Pathologie]]&lt;&gt;"Dépendance",0,Base[[#This Row],['[SC']Coût_personne_dépendante]]*Base[[#This Row],['[SC']Nb_personnes_dépendantes]])</f>
        <v>0</v>
      </c>
      <c r="AP346" s="4">
        <f>IF(Base[[#This Row],[Pathologie]]&lt;&gt;"Dépendance",0,Base[[#This Row],['[SC']Coût_total_dépendance]]/Base[[#This Row],[Population_totale]])</f>
        <v>0</v>
      </c>
      <c r="AQ346" s="4">
        <f>IF(Base[[#This Row],[Pathologie]]&lt;&gt;"Dépendance",0,4.5)</f>
        <v>0</v>
      </c>
      <c r="AR346" s="4">
        <v>0.83987615528424797</v>
      </c>
      <c r="AS346" s="4">
        <f>Base[[#This Row],[Espérance_vie]]+Base[[#This Row],['[SC']Hausse_esp_de_vie]]-Base[[#This Row],['[SC']Durée_moyenne_dépendance_avt]]+Base[[#This Row],[Risque]]</f>
        <v>83.319898539555098</v>
      </c>
      <c r="AT3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6" s="4">
        <v>62.9</v>
      </c>
      <c r="AW346" s="4">
        <f t="shared" si="5"/>
        <v>336905600000</v>
      </c>
      <c r="AX346" s="4">
        <v>15049171</v>
      </c>
      <c r="AY346" s="4">
        <f>Base[[#This Row],['[SC']Budget_total_retraites]]/Base[[#This Row],['[SC']Nombre_de_retraités]]</f>
        <v>22386.987296509556</v>
      </c>
      <c r="AZ346" s="4">
        <f>Base[[#This Row],['[SC']Budget_par_retraité]]*Base[[#This Row],['[SC']Nb_personnes_dépendantes]]</f>
        <v>0</v>
      </c>
      <c r="BA346" s="4">
        <f>Base[[#This Row],['[SC']'[Dépendance']Coût_retraite_personnes_dépendantes]]/Base[[#This Row],[Population_totale]]</f>
        <v>0</v>
      </c>
      <c r="BB3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6" s="4">
        <f>Base[[#This Row],['[SC']'[Dépendance']Gains]]-Base[[#This Row],['[SC']'[Dépendance']Coûts]]</f>
        <v>0</v>
      </c>
      <c r="BD346" s="4">
        <f>IF(Base[[#This Row],[Pathologie]]&lt;&gt;"Mort prématurée",0,Base[[#This Row],[Risque]]*Base[[#This Row],[Prévalence]]*Base[[#This Row],[Population_totale]])</f>
        <v>0</v>
      </c>
      <c r="BE346" s="4">
        <v>52.74</v>
      </c>
      <c r="BF346" s="4">
        <f>Base[[#This Row],['[SC']Âge_moyen_retraite]]-Base[[#This Row],['[SC']'[Mort_prématurée']Âge_moyen_mort précoce]]</f>
        <v>10.159999999999997</v>
      </c>
      <c r="BG346" s="4">
        <f>Base[[#This Row],[Espérance_vie]]+Base[[#This Row],['[SC']Hausse_esp_de_vie]]-Base[[#This Row],['[SC']Âge_moyen_retraite]]</f>
        <v>20.236955218602098</v>
      </c>
      <c r="BH346" s="4">
        <v>106583.42676924677</v>
      </c>
      <c r="BI346" s="4">
        <v>97601.789429271477</v>
      </c>
      <c r="BJ346" s="4">
        <v>302038.31496633729</v>
      </c>
      <c r="BK346" s="4">
        <v>117293.58934859755</v>
      </c>
      <c r="BL346" s="4">
        <v>1523999.9999999995</v>
      </c>
      <c r="BM3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6" s="4">
        <v>294804.96027377353</v>
      </c>
      <c r="BO3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6" s="4">
        <f>(Base[[#This Row],['[SC']'[Mort_prématurée']Gains]]-Base[[#This Row],['[SC']'[Mort_prématurée']Coûts]])/Base[[#This Row],[Population_totale]]</f>
        <v>0</v>
      </c>
      <c r="BQ346" s="4">
        <f>IF(Base[[#This Row],[Pathologie]]&lt;&gt;"Mort prématurée",0,Base[[#This Row],[Risque]])</f>
        <v>0</v>
      </c>
      <c r="BR346" s="4">
        <v>2680</v>
      </c>
      <c r="BS3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6" s="4">
        <f>Base[[#This Row],[Prévalence_prod]]*(1-Base[[#This Row],[Risque]])*Base[[#This Row],[Durée_arrêt]]*Base[[#This Row],[Population_emploi]]</f>
        <v>58125746.397862785</v>
      </c>
      <c r="BV346" s="4">
        <f>Base[[#This Row],['[Prod']'[Absentéisme']Total_jours_absence_avant]]-Base[[#This Row],['[Prod']'[Absentéisme']Total_jours_absence_après]]</f>
        <v>13014662.693046205</v>
      </c>
      <c r="BW346" s="4">
        <f>IF(AND(Base[[#This Row],[Pathologie]]&lt;&gt;"Dépendance",Base[[#This Row],[Pathologie]]&lt;&gt;"Mort prématurée",Base[[#This Row],[Pathologie]]&lt;&gt;"Migraine"),0.0619,0)</f>
        <v>6.1899999999999997E-2</v>
      </c>
      <c r="BX346" s="4">
        <v>254</v>
      </c>
      <c r="BY346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6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6" s="4">
        <f>Base[[#This Row],[Prévalence_prod]]*Base[[#This Row],[Présentéisme]]*Base[[#This Row],['[Prod']Jours_ouvrés]]</f>
        <v>5.6349899999999993</v>
      </c>
      <c r="CB346" s="4">
        <f>Base[[#This Row],[Prévalence_prod]]*(1-Base[[#This Row],[Risque]])*Base[[#This Row],[Présentéisme]]*Base[[#This Row],['[Prod']Jours_ouvrés]]</f>
        <v>4.6041062158630286</v>
      </c>
      <c r="CC346" s="4">
        <f>Base[[#This Row],['[Prod']'[Présentéisme']Jours_avant]]-Base[[#This Row],['[Prod']'[Présentéisme']Jours_après]]</f>
        <v>1.0308837841369707</v>
      </c>
      <c r="CD346" s="4">
        <f>Base[[#This Row],['[Prod']'[Présentéisme']Jours_gagnés]]/Base[[#This Row],['[Prod']Jours_ouvrés]]</f>
        <v>4.0585975753424045E-3</v>
      </c>
      <c r="CE346">
        <v>7.5880726467531134E-2</v>
      </c>
      <c r="CF346">
        <v>1.989821358241517E-2</v>
      </c>
      <c r="CG346" s="4">
        <v>11</v>
      </c>
      <c r="CH346" s="4">
        <v>0.49446424657188709</v>
      </c>
      <c r="CI346" s="4">
        <v>1.0795805058605798E-2</v>
      </c>
      <c r="CJ346" s="4">
        <f>IF(Base[[#This Row],[Secteur]]&lt;&gt;"Moyenne",Base[[#This Row],['[Prod']'[Turnover']DMC_initiale]]*(1+Base[[#This Row],['[Prod']'[Turnover']Ecart_accidents]]*Base[[#This Row],['[Prod']Impact_motifs_turnover]]),CJ329*CI329+CJ330*CI330+CJ331*CI331+CJ332*CI332+CJ333*CI333+CJ334*CI334+CJ335*CI335+CJ336*CI336+CJ337*CI337+CJ338*CI338+CJ339*CI339+CJ340*CI340+CJ341*CI341+CJ342*CI342+CJ343*CI343+CJ344*CI344+CJ345*CI345)</f>
        <v>11.108228507058708</v>
      </c>
      <c r="CK346" s="4">
        <f>1/Base[[#This Row],['[Prod']'[Turnover']DMC_initiale]]</f>
        <v>9.0909090909090912E-2</v>
      </c>
      <c r="CL346" s="4">
        <f>1/Base[[#This Row],['[Prod']'[Turnover']DMC_finale]]</f>
        <v>9.0023355151953477E-2</v>
      </c>
    </row>
    <row r="347" spans="2:90" x14ac:dyDescent="0.25">
      <c r="B347" s="4" t="s">
        <v>321</v>
      </c>
      <c r="C347">
        <v>15</v>
      </c>
      <c r="D347" t="s">
        <v>83</v>
      </c>
      <c r="E347" t="s">
        <v>9</v>
      </c>
      <c r="F347" s="3">
        <v>0.18294332095300453</v>
      </c>
      <c r="G347" s="3">
        <v>0.14499999999999999</v>
      </c>
      <c r="H347" s="3">
        <v>0.14499999999999999</v>
      </c>
      <c r="I347" s="3">
        <v>0.153</v>
      </c>
      <c r="J347" s="3">
        <v>29.93</v>
      </c>
      <c r="K347" s="3">
        <v>7.0000000000000007E-2</v>
      </c>
      <c r="L347" s="2">
        <f>Base[[#This Row],[Coût]]*Base[[#This Row],[Part_ménages_dépenses_santé]]</f>
        <v>2.0951</v>
      </c>
      <c r="M347" s="2">
        <v>0.82690611956969029</v>
      </c>
      <c r="N347" s="6">
        <v>27700000</v>
      </c>
      <c r="O347" s="7">
        <f>Base[[#This Row],[Coût_salarié]]*10^9*Base[[#This Row],[Risque]]*Base[[#This Row],[Prévalence]]*Base[[#This Row],[Part_coûts_salarié]]/Base[[#This Row],[Population_emploi]]</f>
        <v>1.6590739890735007</v>
      </c>
      <c r="P347">
        <v>50</v>
      </c>
      <c r="Q347">
        <v>50</v>
      </c>
      <c r="R347" s="2">
        <v>9.9999999999999978E-2</v>
      </c>
      <c r="S347" s="2">
        <v>0.33340000000000003</v>
      </c>
      <c r="T347" s="4">
        <v>0.14499999999999999</v>
      </c>
      <c r="U347" s="4">
        <f>IF(Bases_annexes!$F$5=0,16.6587111018772,0.77*Bases_annexes!$F$5/(IF(OR(ISBLANK('Données_d''entrée'!$E$44),'Données_d''entrée'!$E$44=0),35,'Données_d''entrée'!$E$44)*52))</f>
        <v>16.658711101877199</v>
      </c>
      <c r="V347" s="4">
        <v>17.7120401072847</v>
      </c>
      <c r="W3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7" s="4">
        <v>234.5</v>
      </c>
      <c r="Y347" s="4">
        <f>(Base[[#This Row],['[Maladies']Coûts_évités_par_salarié]]+Base[[#This Row],['[Travail']Coûts_évités_par_salarié]])/Base[[#This Row],[Budget_santé_salarié]]</f>
        <v>6.6055060309971547E-2</v>
      </c>
      <c r="Z347" s="4">
        <v>0.8</v>
      </c>
      <c r="AA347" s="4">
        <f>Base[[#This Row],[Coût]]*Base[[#This Row],[Part_société_dépenses_santé]]</f>
        <v>23.944000000000003</v>
      </c>
      <c r="AB347" s="4">
        <v>67635124</v>
      </c>
      <c r="AC347" s="4">
        <v>82.297079063317852</v>
      </c>
      <c r="AD347" s="4">
        <v>0.14499999999999999</v>
      </c>
      <c r="AE347" s="4">
        <f>Base[[#This Row],['[SC']Prévalence_travail]]*Base[[#This Row],[Population_emploi]]</f>
        <v>4016499.9999999995</v>
      </c>
      <c r="AF347" s="4">
        <f>Base[[#This Row],[Risque]]*Base[[#This Row],['[SC']Patients_en_emploi]]</f>
        <v>734791.84860774258</v>
      </c>
      <c r="AG347" s="4">
        <v>5730042552.54</v>
      </c>
      <c r="AH347" s="4">
        <f>IFERROR(Base[[#This Row],['[SC']Prestations]]/Base[[#This Row],['[SC']Patients_en_emploi]],0)</f>
        <v>1426.625806682435</v>
      </c>
      <c r="AI347" s="4">
        <v>51.7</v>
      </c>
      <c r="AJ3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7" s="4">
        <f>Base[[#This Row],['[SC']'[Travail']Coûts_évités]]/Base[[#This Row],[Population_emploi]]</f>
        <v>37.84379111060283</v>
      </c>
      <c r="AL347" s="4">
        <f>Base[[#This Row],[Coût_société]]*10^9*Base[[#This Row],[Risque]]*Base[[#This Row],[Prévalence]]*Base[[#This Row],[Part_coûts_salarié]]/Base[[#This Row],[Population_emploi]]</f>
        <v>18.960845589411438</v>
      </c>
      <c r="AM347" s="4">
        <f>IF(Base[[#This Row],[Pathologie]]&lt;&gt;"Dépendance",0,14909.24243952)</f>
        <v>0</v>
      </c>
      <c r="AN347" s="4">
        <f>IF(Base[[#This Row],[Pathologie]]&lt;&gt;"Dépendance",0,1316000)</f>
        <v>0</v>
      </c>
      <c r="AO347" s="4">
        <f>IF(Base[[#This Row],[Pathologie]]&lt;&gt;"Dépendance",0,Base[[#This Row],['[SC']Coût_personne_dépendante]]*Base[[#This Row],['[SC']Nb_personnes_dépendantes]])</f>
        <v>0</v>
      </c>
      <c r="AP347" s="4">
        <f>IF(Base[[#This Row],[Pathologie]]&lt;&gt;"Dépendance",0,Base[[#This Row],['[SC']Coût_total_dépendance]]/Base[[#This Row],[Population_totale]])</f>
        <v>0</v>
      </c>
      <c r="AQ347" s="4">
        <f>IF(Base[[#This Row],[Pathologie]]&lt;&gt;"Dépendance",0,4.5)</f>
        <v>0</v>
      </c>
      <c r="AR347" s="4">
        <v>0.83987615528424797</v>
      </c>
      <c r="AS347" s="4">
        <f>Base[[#This Row],[Espérance_vie]]+Base[[#This Row],['[SC']Hausse_esp_de_vie]]-Base[[#This Row],['[SC']Durée_moyenne_dépendance_avt]]+Base[[#This Row],[Risque]]</f>
        <v>83.319898539555098</v>
      </c>
      <c r="AT3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7" s="4">
        <v>62.9</v>
      </c>
      <c r="AW347" s="4">
        <f t="shared" si="5"/>
        <v>336905600000</v>
      </c>
      <c r="AX347" s="4">
        <v>15049171</v>
      </c>
      <c r="AY347" s="4">
        <f>Base[[#This Row],['[SC']Budget_total_retraites]]/Base[[#This Row],['[SC']Nombre_de_retraités]]</f>
        <v>22386.987296509556</v>
      </c>
      <c r="AZ347" s="4">
        <f>Base[[#This Row],['[SC']Budget_par_retraité]]*Base[[#This Row],['[SC']Nb_personnes_dépendantes]]</f>
        <v>0</v>
      </c>
      <c r="BA347" s="4">
        <f>Base[[#This Row],['[SC']'[Dépendance']Coût_retraite_personnes_dépendantes]]/Base[[#This Row],[Population_totale]]</f>
        <v>0</v>
      </c>
      <c r="BB3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7" s="4">
        <f>Base[[#This Row],['[SC']'[Dépendance']Gains]]-Base[[#This Row],['[SC']'[Dépendance']Coûts]]</f>
        <v>0</v>
      </c>
      <c r="BD347" s="4">
        <f>IF(Base[[#This Row],[Pathologie]]&lt;&gt;"Mort prématurée",0,Base[[#This Row],[Risque]]*Base[[#This Row],[Prévalence]]*Base[[#This Row],[Population_totale]])</f>
        <v>0</v>
      </c>
      <c r="BE347" s="4">
        <v>52.74</v>
      </c>
      <c r="BF347" s="4">
        <f>Base[[#This Row],['[SC']Âge_moyen_retraite]]-Base[[#This Row],['[SC']'[Mort_prématurée']Âge_moyen_mort précoce]]</f>
        <v>10.159999999999997</v>
      </c>
      <c r="BG347" s="4">
        <f>Base[[#This Row],[Espérance_vie]]+Base[[#This Row],['[SC']Hausse_esp_de_vie]]-Base[[#This Row],['[SC']Âge_moyen_retraite]]</f>
        <v>20.236955218602098</v>
      </c>
      <c r="BH347" s="4">
        <v>106583.42676924677</v>
      </c>
      <c r="BI347" s="4">
        <v>97601.789429271477</v>
      </c>
      <c r="BJ347" s="4">
        <v>302038.31496633729</v>
      </c>
      <c r="BK347" s="4">
        <v>117293.58934859755</v>
      </c>
      <c r="BL347" s="4">
        <v>1523999.9999999995</v>
      </c>
      <c r="BM3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7" s="4">
        <v>294804.96027377353</v>
      </c>
      <c r="BO3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7" s="4">
        <f>(Base[[#This Row],['[SC']'[Mort_prématurée']Gains]]-Base[[#This Row],['[SC']'[Mort_prématurée']Coûts]])/Base[[#This Row],[Population_totale]]</f>
        <v>0</v>
      </c>
      <c r="BQ347" s="4">
        <f>IF(Base[[#This Row],[Pathologie]]&lt;&gt;"Mort prématurée",0,Base[[#This Row],[Risque]])</f>
        <v>0</v>
      </c>
      <c r="BR347" s="4">
        <v>2680</v>
      </c>
      <c r="BS3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7" s="4">
        <f>Base[[#This Row],[Prévalence_prod]]*(1-Base[[#This Row],[Risque]])*Base[[#This Row],[Durée_arrêt]]*Base[[#This Row],[Population_emploi]]</f>
        <v>58125746.397862785</v>
      </c>
      <c r="BV347" s="4">
        <f>Base[[#This Row],['[Prod']'[Absentéisme']Total_jours_absence_avant]]-Base[[#This Row],['[Prod']'[Absentéisme']Total_jours_absence_après]]</f>
        <v>13014662.693046205</v>
      </c>
      <c r="BW347" s="4">
        <f>IF(AND(Base[[#This Row],[Pathologie]]&lt;&gt;"Dépendance",Base[[#This Row],[Pathologie]]&lt;&gt;"Mort prématurée",Base[[#This Row],[Pathologie]]&lt;&gt;"Migraine"),0.0619,0)</f>
        <v>6.1899999999999997E-2</v>
      </c>
      <c r="BX347" s="4">
        <v>254</v>
      </c>
      <c r="BY34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7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7" s="4">
        <f>Base[[#This Row],[Prévalence_prod]]*Base[[#This Row],[Présentéisme]]*Base[[#This Row],['[Prod']Jours_ouvrés]]</f>
        <v>5.6349899999999993</v>
      </c>
      <c r="CB347" s="4">
        <f>Base[[#This Row],[Prévalence_prod]]*(1-Base[[#This Row],[Risque]])*Base[[#This Row],[Présentéisme]]*Base[[#This Row],['[Prod']Jours_ouvrés]]</f>
        <v>4.6041062158630286</v>
      </c>
      <c r="CC347" s="4">
        <f>Base[[#This Row],['[Prod']'[Présentéisme']Jours_avant]]-Base[[#This Row],['[Prod']'[Présentéisme']Jours_après]]</f>
        <v>1.0308837841369707</v>
      </c>
      <c r="CD347" s="4">
        <f>Base[[#This Row],['[Prod']'[Présentéisme']Jours_gagnés]]/Base[[#This Row],['[Prod']Jours_ouvrés]]</f>
        <v>4.0585975753424045E-3</v>
      </c>
      <c r="CE347">
        <v>7.5880726467531134E-2</v>
      </c>
      <c r="CF347">
        <v>1.989821358241517E-2</v>
      </c>
      <c r="CG347" s="4">
        <v>11</v>
      </c>
      <c r="CH347" s="4">
        <v>0.85274500894619554</v>
      </c>
      <c r="CI347" s="4">
        <v>4.2903496994109176E-2</v>
      </c>
      <c r="CJ347" s="4">
        <f>IF(Base[[#This Row],[Secteur]]&lt;&gt;"Moyenne",Base[[#This Row],['[Prod']'[Turnover']DMC_initiale]]*(1+Base[[#This Row],['[Prod']'[Turnover']Ecart_accidents]]*Base[[#This Row],['[Prod']Impact_motifs_turnover]]),CJ330*CI330+CJ331*CI331+CJ332*CI332+CJ333*CI333+CJ334*CI334+CJ335*CI335+CJ336*CI336+CJ337*CI337+CJ338*CI338+CJ339*CI339+CJ340*CI340+CJ341*CI341+CJ342*CI342+CJ343*CI343+CJ344*CI344+CJ345*CI345+CJ346*CI346)</f>
        <v>11.186649125512849</v>
      </c>
      <c r="CK347" s="4">
        <f>1/Base[[#This Row],['[Prod']'[Turnover']DMC_initiale]]</f>
        <v>9.0909090909090912E-2</v>
      </c>
      <c r="CL347" s="4">
        <f>1/Base[[#This Row],['[Prod']'[Turnover']DMC_finale]]</f>
        <v>8.9392273663017496E-2</v>
      </c>
    </row>
    <row r="348" spans="2:90" x14ac:dyDescent="0.25">
      <c r="B348" s="4" t="s">
        <v>322</v>
      </c>
      <c r="C348">
        <v>15</v>
      </c>
      <c r="D348" t="s">
        <v>83</v>
      </c>
      <c r="E348" t="s">
        <v>9</v>
      </c>
      <c r="F348" s="3">
        <v>0.18294332095300453</v>
      </c>
      <c r="G348" s="3">
        <v>0.14499999999999999</v>
      </c>
      <c r="H348" s="3">
        <v>0.14499999999999999</v>
      </c>
      <c r="I348" s="3">
        <v>0.153</v>
      </c>
      <c r="J348" s="3">
        <v>29.93</v>
      </c>
      <c r="K348" s="3">
        <v>7.0000000000000007E-2</v>
      </c>
      <c r="L348" s="2">
        <f>Base[[#This Row],[Coût]]*Base[[#This Row],[Part_ménages_dépenses_santé]]</f>
        <v>2.0951</v>
      </c>
      <c r="M348" s="2">
        <v>0.82690611956969029</v>
      </c>
      <c r="N348" s="6">
        <v>27700000</v>
      </c>
      <c r="O348" s="7">
        <f>Base[[#This Row],[Coût_salarié]]*10^9*Base[[#This Row],[Risque]]*Base[[#This Row],[Prévalence]]*Base[[#This Row],[Part_coûts_salarié]]/Base[[#This Row],[Population_emploi]]</f>
        <v>1.6590739890735007</v>
      </c>
      <c r="P348">
        <v>50</v>
      </c>
      <c r="Q348">
        <v>50</v>
      </c>
      <c r="R348" s="2">
        <v>9.9999999999999978E-2</v>
      </c>
      <c r="S348" s="2">
        <v>0.33340000000000003</v>
      </c>
      <c r="T348" s="4">
        <v>0.14499999999999999</v>
      </c>
      <c r="U348" s="4">
        <f>IF(Bases_annexes!$F$5=0,16.6587111018772,0.77*Bases_annexes!$F$5/(IF(OR(ISBLANK('Données_d''entrée'!$E$44),'Données_d''entrée'!$E$44=0),35,'Données_d''entrée'!$E$44)*52))</f>
        <v>16.658711101877199</v>
      </c>
      <c r="V348" s="4">
        <v>17.7120401072847</v>
      </c>
      <c r="W3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8" s="4">
        <v>234.5</v>
      </c>
      <c r="Y348" s="4">
        <f>(Base[[#This Row],['[Maladies']Coûts_évités_par_salarié]]+Base[[#This Row],['[Travail']Coûts_évités_par_salarié]])/Base[[#This Row],[Budget_santé_salarié]]</f>
        <v>6.6055060309971547E-2</v>
      </c>
      <c r="Z348" s="4">
        <v>0.8</v>
      </c>
      <c r="AA348" s="4">
        <f>Base[[#This Row],[Coût]]*Base[[#This Row],[Part_société_dépenses_santé]]</f>
        <v>23.944000000000003</v>
      </c>
      <c r="AB348" s="4">
        <v>67635124</v>
      </c>
      <c r="AC348" s="4">
        <v>82.297079063317852</v>
      </c>
      <c r="AD348" s="4">
        <v>0.14499999999999999</v>
      </c>
      <c r="AE348" s="4">
        <f>Base[[#This Row],['[SC']Prévalence_travail]]*Base[[#This Row],[Population_emploi]]</f>
        <v>4016499.9999999995</v>
      </c>
      <c r="AF348" s="4">
        <f>Base[[#This Row],[Risque]]*Base[[#This Row],['[SC']Patients_en_emploi]]</f>
        <v>734791.84860774258</v>
      </c>
      <c r="AG348" s="4">
        <v>5730042552.54</v>
      </c>
      <c r="AH348" s="4">
        <f>IFERROR(Base[[#This Row],['[SC']Prestations]]/Base[[#This Row],['[SC']Patients_en_emploi]],0)</f>
        <v>1426.625806682435</v>
      </c>
      <c r="AI348" s="4">
        <v>51.7</v>
      </c>
      <c r="AJ3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8" s="4">
        <f>Base[[#This Row],['[SC']'[Travail']Coûts_évités]]/Base[[#This Row],[Population_emploi]]</f>
        <v>37.84379111060283</v>
      </c>
      <c r="AL348" s="4">
        <f>Base[[#This Row],[Coût_société]]*10^9*Base[[#This Row],[Risque]]*Base[[#This Row],[Prévalence]]*Base[[#This Row],[Part_coûts_salarié]]/Base[[#This Row],[Population_emploi]]</f>
        <v>18.960845589411438</v>
      </c>
      <c r="AM348" s="4">
        <f>IF(Base[[#This Row],[Pathologie]]&lt;&gt;"Dépendance",0,14909.24243952)</f>
        <v>0</v>
      </c>
      <c r="AN348" s="4">
        <f>IF(Base[[#This Row],[Pathologie]]&lt;&gt;"Dépendance",0,1316000)</f>
        <v>0</v>
      </c>
      <c r="AO348" s="4">
        <f>IF(Base[[#This Row],[Pathologie]]&lt;&gt;"Dépendance",0,Base[[#This Row],['[SC']Coût_personne_dépendante]]*Base[[#This Row],['[SC']Nb_personnes_dépendantes]])</f>
        <v>0</v>
      </c>
      <c r="AP348" s="4">
        <f>IF(Base[[#This Row],[Pathologie]]&lt;&gt;"Dépendance",0,Base[[#This Row],['[SC']Coût_total_dépendance]]/Base[[#This Row],[Population_totale]])</f>
        <v>0</v>
      </c>
      <c r="AQ348" s="4">
        <f>IF(Base[[#This Row],[Pathologie]]&lt;&gt;"Dépendance",0,4.5)</f>
        <v>0</v>
      </c>
      <c r="AR348" s="4">
        <v>0.83987615528424797</v>
      </c>
      <c r="AS348" s="4">
        <f>Base[[#This Row],[Espérance_vie]]+Base[[#This Row],['[SC']Hausse_esp_de_vie]]-Base[[#This Row],['[SC']Durée_moyenne_dépendance_avt]]+Base[[#This Row],[Risque]]</f>
        <v>83.319898539555098</v>
      </c>
      <c r="AT3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8" s="4">
        <v>62.9</v>
      </c>
      <c r="AW348" s="4">
        <f t="shared" si="5"/>
        <v>336905600000</v>
      </c>
      <c r="AX348" s="4">
        <v>15049171</v>
      </c>
      <c r="AY348" s="4">
        <f>Base[[#This Row],['[SC']Budget_total_retraites]]/Base[[#This Row],['[SC']Nombre_de_retraités]]</f>
        <v>22386.987296509556</v>
      </c>
      <c r="AZ348" s="4">
        <f>Base[[#This Row],['[SC']Budget_par_retraité]]*Base[[#This Row],['[SC']Nb_personnes_dépendantes]]</f>
        <v>0</v>
      </c>
      <c r="BA348" s="4">
        <f>Base[[#This Row],['[SC']'[Dépendance']Coût_retraite_personnes_dépendantes]]/Base[[#This Row],[Population_totale]]</f>
        <v>0</v>
      </c>
      <c r="BB3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8" s="4">
        <f>Base[[#This Row],['[SC']'[Dépendance']Gains]]-Base[[#This Row],['[SC']'[Dépendance']Coûts]]</f>
        <v>0</v>
      </c>
      <c r="BD348" s="4">
        <f>IF(Base[[#This Row],[Pathologie]]&lt;&gt;"Mort prématurée",0,Base[[#This Row],[Risque]]*Base[[#This Row],[Prévalence]]*Base[[#This Row],[Population_totale]])</f>
        <v>0</v>
      </c>
      <c r="BE348" s="4">
        <v>52.74</v>
      </c>
      <c r="BF348" s="4">
        <f>Base[[#This Row],['[SC']Âge_moyen_retraite]]-Base[[#This Row],['[SC']'[Mort_prématurée']Âge_moyen_mort précoce]]</f>
        <v>10.159999999999997</v>
      </c>
      <c r="BG348" s="4">
        <f>Base[[#This Row],[Espérance_vie]]+Base[[#This Row],['[SC']Hausse_esp_de_vie]]-Base[[#This Row],['[SC']Âge_moyen_retraite]]</f>
        <v>20.236955218602098</v>
      </c>
      <c r="BH348" s="4">
        <v>106583.42676924677</v>
      </c>
      <c r="BI348" s="4">
        <v>97601.789429271477</v>
      </c>
      <c r="BJ348" s="4">
        <v>302038.31496633729</v>
      </c>
      <c r="BK348" s="4">
        <v>117293.58934859755</v>
      </c>
      <c r="BL348" s="4">
        <v>1523999.9999999995</v>
      </c>
      <c r="BM3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8" s="4">
        <v>294804.96027377353</v>
      </c>
      <c r="BO3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8" s="4">
        <f>(Base[[#This Row],['[SC']'[Mort_prématurée']Gains]]-Base[[#This Row],['[SC']'[Mort_prématurée']Coûts]])/Base[[#This Row],[Population_totale]]</f>
        <v>0</v>
      </c>
      <c r="BQ348" s="4">
        <f>IF(Base[[#This Row],[Pathologie]]&lt;&gt;"Mort prématurée",0,Base[[#This Row],[Risque]])</f>
        <v>0</v>
      </c>
      <c r="BR348" s="4">
        <v>2680</v>
      </c>
      <c r="BS3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8" s="4">
        <f>Base[[#This Row],[Prévalence_prod]]*(1-Base[[#This Row],[Risque]])*Base[[#This Row],[Durée_arrêt]]*Base[[#This Row],[Population_emploi]]</f>
        <v>58125746.397862785</v>
      </c>
      <c r="BV348" s="4">
        <f>Base[[#This Row],['[Prod']'[Absentéisme']Total_jours_absence_avant]]-Base[[#This Row],['[Prod']'[Absentéisme']Total_jours_absence_après]]</f>
        <v>13014662.693046205</v>
      </c>
      <c r="BW348" s="4">
        <f>IF(AND(Base[[#This Row],[Pathologie]]&lt;&gt;"Dépendance",Base[[#This Row],[Pathologie]]&lt;&gt;"Mort prématurée",Base[[#This Row],[Pathologie]]&lt;&gt;"Migraine"),0.0619,0)</f>
        <v>6.1899999999999997E-2</v>
      </c>
      <c r="BX348" s="4">
        <v>254</v>
      </c>
      <c r="BY34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8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8" s="4">
        <f>Base[[#This Row],[Prévalence_prod]]*Base[[#This Row],[Présentéisme]]*Base[[#This Row],['[Prod']Jours_ouvrés]]</f>
        <v>5.6349899999999993</v>
      </c>
      <c r="CB348" s="4">
        <f>Base[[#This Row],[Prévalence_prod]]*(1-Base[[#This Row],[Risque]])*Base[[#This Row],[Présentéisme]]*Base[[#This Row],['[Prod']Jours_ouvrés]]</f>
        <v>4.6041062158630286</v>
      </c>
      <c r="CC348" s="4">
        <f>Base[[#This Row],['[Prod']'[Présentéisme']Jours_avant]]-Base[[#This Row],['[Prod']'[Présentéisme']Jours_après]]</f>
        <v>1.0308837841369707</v>
      </c>
      <c r="CD348" s="4">
        <f>Base[[#This Row],['[Prod']'[Présentéisme']Jours_gagnés]]/Base[[#This Row],['[Prod']Jours_ouvrés]]</f>
        <v>4.0585975753424045E-3</v>
      </c>
      <c r="CE348">
        <v>7.5880726467531134E-2</v>
      </c>
      <c r="CF348">
        <v>1.989821358241517E-2</v>
      </c>
      <c r="CG348" s="4">
        <v>11</v>
      </c>
      <c r="CH348" s="4">
        <v>1.6219398392978641</v>
      </c>
      <c r="CI348" s="4">
        <v>9.628527536862988E-2</v>
      </c>
      <c r="CJ348" s="4">
        <f>IF(Base[[#This Row],[Secteur]]&lt;&gt;"Moyenne",Base[[#This Row],['[Prod']'[Turnover']DMC_initiale]]*(1+Base[[#This Row],['[Prod']'[Turnover']Ecart_accidents]]*Base[[#This Row],['[Prod']Impact_motifs_turnover]]),CJ331*CI331+CJ332*CI332+CJ333*CI333+CJ334*CI334+CJ335*CI335+CJ336*CI336+CJ337*CI337+CJ338*CI338+CJ339*CI339+CJ340*CI340+CJ341*CI341+CJ342*CI342+CJ343*CI343+CJ344*CI344+CJ345*CI345+CJ346*CI346+CJ347*CI347)</f>
        <v>11.355010758741946</v>
      </c>
      <c r="CK348" s="4">
        <f>1/Base[[#This Row],['[Prod']'[Turnover']DMC_initiale]]</f>
        <v>9.0909090909090912E-2</v>
      </c>
      <c r="CL348" s="4">
        <f>1/Base[[#This Row],['[Prod']'[Turnover']DMC_finale]]</f>
        <v>8.8066847425056327E-2</v>
      </c>
    </row>
    <row r="349" spans="2:90" x14ac:dyDescent="0.25">
      <c r="B349" s="4" t="s">
        <v>323</v>
      </c>
      <c r="C349">
        <v>15</v>
      </c>
      <c r="D349" t="s">
        <v>83</v>
      </c>
      <c r="E349" t="s">
        <v>9</v>
      </c>
      <c r="F349" s="3">
        <v>0.18294332095300453</v>
      </c>
      <c r="G349" s="3">
        <v>0.14499999999999999</v>
      </c>
      <c r="H349" s="3">
        <v>0.14499999999999999</v>
      </c>
      <c r="I349" s="3">
        <v>0.153</v>
      </c>
      <c r="J349" s="3">
        <v>29.93</v>
      </c>
      <c r="K349" s="3">
        <v>7.0000000000000007E-2</v>
      </c>
      <c r="L349" s="2">
        <f>Base[[#This Row],[Coût]]*Base[[#This Row],[Part_ménages_dépenses_santé]]</f>
        <v>2.0951</v>
      </c>
      <c r="M349" s="2">
        <v>0.82690611956969029</v>
      </c>
      <c r="N349" s="6">
        <v>27700000</v>
      </c>
      <c r="O349" s="7">
        <f>Base[[#This Row],[Coût_salarié]]*10^9*Base[[#This Row],[Risque]]*Base[[#This Row],[Prévalence]]*Base[[#This Row],[Part_coûts_salarié]]/Base[[#This Row],[Population_emploi]]</f>
        <v>1.6590739890735007</v>
      </c>
      <c r="P349">
        <v>50</v>
      </c>
      <c r="Q349">
        <v>50</v>
      </c>
      <c r="R349" s="2">
        <v>9.9999999999999978E-2</v>
      </c>
      <c r="S349" s="2">
        <v>0.33340000000000003</v>
      </c>
      <c r="T349" s="4">
        <v>0.14499999999999999</v>
      </c>
      <c r="U349" s="4">
        <f>IF(Bases_annexes!$F$5=0,16.6587111018772,0.77*Bases_annexes!$F$5/(IF(OR(ISBLANK('Données_d''entrée'!$E$44),'Données_d''entrée'!$E$44=0),35,'Données_d''entrée'!$E$44)*52))</f>
        <v>16.658711101877199</v>
      </c>
      <c r="V349" s="4">
        <v>17.7120401072847</v>
      </c>
      <c r="W3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49" s="4">
        <v>234.5</v>
      </c>
      <c r="Y349" s="4">
        <f>(Base[[#This Row],['[Maladies']Coûts_évités_par_salarié]]+Base[[#This Row],['[Travail']Coûts_évités_par_salarié]])/Base[[#This Row],[Budget_santé_salarié]]</f>
        <v>6.6055060309971547E-2</v>
      </c>
      <c r="Z349" s="4">
        <v>0.8</v>
      </c>
      <c r="AA349" s="4">
        <f>Base[[#This Row],[Coût]]*Base[[#This Row],[Part_société_dépenses_santé]]</f>
        <v>23.944000000000003</v>
      </c>
      <c r="AB349" s="4">
        <v>67635124</v>
      </c>
      <c r="AC349" s="4">
        <v>82.297079063317852</v>
      </c>
      <c r="AD349" s="4">
        <v>0.14499999999999999</v>
      </c>
      <c r="AE349" s="4">
        <f>Base[[#This Row],['[SC']Prévalence_travail]]*Base[[#This Row],[Population_emploi]]</f>
        <v>4016499.9999999995</v>
      </c>
      <c r="AF349" s="4">
        <f>Base[[#This Row],[Risque]]*Base[[#This Row],['[SC']Patients_en_emploi]]</f>
        <v>734791.84860774258</v>
      </c>
      <c r="AG349" s="4">
        <v>5730042552.54</v>
      </c>
      <c r="AH349" s="4">
        <f>IFERROR(Base[[#This Row],['[SC']Prestations]]/Base[[#This Row],['[SC']Patients_en_emploi]],0)</f>
        <v>1426.625806682435</v>
      </c>
      <c r="AI349" s="4">
        <v>51.7</v>
      </c>
      <c r="AJ3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49" s="4">
        <f>Base[[#This Row],['[SC']'[Travail']Coûts_évités]]/Base[[#This Row],[Population_emploi]]</f>
        <v>37.84379111060283</v>
      </c>
      <c r="AL349" s="4">
        <f>Base[[#This Row],[Coût_société]]*10^9*Base[[#This Row],[Risque]]*Base[[#This Row],[Prévalence]]*Base[[#This Row],[Part_coûts_salarié]]/Base[[#This Row],[Population_emploi]]</f>
        <v>18.960845589411438</v>
      </c>
      <c r="AM349" s="4">
        <f>IF(Base[[#This Row],[Pathologie]]&lt;&gt;"Dépendance",0,14909.24243952)</f>
        <v>0</v>
      </c>
      <c r="AN349" s="4">
        <f>IF(Base[[#This Row],[Pathologie]]&lt;&gt;"Dépendance",0,1316000)</f>
        <v>0</v>
      </c>
      <c r="AO349" s="4">
        <f>IF(Base[[#This Row],[Pathologie]]&lt;&gt;"Dépendance",0,Base[[#This Row],['[SC']Coût_personne_dépendante]]*Base[[#This Row],['[SC']Nb_personnes_dépendantes]])</f>
        <v>0</v>
      </c>
      <c r="AP349" s="4">
        <f>IF(Base[[#This Row],[Pathologie]]&lt;&gt;"Dépendance",0,Base[[#This Row],['[SC']Coût_total_dépendance]]/Base[[#This Row],[Population_totale]])</f>
        <v>0</v>
      </c>
      <c r="AQ349" s="4">
        <f>IF(Base[[#This Row],[Pathologie]]&lt;&gt;"Dépendance",0,4.5)</f>
        <v>0</v>
      </c>
      <c r="AR349" s="4">
        <v>0.83987615528424797</v>
      </c>
      <c r="AS349" s="4">
        <f>Base[[#This Row],[Espérance_vie]]+Base[[#This Row],['[SC']Hausse_esp_de_vie]]-Base[[#This Row],['[SC']Durée_moyenne_dépendance_avt]]+Base[[#This Row],[Risque]]</f>
        <v>83.319898539555098</v>
      </c>
      <c r="AT3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49" s="4">
        <v>62.9</v>
      </c>
      <c r="AW349" s="4">
        <f t="shared" si="5"/>
        <v>336905600000</v>
      </c>
      <c r="AX349" s="4">
        <v>15049171</v>
      </c>
      <c r="AY349" s="4">
        <f>Base[[#This Row],['[SC']Budget_total_retraites]]/Base[[#This Row],['[SC']Nombre_de_retraités]]</f>
        <v>22386.987296509556</v>
      </c>
      <c r="AZ349" s="4">
        <f>Base[[#This Row],['[SC']Budget_par_retraité]]*Base[[#This Row],['[SC']Nb_personnes_dépendantes]]</f>
        <v>0</v>
      </c>
      <c r="BA349" s="4">
        <f>Base[[#This Row],['[SC']'[Dépendance']Coût_retraite_personnes_dépendantes]]/Base[[#This Row],[Population_totale]]</f>
        <v>0</v>
      </c>
      <c r="BB3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49" s="4">
        <f>Base[[#This Row],['[SC']'[Dépendance']Gains]]-Base[[#This Row],['[SC']'[Dépendance']Coûts]]</f>
        <v>0</v>
      </c>
      <c r="BD349" s="4">
        <f>IF(Base[[#This Row],[Pathologie]]&lt;&gt;"Mort prématurée",0,Base[[#This Row],[Risque]]*Base[[#This Row],[Prévalence]]*Base[[#This Row],[Population_totale]])</f>
        <v>0</v>
      </c>
      <c r="BE349" s="4">
        <v>52.74</v>
      </c>
      <c r="BF349" s="4">
        <f>Base[[#This Row],['[SC']Âge_moyen_retraite]]-Base[[#This Row],['[SC']'[Mort_prématurée']Âge_moyen_mort précoce]]</f>
        <v>10.159999999999997</v>
      </c>
      <c r="BG349" s="4">
        <f>Base[[#This Row],[Espérance_vie]]+Base[[#This Row],['[SC']Hausse_esp_de_vie]]-Base[[#This Row],['[SC']Âge_moyen_retraite]]</f>
        <v>20.236955218602098</v>
      </c>
      <c r="BH349" s="4">
        <v>106583.42676924677</v>
      </c>
      <c r="BI349" s="4">
        <v>97601.789429271477</v>
      </c>
      <c r="BJ349" s="4">
        <v>302038.31496633729</v>
      </c>
      <c r="BK349" s="4">
        <v>117293.58934859755</v>
      </c>
      <c r="BL349" s="4">
        <v>1523999.9999999995</v>
      </c>
      <c r="BM3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49" s="4">
        <v>294804.96027377353</v>
      </c>
      <c r="BO3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49" s="4">
        <f>(Base[[#This Row],['[SC']'[Mort_prématurée']Gains]]-Base[[#This Row],['[SC']'[Mort_prématurée']Coûts]])/Base[[#This Row],[Population_totale]]</f>
        <v>0</v>
      </c>
      <c r="BQ349" s="4">
        <f>IF(Base[[#This Row],[Pathologie]]&lt;&gt;"Mort prématurée",0,Base[[#This Row],[Risque]])</f>
        <v>0</v>
      </c>
      <c r="BR349" s="4">
        <v>2680</v>
      </c>
      <c r="BS3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49" s="4">
        <f>Base[[#This Row],[Prévalence_prod]]*(1-Base[[#This Row],[Risque]])*Base[[#This Row],[Durée_arrêt]]*Base[[#This Row],[Population_emploi]]</f>
        <v>58125746.397862785</v>
      </c>
      <c r="BV349" s="4">
        <f>Base[[#This Row],['[Prod']'[Absentéisme']Total_jours_absence_avant]]-Base[[#This Row],['[Prod']'[Absentéisme']Total_jours_absence_après]]</f>
        <v>13014662.693046205</v>
      </c>
      <c r="BW349" s="4">
        <f>IF(AND(Base[[#This Row],[Pathologie]]&lt;&gt;"Dépendance",Base[[#This Row],[Pathologie]]&lt;&gt;"Mort prématurée",Base[[#This Row],[Pathologie]]&lt;&gt;"Migraine"),0.0619,0)</f>
        <v>6.1899999999999997E-2</v>
      </c>
      <c r="BX349" s="4">
        <v>254</v>
      </c>
      <c r="BY349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49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49" s="4">
        <f>Base[[#This Row],[Prévalence_prod]]*Base[[#This Row],[Présentéisme]]*Base[[#This Row],['[Prod']Jours_ouvrés]]</f>
        <v>5.6349899999999993</v>
      </c>
      <c r="CB349" s="4">
        <f>Base[[#This Row],[Prévalence_prod]]*(1-Base[[#This Row],[Risque]])*Base[[#This Row],[Présentéisme]]*Base[[#This Row],['[Prod']Jours_ouvrés]]</f>
        <v>4.6041062158630286</v>
      </c>
      <c r="CC349" s="4">
        <f>Base[[#This Row],['[Prod']'[Présentéisme']Jours_avant]]-Base[[#This Row],['[Prod']'[Présentéisme']Jours_après]]</f>
        <v>1.0308837841369707</v>
      </c>
      <c r="CD349" s="4">
        <f>Base[[#This Row],['[Prod']'[Présentéisme']Jours_gagnés]]/Base[[#This Row],['[Prod']Jours_ouvrés]]</f>
        <v>4.0585975753424045E-3</v>
      </c>
      <c r="CE349">
        <v>7.5880726467531134E-2</v>
      </c>
      <c r="CF349">
        <v>1.989821358241517E-2</v>
      </c>
      <c r="CG349" s="4">
        <v>11</v>
      </c>
      <c r="CH349" s="4">
        <v>0.96913802401210614</v>
      </c>
      <c r="CI349" s="4">
        <v>0.10293966445307301</v>
      </c>
      <c r="CJ349" s="4">
        <f>IF(Base[[#This Row],[Secteur]]&lt;&gt;"Moyenne",Base[[#This Row],['[Prod']'[Turnover']DMC_initiale]]*(1+Base[[#This Row],['[Prod']'[Turnover']Ecart_accidents]]*Base[[#This Row],['[Prod']Impact_motifs_turnover]]),CJ332*CI332+CJ333*CI333+CJ334*CI334+CJ335*CI335+CJ336*CI336+CJ337*CI337+CJ338*CI338+CJ339*CI339+CJ340*CI340+CJ341*CI341+CJ342*CI342+CJ343*CI343+CJ344*CI344+CJ345*CI345+CJ346*CI346+CJ347*CI347+CJ348*CI348)</f>
        <v>11.212125269318959</v>
      </c>
      <c r="CK349" s="4">
        <f>1/Base[[#This Row],['[Prod']'[Turnover']DMC_initiale]]</f>
        <v>9.0909090909090912E-2</v>
      </c>
      <c r="CL349" s="4">
        <f>1/Base[[#This Row],['[Prod']'[Turnover']DMC_finale]]</f>
        <v>8.9189156915363429E-2</v>
      </c>
    </row>
    <row r="350" spans="2:90" x14ac:dyDescent="0.25">
      <c r="B350" s="4" t="s">
        <v>324</v>
      </c>
      <c r="C350">
        <v>15</v>
      </c>
      <c r="D350" t="s">
        <v>83</v>
      </c>
      <c r="E350" t="s">
        <v>9</v>
      </c>
      <c r="F350" s="3">
        <v>0.18294332095300453</v>
      </c>
      <c r="G350" s="3">
        <v>0.14499999999999999</v>
      </c>
      <c r="H350" s="3">
        <v>0.14499999999999999</v>
      </c>
      <c r="I350" s="3">
        <v>0.153</v>
      </c>
      <c r="J350" s="3">
        <v>29.93</v>
      </c>
      <c r="K350" s="3">
        <v>7.0000000000000007E-2</v>
      </c>
      <c r="L350" s="2">
        <f>Base[[#This Row],[Coût]]*Base[[#This Row],[Part_ménages_dépenses_santé]]</f>
        <v>2.0951</v>
      </c>
      <c r="M350" s="2">
        <v>0.82690611956969029</v>
      </c>
      <c r="N350" s="6">
        <v>27700000</v>
      </c>
      <c r="O350" s="7">
        <f>Base[[#This Row],[Coût_salarié]]*10^9*Base[[#This Row],[Risque]]*Base[[#This Row],[Prévalence]]*Base[[#This Row],[Part_coûts_salarié]]/Base[[#This Row],[Population_emploi]]</f>
        <v>1.6590739890735007</v>
      </c>
      <c r="P350">
        <v>50</v>
      </c>
      <c r="Q350">
        <v>50</v>
      </c>
      <c r="R350" s="2">
        <v>9.9999999999999978E-2</v>
      </c>
      <c r="S350" s="2">
        <v>0.33340000000000003</v>
      </c>
      <c r="T350" s="4">
        <v>0.14499999999999999</v>
      </c>
      <c r="U350" s="4">
        <f>IF(Bases_annexes!$F$5=0,16.6587111018772,0.77*Bases_annexes!$F$5/(IF(OR(ISBLANK('Données_d''entrée'!$E$44),'Données_d''entrée'!$E$44=0),35,'Données_d''entrée'!$E$44)*52))</f>
        <v>16.658711101877199</v>
      </c>
      <c r="V350" s="4">
        <v>17.7120401072847</v>
      </c>
      <c r="W3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0" s="4">
        <v>234.5</v>
      </c>
      <c r="Y350" s="4">
        <f>(Base[[#This Row],['[Maladies']Coûts_évités_par_salarié]]+Base[[#This Row],['[Travail']Coûts_évités_par_salarié]])/Base[[#This Row],[Budget_santé_salarié]]</f>
        <v>6.6055060309971547E-2</v>
      </c>
      <c r="Z350" s="4">
        <v>0.8</v>
      </c>
      <c r="AA350" s="4">
        <f>Base[[#This Row],[Coût]]*Base[[#This Row],[Part_société_dépenses_santé]]</f>
        <v>23.944000000000003</v>
      </c>
      <c r="AB350" s="4">
        <v>67635124</v>
      </c>
      <c r="AC350" s="4">
        <v>82.297079063317852</v>
      </c>
      <c r="AD350" s="4">
        <v>0.14499999999999999</v>
      </c>
      <c r="AE350" s="4">
        <f>Base[[#This Row],['[SC']Prévalence_travail]]*Base[[#This Row],[Population_emploi]]</f>
        <v>4016499.9999999995</v>
      </c>
      <c r="AF350" s="4">
        <f>Base[[#This Row],[Risque]]*Base[[#This Row],['[SC']Patients_en_emploi]]</f>
        <v>734791.84860774258</v>
      </c>
      <c r="AG350" s="4">
        <v>5730042552.54</v>
      </c>
      <c r="AH350" s="4">
        <f>IFERROR(Base[[#This Row],['[SC']Prestations]]/Base[[#This Row],['[SC']Patients_en_emploi]],0)</f>
        <v>1426.625806682435</v>
      </c>
      <c r="AI350" s="4">
        <v>51.7</v>
      </c>
      <c r="AJ3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0" s="4">
        <f>Base[[#This Row],['[SC']'[Travail']Coûts_évités]]/Base[[#This Row],[Population_emploi]]</f>
        <v>37.84379111060283</v>
      </c>
      <c r="AL350" s="4">
        <f>Base[[#This Row],[Coût_société]]*10^9*Base[[#This Row],[Risque]]*Base[[#This Row],[Prévalence]]*Base[[#This Row],[Part_coûts_salarié]]/Base[[#This Row],[Population_emploi]]</f>
        <v>18.960845589411438</v>
      </c>
      <c r="AM350" s="4">
        <f>IF(Base[[#This Row],[Pathologie]]&lt;&gt;"Dépendance",0,14909.24243952)</f>
        <v>0</v>
      </c>
      <c r="AN350" s="4">
        <f>IF(Base[[#This Row],[Pathologie]]&lt;&gt;"Dépendance",0,1316000)</f>
        <v>0</v>
      </c>
      <c r="AO350" s="4">
        <f>IF(Base[[#This Row],[Pathologie]]&lt;&gt;"Dépendance",0,Base[[#This Row],['[SC']Coût_personne_dépendante]]*Base[[#This Row],['[SC']Nb_personnes_dépendantes]])</f>
        <v>0</v>
      </c>
      <c r="AP350" s="4">
        <f>IF(Base[[#This Row],[Pathologie]]&lt;&gt;"Dépendance",0,Base[[#This Row],['[SC']Coût_total_dépendance]]/Base[[#This Row],[Population_totale]])</f>
        <v>0</v>
      </c>
      <c r="AQ350" s="4">
        <f>IF(Base[[#This Row],[Pathologie]]&lt;&gt;"Dépendance",0,4.5)</f>
        <v>0</v>
      </c>
      <c r="AR350" s="4">
        <v>0.83987615528424797</v>
      </c>
      <c r="AS350" s="4">
        <f>Base[[#This Row],[Espérance_vie]]+Base[[#This Row],['[SC']Hausse_esp_de_vie]]-Base[[#This Row],['[SC']Durée_moyenne_dépendance_avt]]+Base[[#This Row],[Risque]]</f>
        <v>83.319898539555098</v>
      </c>
      <c r="AT3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0" s="4">
        <v>62.9</v>
      </c>
      <c r="AW350" s="4">
        <f t="shared" si="5"/>
        <v>336905600000</v>
      </c>
      <c r="AX350" s="4">
        <v>15049171</v>
      </c>
      <c r="AY350" s="4">
        <f>Base[[#This Row],['[SC']Budget_total_retraites]]/Base[[#This Row],['[SC']Nombre_de_retraités]]</f>
        <v>22386.987296509556</v>
      </c>
      <c r="AZ350" s="4">
        <f>Base[[#This Row],['[SC']Budget_par_retraité]]*Base[[#This Row],['[SC']Nb_personnes_dépendantes]]</f>
        <v>0</v>
      </c>
      <c r="BA350" s="4">
        <f>Base[[#This Row],['[SC']'[Dépendance']Coût_retraite_personnes_dépendantes]]/Base[[#This Row],[Population_totale]]</f>
        <v>0</v>
      </c>
      <c r="BB3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0" s="4">
        <f>Base[[#This Row],['[SC']'[Dépendance']Gains]]-Base[[#This Row],['[SC']'[Dépendance']Coûts]]</f>
        <v>0</v>
      </c>
      <c r="BD350" s="4">
        <f>IF(Base[[#This Row],[Pathologie]]&lt;&gt;"Mort prématurée",0,Base[[#This Row],[Risque]]*Base[[#This Row],[Prévalence]]*Base[[#This Row],[Population_totale]])</f>
        <v>0</v>
      </c>
      <c r="BE350" s="4">
        <v>52.74</v>
      </c>
      <c r="BF350" s="4">
        <f>Base[[#This Row],['[SC']Âge_moyen_retraite]]-Base[[#This Row],['[SC']'[Mort_prématurée']Âge_moyen_mort précoce]]</f>
        <v>10.159999999999997</v>
      </c>
      <c r="BG350" s="4">
        <f>Base[[#This Row],[Espérance_vie]]+Base[[#This Row],['[SC']Hausse_esp_de_vie]]-Base[[#This Row],['[SC']Âge_moyen_retraite]]</f>
        <v>20.236955218602098</v>
      </c>
      <c r="BH350" s="4">
        <v>106583.42676924677</v>
      </c>
      <c r="BI350" s="4">
        <v>97601.789429271477</v>
      </c>
      <c r="BJ350" s="4">
        <v>302038.31496633729</v>
      </c>
      <c r="BK350" s="4">
        <v>117293.58934859755</v>
      </c>
      <c r="BL350" s="4">
        <v>1523999.9999999995</v>
      </c>
      <c r="BM3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0" s="4">
        <v>294804.96027377353</v>
      </c>
      <c r="BO3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0" s="4">
        <f>(Base[[#This Row],['[SC']'[Mort_prématurée']Gains]]-Base[[#This Row],['[SC']'[Mort_prématurée']Coûts]])/Base[[#This Row],[Population_totale]]</f>
        <v>0</v>
      </c>
      <c r="BQ350" s="4">
        <f>IF(Base[[#This Row],[Pathologie]]&lt;&gt;"Mort prématurée",0,Base[[#This Row],[Risque]])</f>
        <v>0</v>
      </c>
      <c r="BR350" s="4">
        <v>2680</v>
      </c>
      <c r="BS3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0" s="4">
        <f>Base[[#This Row],[Prévalence_prod]]*(1-Base[[#This Row],[Risque]])*Base[[#This Row],[Durée_arrêt]]*Base[[#This Row],[Population_emploi]]</f>
        <v>58125746.397862785</v>
      </c>
      <c r="BV350" s="4">
        <f>Base[[#This Row],['[Prod']'[Absentéisme']Total_jours_absence_avant]]-Base[[#This Row],['[Prod']'[Absentéisme']Total_jours_absence_après]]</f>
        <v>13014662.693046205</v>
      </c>
      <c r="BW350" s="4">
        <f>IF(AND(Base[[#This Row],[Pathologie]]&lt;&gt;"Dépendance",Base[[#This Row],[Pathologie]]&lt;&gt;"Mort prématurée",Base[[#This Row],[Pathologie]]&lt;&gt;"Migraine"),0.0619,0)</f>
        <v>6.1899999999999997E-2</v>
      </c>
      <c r="BX350" s="4">
        <v>254</v>
      </c>
      <c r="BY350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0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0" s="4">
        <f>Base[[#This Row],[Prévalence_prod]]*Base[[#This Row],[Présentéisme]]*Base[[#This Row],['[Prod']Jours_ouvrés]]</f>
        <v>5.6349899999999993</v>
      </c>
      <c r="CB350" s="4">
        <f>Base[[#This Row],[Prévalence_prod]]*(1-Base[[#This Row],[Risque]])*Base[[#This Row],[Présentéisme]]*Base[[#This Row],['[Prod']Jours_ouvrés]]</f>
        <v>4.6041062158630286</v>
      </c>
      <c r="CC350" s="4">
        <f>Base[[#This Row],['[Prod']'[Présentéisme']Jours_avant]]-Base[[#This Row],['[Prod']'[Présentéisme']Jours_après]]</f>
        <v>1.0308837841369707</v>
      </c>
      <c r="CD350" s="4">
        <f>Base[[#This Row],['[Prod']'[Présentéisme']Jours_gagnés]]/Base[[#This Row],['[Prod']Jours_ouvrés]]</f>
        <v>4.0585975753424045E-3</v>
      </c>
      <c r="CE350">
        <v>7.5880726467531134E-2</v>
      </c>
      <c r="CF350">
        <v>1.989821358241517E-2</v>
      </c>
      <c r="CG350" s="4">
        <v>11</v>
      </c>
      <c r="CH350" s="4">
        <v>1.3987208237662601</v>
      </c>
      <c r="CI350" s="4">
        <v>2.1768516166491274E-2</v>
      </c>
      <c r="CJ350" s="4">
        <f>IF(Base[[#This Row],[Secteur]]&lt;&gt;"Moyenne",Base[[#This Row],['[Prod']'[Turnover']DMC_initiale]]*(1+Base[[#This Row],['[Prod']'[Turnover']Ecart_accidents]]*Base[[#This Row],['[Prod']Impact_motifs_turnover]]),CJ333*CI333+CJ334*CI334+CJ335*CI335+CJ336*CI336+CJ337*CI337+CJ338*CI338+CJ339*CI339+CJ340*CI340+CJ341*CI341+CJ342*CI342+CJ343*CI343+CJ344*CI344+CJ345*CI345+CJ346*CI346+CJ347*CI347+CJ348*CI348+CJ349*CI349)</f>
        <v>11.306152502628199</v>
      </c>
      <c r="CK350" s="4">
        <f>1/Base[[#This Row],['[Prod']'[Turnover']DMC_initiale]]</f>
        <v>9.0909090909090912E-2</v>
      </c>
      <c r="CL350" s="4">
        <f>1/Base[[#This Row],['[Prod']'[Turnover']DMC_finale]]</f>
        <v>8.8447418320913546E-2</v>
      </c>
    </row>
    <row r="351" spans="2:90" x14ac:dyDescent="0.25">
      <c r="B351" s="4" t="s">
        <v>325</v>
      </c>
      <c r="C351">
        <v>15</v>
      </c>
      <c r="D351" t="s">
        <v>83</v>
      </c>
      <c r="E351" t="s">
        <v>9</v>
      </c>
      <c r="F351" s="3">
        <v>0.18294332095300453</v>
      </c>
      <c r="G351" s="3">
        <v>0.14499999999999999</v>
      </c>
      <c r="H351" s="3">
        <v>0.14499999999999999</v>
      </c>
      <c r="I351" s="3">
        <v>0.153</v>
      </c>
      <c r="J351" s="3">
        <v>29.93</v>
      </c>
      <c r="K351" s="3">
        <v>7.0000000000000007E-2</v>
      </c>
      <c r="L351" s="2">
        <f>Base[[#This Row],[Coût]]*Base[[#This Row],[Part_ménages_dépenses_santé]]</f>
        <v>2.0951</v>
      </c>
      <c r="M351" s="2">
        <v>0.82690611956969029</v>
      </c>
      <c r="N351" s="6">
        <v>27700000</v>
      </c>
      <c r="O351" s="7">
        <f>Base[[#This Row],[Coût_salarié]]*10^9*Base[[#This Row],[Risque]]*Base[[#This Row],[Prévalence]]*Base[[#This Row],[Part_coûts_salarié]]/Base[[#This Row],[Population_emploi]]</f>
        <v>1.6590739890735007</v>
      </c>
      <c r="P351">
        <v>50</v>
      </c>
      <c r="Q351">
        <v>50</v>
      </c>
      <c r="R351" s="2">
        <v>9.9999999999999978E-2</v>
      </c>
      <c r="S351" s="2">
        <v>0.33340000000000003</v>
      </c>
      <c r="T351" s="4">
        <v>0.14499999999999999</v>
      </c>
      <c r="U351" s="4">
        <f>IF(Bases_annexes!$F$5=0,16.6587111018772,0.77*Bases_annexes!$F$5/(IF(OR(ISBLANK('Données_d''entrée'!$E$44),'Données_d''entrée'!$E$44=0),35,'Données_d''entrée'!$E$44)*52))</f>
        <v>16.658711101877199</v>
      </c>
      <c r="V351" s="4">
        <v>17.7120401072847</v>
      </c>
      <c r="W3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1" s="4">
        <v>234.5</v>
      </c>
      <c r="Y351" s="4">
        <f>(Base[[#This Row],['[Maladies']Coûts_évités_par_salarié]]+Base[[#This Row],['[Travail']Coûts_évités_par_salarié]])/Base[[#This Row],[Budget_santé_salarié]]</f>
        <v>6.6055060309971547E-2</v>
      </c>
      <c r="Z351" s="4">
        <v>0.8</v>
      </c>
      <c r="AA351" s="4">
        <f>Base[[#This Row],[Coût]]*Base[[#This Row],[Part_société_dépenses_santé]]</f>
        <v>23.944000000000003</v>
      </c>
      <c r="AB351" s="4">
        <v>67635124</v>
      </c>
      <c r="AC351" s="4">
        <v>82.297079063317852</v>
      </c>
      <c r="AD351" s="4">
        <v>0.14499999999999999</v>
      </c>
      <c r="AE351" s="4">
        <f>Base[[#This Row],['[SC']Prévalence_travail]]*Base[[#This Row],[Population_emploi]]</f>
        <v>4016499.9999999995</v>
      </c>
      <c r="AF351" s="4">
        <f>Base[[#This Row],[Risque]]*Base[[#This Row],['[SC']Patients_en_emploi]]</f>
        <v>734791.84860774258</v>
      </c>
      <c r="AG351" s="4">
        <v>5730042552.54</v>
      </c>
      <c r="AH351" s="4">
        <f>IFERROR(Base[[#This Row],['[SC']Prestations]]/Base[[#This Row],['[SC']Patients_en_emploi]],0)</f>
        <v>1426.625806682435</v>
      </c>
      <c r="AI351" s="4">
        <v>51.7</v>
      </c>
      <c r="AJ3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1" s="4">
        <f>Base[[#This Row],['[SC']'[Travail']Coûts_évités]]/Base[[#This Row],[Population_emploi]]</f>
        <v>37.84379111060283</v>
      </c>
      <c r="AL351" s="4">
        <f>Base[[#This Row],[Coût_société]]*10^9*Base[[#This Row],[Risque]]*Base[[#This Row],[Prévalence]]*Base[[#This Row],[Part_coûts_salarié]]/Base[[#This Row],[Population_emploi]]</f>
        <v>18.960845589411438</v>
      </c>
      <c r="AM351" s="4">
        <f>IF(Base[[#This Row],[Pathologie]]&lt;&gt;"Dépendance",0,14909.24243952)</f>
        <v>0</v>
      </c>
      <c r="AN351" s="4">
        <f>IF(Base[[#This Row],[Pathologie]]&lt;&gt;"Dépendance",0,1316000)</f>
        <v>0</v>
      </c>
      <c r="AO351" s="4">
        <f>IF(Base[[#This Row],[Pathologie]]&lt;&gt;"Dépendance",0,Base[[#This Row],['[SC']Coût_personne_dépendante]]*Base[[#This Row],['[SC']Nb_personnes_dépendantes]])</f>
        <v>0</v>
      </c>
      <c r="AP351" s="4">
        <f>IF(Base[[#This Row],[Pathologie]]&lt;&gt;"Dépendance",0,Base[[#This Row],['[SC']Coût_total_dépendance]]/Base[[#This Row],[Population_totale]])</f>
        <v>0</v>
      </c>
      <c r="AQ351" s="4">
        <f>IF(Base[[#This Row],[Pathologie]]&lt;&gt;"Dépendance",0,4.5)</f>
        <v>0</v>
      </c>
      <c r="AR351" s="4">
        <v>0.83987615528424797</v>
      </c>
      <c r="AS351" s="4">
        <f>Base[[#This Row],[Espérance_vie]]+Base[[#This Row],['[SC']Hausse_esp_de_vie]]-Base[[#This Row],['[SC']Durée_moyenne_dépendance_avt]]+Base[[#This Row],[Risque]]</f>
        <v>83.319898539555098</v>
      </c>
      <c r="AT3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1" s="4">
        <v>62.9</v>
      </c>
      <c r="AW351" s="4">
        <f t="shared" si="5"/>
        <v>336905600000</v>
      </c>
      <c r="AX351" s="4">
        <v>15049171</v>
      </c>
      <c r="AY351" s="4">
        <f>Base[[#This Row],['[SC']Budget_total_retraites]]/Base[[#This Row],['[SC']Nombre_de_retraités]]</f>
        <v>22386.987296509556</v>
      </c>
      <c r="AZ351" s="4">
        <f>Base[[#This Row],['[SC']Budget_par_retraité]]*Base[[#This Row],['[SC']Nb_personnes_dépendantes]]</f>
        <v>0</v>
      </c>
      <c r="BA351" s="4">
        <f>Base[[#This Row],['[SC']'[Dépendance']Coût_retraite_personnes_dépendantes]]/Base[[#This Row],[Population_totale]]</f>
        <v>0</v>
      </c>
      <c r="BB3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1" s="4">
        <f>Base[[#This Row],['[SC']'[Dépendance']Gains]]-Base[[#This Row],['[SC']'[Dépendance']Coûts]]</f>
        <v>0</v>
      </c>
      <c r="BD351" s="4">
        <f>IF(Base[[#This Row],[Pathologie]]&lt;&gt;"Mort prématurée",0,Base[[#This Row],[Risque]]*Base[[#This Row],[Prévalence]]*Base[[#This Row],[Population_totale]])</f>
        <v>0</v>
      </c>
      <c r="BE351" s="4">
        <v>52.74</v>
      </c>
      <c r="BF351" s="4">
        <f>Base[[#This Row],['[SC']Âge_moyen_retraite]]-Base[[#This Row],['[SC']'[Mort_prématurée']Âge_moyen_mort précoce]]</f>
        <v>10.159999999999997</v>
      </c>
      <c r="BG351" s="4">
        <f>Base[[#This Row],[Espérance_vie]]+Base[[#This Row],['[SC']Hausse_esp_de_vie]]-Base[[#This Row],['[SC']Âge_moyen_retraite]]</f>
        <v>20.236955218602098</v>
      </c>
      <c r="BH351" s="4">
        <v>106583.42676924677</v>
      </c>
      <c r="BI351" s="4">
        <v>97601.789429271477</v>
      </c>
      <c r="BJ351" s="4">
        <v>302038.31496633729</v>
      </c>
      <c r="BK351" s="4">
        <v>117293.58934859755</v>
      </c>
      <c r="BL351" s="4">
        <v>1523999.9999999995</v>
      </c>
      <c r="BM3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1" s="4">
        <v>294804.96027377353</v>
      </c>
      <c r="BO3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1" s="4">
        <f>(Base[[#This Row],['[SC']'[Mort_prématurée']Gains]]-Base[[#This Row],['[SC']'[Mort_prématurée']Coûts]])/Base[[#This Row],[Population_totale]]</f>
        <v>0</v>
      </c>
      <c r="BQ351" s="4">
        <f>IF(Base[[#This Row],[Pathologie]]&lt;&gt;"Mort prématurée",0,Base[[#This Row],[Risque]])</f>
        <v>0</v>
      </c>
      <c r="BR351" s="4">
        <v>2680</v>
      </c>
      <c r="BS3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1" s="4">
        <f>Base[[#This Row],[Prévalence_prod]]*(1-Base[[#This Row],[Risque]])*Base[[#This Row],[Durée_arrêt]]*Base[[#This Row],[Population_emploi]]</f>
        <v>58125746.397862785</v>
      </c>
      <c r="BV351" s="4">
        <f>Base[[#This Row],['[Prod']'[Absentéisme']Total_jours_absence_avant]]-Base[[#This Row],['[Prod']'[Absentéisme']Total_jours_absence_après]]</f>
        <v>13014662.693046205</v>
      </c>
      <c r="BW351" s="4">
        <f>IF(AND(Base[[#This Row],[Pathologie]]&lt;&gt;"Dépendance",Base[[#This Row],[Pathologie]]&lt;&gt;"Mort prématurée",Base[[#This Row],[Pathologie]]&lt;&gt;"Migraine"),0.0619,0)</f>
        <v>6.1899999999999997E-2</v>
      </c>
      <c r="BX351" s="4">
        <v>254</v>
      </c>
      <c r="BY35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1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1" s="4">
        <f>Base[[#This Row],[Prévalence_prod]]*Base[[#This Row],[Présentéisme]]*Base[[#This Row],['[Prod']Jours_ouvrés]]</f>
        <v>5.6349899999999993</v>
      </c>
      <c r="CB351" s="4">
        <f>Base[[#This Row],[Prévalence_prod]]*(1-Base[[#This Row],[Risque]])*Base[[#This Row],[Présentéisme]]*Base[[#This Row],['[Prod']Jours_ouvrés]]</f>
        <v>4.6041062158630286</v>
      </c>
      <c r="CC351" s="4">
        <f>Base[[#This Row],['[Prod']'[Présentéisme']Jours_avant]]-Base[[#This Row],['[Prod']'[Présentéisme']Jours_après]]</f>
        <v>1.0308837841369707</v>
      </c>
      <c r="CD351" s="4">
        <f>Base[[#This Row],['[Prod']'[Présentéisme']Jours_gagnés]]/Base[[#This Row],['[Prod']Jours_ouvrés]]</f>
        <v>4.0585975753424045E-3</v>
      </c>
      <c r="CE351">
        <v>7.5880726467531134E-2</v>
      </c>
      <c r="CF351">
        <v>1.989821358241517E-2</v>
      </c>
      <c r="CG351" s="4">
        <v>11</v>
      </c>
      <c r="CH351" s="4">
        <v>1.1624525375985588</v>
      </c>
      <c r="CI351" s="4">
        <v>3.7953151649308701E-2</v>
      </c>
      <c r="CJ351" s="4">
        <f>IF(Base[[#This Row],[Secteur]]&lt;&gt;"Moyenne",Base[[#This Row],['[Prod']'[Turnover']DMC_initiale]]*(1+Base[[#This Row],['[Prod']'[Turnover']Ecart_accidents]]*Base[[#This Row],['[Prod']Impact_motifs_turnover]]),CJ334*CI334+CJ335*CI335+CJ336*CI336+CJ337*CI337+CJ338*CI338+CJ339*CI339+CJ340*CI340+CJ341*CI341+CJ342*CI342+CJ343*CI343+CJ344*CI344+CJ345*CI345+CJ346*CI346+CJ347*CI347+CJ348*CI348+CJ349*CI349+CJ350*CI350)</f>
        <v>11.254438017598122</v>
      </c>
      <c r="CK351" s="4">
        <f>1/Base[[#This Row],['[Prod']'[Turnover']DMC_initiale]]</f>
        <v>9.0909090909090912E-2</v>
      </c>
      <c r="CL351" s="4">
        <f>1/Base[[#This Row],['[Prod']'[Turnover']DMC_finale]]</f>
        <v>8.885383689850522E-2</v>
      </c>
    </row>
    <row r="352" spans="2:90" x14ac:dyDescent="0.25">
      <c r="B352" s="4" t="s">
        <v>326</v>
      </c>
      <c r="C352">
        <v>15</v>
      </c>
      <c r="D352" t="s">
        <v>83</v>
      </c>
      <c r="E352" t="s">
        <v>9</v>
      </c>
      <c r="F352" s="3">
        <v>0.18294332095300453</v>
      </c>
      <c r="G352" s="3">
        <v>0.14499999999999999</v>
      </c>
      <c r="H352" s="3">
        <v>0.14499999999999999</v>
      </c>
      <c r="I352" s="3">
        <v>0.153</v>
      </c>
      <c r="J352" s="3">
        <v>29.93</v>
      </c>
      <c r="K352" s="3">
        <v>7.0000000000000007E-2</v>
      </c>
      <c r="L352" s="2">
        <f>Base[[#This Row],[Coût]]*Base[[#This Row],[Part_ménages_dépenses_santé]]</f>
        <v>2.0951</v>
      </c>
      <c r="M352" s="2">
        <v>0.82690611956969029</v>
      </c>
      <c r="N352" s="6">
        <v>27700000</v>
      </c>
      <c r="O352" s="7">
        <f>Base[[#This Row],[Coût_salarié]]*10^9*Base[[#This Row],[Risque]]*Base[[#This Row],[Prévalence]]*Base[[#This Row],[Part_coûts_salarié]]/Base[[#This Row],[Population_emploi]]</f>
        <v>1.6590739890735007</v>
      </c>
      <c r="P352">
        <v>50</v>
      </c>
      <c r="Q352">
        <v>50</v>
      </c>
      <c r="R352" s="2">
        <v>9.9999999999999978E-2</v>
      </c>
      <c r="S352" s="2">
        <v>0.33340000000000003</v>
      </c>
      <c r="T352" s="4">
        <v>0.14499999999999999</v>
      </c>
      <c r="U352" s="4">
        <f>IF(Bases_annexes!$F$5=0,16.6587111018772,0.77*Bases_annexes!$F$5/(IF(OR(ISBLANK('Données_d''entrée'!$E$44),'Données_d''entrée'!$E$44=0),35,'Données_d''entrée'!$E$44)*52))</f>
        <v>16.658711101877199</v>
      </c>
      <c r="V352" s="4">
        <v>17.7120401072847</v>
      </c>
      <c r="W3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2" s="4">
        <v>234.5</v>
      </c>
      <c r="Y352" s="4">
        <f>(Base[[#This Row],['[Maladies']Coûts_évités_par_salarié]]+Base[[#This Row],['[Travail']Coûts_évités_par_salarié]])/Base[[#This Row],[Budget_santé_salarié]]</f>
        <v>6.6055060309971547E-2</v>
      </c>
      <c r="Z352" s="4">
        <v>0.8</v>
      </c>
      <c r="AA352" s="4">
        <f>Base[[#This Row],[Coût]]*Base[[#This Row],[Part_société_dépenses_santé]]</f>
        <v>23.944000000000003</v>
      </c>
      <c r="AB352" s="4">
        <v>67635124</v>
      </c>
      <c r="AC352" s="4">
        <v>82.297079063317852</v>
      </c>
      <c r="AD352" s="4">
        <v>0.14499999999999999</v>
      </c>
      <c r="AE352" s="4">
        <f>Base[[#This Row],['[SC']Prévalence_travail]]*Base[[#This Row],[Population_emploi]]</f>
        <v>4016499.9999999995</v>
      </c>
      <c r="AF352" s="4">
        <f>Base[[#This Row],[Risque]]*Base[[#This Row],['[SC']Patients_en_emploi]]</f>
        <v>734791.84860774258</v>
      </c>
      <c r="AG352" s="4">
        <v>5730042552.54</v>
      </c>
      <c r="AH352" s="4">
        <f>IFERROR(Base[[#This Row],['[SC']Prestations]]/Base[[#This Row],['[SC']Patients_en_emploi]],0)</f>
        <v>1426.625806682435</v>
      </c>
      <c r="AI352" s="4">
        <v>51.7</v>
      </c>
      <c r="AJ3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2" s="4">
        <f>Base[[#This Row],['[SC']'[Travail']Coûts_évités]]/Base[[#This Row],[Population_emploi]]</f>
        <v>37.84379111060283</v>
      </c>
      <c r="AL352" s="4">
        <f>Base[[#This Row],[Coût_société]]*10^9*Base[[#This Row],[Risque]]*Base[[#This Row],[Prévalence]]*Base[[#This Row],[Part_coûts_salarié]]/Base[[#This Row],[Population_emploi]]</f>
        <v>18.960845589411438</v>
      </c>
      <c r="AM352" s="4">
        <f>IF(Base[[#This Row],[Pathologie]]&lt;&gt;"Dépendance",0,14909.24243952)</f>
        <v>0</v>
      </c>
      <c r="AN352" s="4">
        <f>IF(Base[[#This Row],[Pathologie]]&lt;&gt;"Dépendance",0,1316000)</f>
        <v>0</v>
      </c>
      <c r="AO352" s="4">
        <f>IF(Base[[#This Row],[Pathologie]]&lt;&gt;"Dépendance",0,Base[[#This Row],['[SC']Coût_personne_dépendante]]*Base[[#This Row],['[SC']Nb_personnes_dépendantes]])</f>
        <v>0</v>
      </c>
      <c r="AP352" s="4">
        <f>IF(Base[[#This Row],[Pathologie]]&lt;&gt;"Dépendance",0,Base[[#This Row],['[SC']Coût_total_dépendance]]/Base[[#This Row],[Population_totale]])</f>
        <v>0</v>
      </c>
      <c r="AQ352" s="4">
        <f>IF(Base[[#This Row],[Pathologie]]&lt;&gt;"Dépendance",0,4.5)</f>
        <v>0</v>
      </c>
      <c r="AR352" s="4">
        <v>0.83987615528424797</v>
      </c>
      <c r="AS352" s="4">
        <f>Base[[#This Row],[Espérance_vie]]+Base[[#This Row],['[SC']Hausse_esp_de_vie]]-Base[[#This Row],['[SC']Durée_moyenne_dépendance_avt]]+Base[[#This Row],[Risque]]</f>
        <v>83.319898539555098</v>
      </c>
      <c r="AT3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2" s="4">
        <v>62.9</v>
      </c>
      <c r="AW352" s="4">
        <f t="shared" si="5"/>
        <v>336905600000</v>
      </c>
      <c r="AX352" s="4">
        <v>15049171</v>
      </c>
      <c r="AY352" s="4">
        <f>Base[[#This Row],['[SC']Budget_total_retraites]]/Base[[#This Row],['[SC']Nombre_de_retraités]]</f>
        <v>22386.987296509556</v>
      </c>
      <c r="AZ352" s="4">
        <f>Base[[#This Row],['[SC']Budget_par_retraité]]*Base[[#This Row],['[SC']Nb_personnes_dépendantes]]</f>
        <v>0</v>
      </c>
      <c r="BA352" s="4">
        <f>Base[[#This Row],['[SC']'[Dépendance']Coût_retraite_personnes_dépendantes]]/Base[[#This Row],[Population_totale]]</f>
        <v>0</v>
      </c>
      <c r="BB3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2" s="4">
        <f>Base[[#This Row],['[SC']'[Dépendance']Gains]]-Base[[#This Row],['[SC']'[Dépendance']Coûts]]</f>
        <v>0</v>
      </c>
      <c r="BD352" s="4">
        <f>IF(Base[[#This Row],[Pathologie]]&lt;&gt;"Mort prématurée",0,Base[[#This Row],[Risque]]*Base[[#This Row],[Prévalence]]*Base[[#This Row],[Population_totale]])</f>
        <v>0</v>
      </c>
      <c r="BE352" s="4">
        <v>52.74</v>
      </c>
      <c r="BF352" s="4">
        <f>Base[[#This Row],['[SC']Âge_moyen_retraite]]-Base[[#This Row],['[SC']'[Mort_prématurée']Âge_moyen_mort précoce]]</f>
        <v>10.159999999999997</v>
      </c>
      <c r="BG352" s="4">
        <f>Base[[#This Row],[Espérance_vie]]+Base[[#This Row],['[SC']Hausse_esp_de_vie]]-Base[[#This Row],['[SC']Âge_moyen_retraite]]</f>
        <v>20.236955218602098</v>
      </c>
      <c r="BH352" s="4">
        <v>106583.42676924677</v>
      </c>
      <c r="BI352" s="4">
        <v>97601.789429271477</v>
      </c>
      <c r="BJ352" s="4">
        <v>302038.31496633729</v>
      </c>
      <c r="BK352" s="4">
        <v>117293.58934859755</v>
      </c>
      <c r="BL352" s="4">
        <v>1523999.9999999995</v>
      </c>
      <c r="BM3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2" s="4">
        <v>294804.96027377353</v>
      </c>
      <c r="BO3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2" s="4">
        <f>(Base[[#This Row],['[SC']'[Mort_prématurée']Gains]]-Base[[#This Row],['[SC']'[Mort_prématurée']Coûts]])/Base[[#This Row],[Population_totale]]</f>
        <v>0</v>
      </c>
      <c r="BQ352" s="4">
        <f>IF(Base[[#This Row],[Pathologie]]&lt;&gt;"Mort prématurée",0,Base[[#This Row],[Risque]])</f>
        <v>0</v>
      </c>
      <c r="BR352" s="4">
        <v>2680</v>
      </c>
      <c r="BS3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2" s="4">
        <f>Base[[#This Row],[Prévalence_prod]]*(1-Base[[#This Row],[Risque]])*Base[[#This Row],[Durée_arrêt]]*Base[[#This Row],[Population_emploi]]</f>
        <v>58125746.397862785</v>
      </c>
      <c r="BV352" s="4">
        <f>Base[[#This Row],['[Prod']'[Absentéisme']Total_jours_absence_avant]]-Base[[#This Row],['[Prod']'[Absentéisme']Total_jours_absence_après]]</f>
        <v>13014662.693046205</v>
      </c>
      <c r="BW352" s="4">
        <f>IF(AND(Base[[#This Row],[Pathologie]]&lt;&gt;"Dépendance",Base[[#This Row],[Pathologie]]&lt;&gt;"Mort prématurée",Base[[#This Row],[Pathologie]]&lt;&gt;"Migraine"),0.0619,0)</f>
        <v>6.1899999999999997E-2</v>
      </c>
      <c r="BX352" s="4">
        <v>254</v>
      </c>
      <c r="BY35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2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2" s="4">
        <f>Base[[#This Row],[Prévalence_prod]]*Base[[#This Row],[Présentéisme]]*Base[[#This Row],['[Prod']Jours_ouvrés]]</f>
        <v>5.6349899999999993</v>
      </c>
      <c r="CB352" s="4">
        <f>Base[[#This Row],[Prévalence_prod]]*(1-Base[[#This Row],[Risque]])*Base[[#This Row],[Présentéisme]]*Base[[#This Row],['[Prod']Jours_ouvrés]]</f>
        <v>4.6041062158630286</v>
      </c>
      <c r="CC352" s="4">
        <f>Base[[#This Row],['[Prod']'[Présentéisme']Jours_avant]]-Base[[#This Row],['[Prod']'[Présentéisme']Jours_après]]</f>
        <v>1.0308837841369707</v>
      </c>
      <c r="CD352" s="4">
        <f>Base[[#This Row],['[Prod']'[Présentéisme']Jours_gagnés]]/Base[[#This Row],['[Prod']Jours_ouvrés]]</f>
        <v>4.0585975753424045E-3</v>
      </c>
      <c r="CE352">
        <v>7.5880726467531134E-2</v>
      </c>
      <c r="CF352">
        <v>1.989821358241517E-2</v>
      </c>
      <c r="CG352" s="4">
        <v>11</v>
      </c>
      <c r="CH352" s="4">
        <v>0.19346787829229528</v>
      </c>
      <c r="CI352" s="4">
        <v>2.8126549817953091E-2</v>
      </c>
      <c r="CJ352" s="4">
        <f>IF(Base[[#This Row],[Secteur]]&lt;&gt;"Moyenne",Base[[#This Row],['[Prod']'[Turnover']DMC_initiale]]*(1+Base[[#This Row],['[Prod']'[Turnover']Ecart_accidents]]*Base[[#This Row],['[Prod']Impact_motifs_turnover]]),CJ335*CI335+CJ336*CI336+CJ337*CI337+CJ338*CI338+CJ339*CI339+CJ340*CI340+CJ341*CI341+CJ342*CI342+CJ343*CI343+CJ344*CI344+CJ345*CI345+CJ346*CI346+CJ347*CI347+CJ348*CI348+CJ349*CI349+CJ350*CI350+CJ351*CI351)</f>
        <v>11.042346316799566</v>
      </c>
      <c r="CK352" s="4">
        <f>1/Base[[#This Row],['[Prod']'[Turnover']DMC_initiale]]</f>
        <v>9.0909090909090912E-2</v>
      </c>
      <c r="CL352" s="4">
        <f>1/Base[[#This Row],['[Prod']'[Turnover']DMC_finale]]</f>
        <v>9.0560463447756881E-2</v>
      </c>
    </row>
    <row r="353" spans="2:90" x14ac:dyDescent="0.25">
      <c r="B353" s="4" t="s">
        <v>327</v>
      </c>
      <c r="C353">
        <v>15</v>
      </c>
      <c r="D353" t="s">
        <v>83</v>
      </c>
      <c r="E353" t="s">
        <v>9</v>
      </c>
      <c r="F353" s="3">
        <v>0.18294332095300453</v>
      </c>
      <c r="G353" s="3">
        <v>0.14499999999999999</v>
      </c>
      <c r="H353" s="3">
        <v>0.14499999999999999</v>
      </c>
      <c r="I353" s="3">
        <v>0.153</v>
      </c>
      <c r="J353" s="3">
        <v>29.93</v>
      </c>
      <c r="K353" s="3">
        <v>7.0000000000000007E-2</v>
      </c>
      <c r="L353" s="2">
        <f>Base[[#This Row],[Coût]]*Base[[#This Row],[Part_ménages_dépenses_santé]]</f>
        <v>2.0951</v>
      </c>
      <c r="M353" s="2">
        <v>0.82690611956969029</v>
      </c>
      <c r="N353" s="6">
        <v>27700000</v>
      </c>
      <c r="O353" s="7">
        <f>Base[[#This Row],[Coût_salarié]]*10^9*Base[[#This Row],[Risque]]*Base[[#This Row],[Prévalence]]*Base[[#This Row],[Part_coûts_salarié]]/Base[[#This Row],[Population_emploi]]</f>
        <v>1.6590739890735007</v>
      </c>
      <c r="P353">
        <v>50</v>
      </c>
      <c r="Q353">
        <v>50</v>
      </c>
      <c r="R353" s="2">
        <v>9.9999999999999978E-2</v>
      </c>
      <c r="S353" s="2">
        <v>0.33340000000000003</v>
      </c>
      <c r="T353" s="4">
        <v>0.14499999999999999</v>
      </c>
      <c r="U353" s="4">
        <f>IF(Bases_annexes!$F$5=0,16.6587111018772,0.77*Bases_annexes!$F$5/(IF(OR(ISBLANK('Données_d''entrée'!$E$44),'Données_d''entrée'!$E$44=0),35,'Données_d''entrée'!$E$44)*52))</f>
        <v>16.658711101877199</v>
      </c>
      <c r="V353" s="4">
        <v>17.7120401072847</v>
      </c>
      <c r="W3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3" s="4">
        <v>234.5</v>
      </c>
      <c r="Y353" s="4">
        <f>(Base[[#This Row],['[Maladies']Coûts_évités_par_salarié]]+Base[[#This Row],['[Travail']Coûts_évités_par_salarié]])/Base[[#This Row],[Budget_santé_salarié]]</f>
        <v>6.6055060309971547E-2</v>
      </c>
      <c r="Z353" s="4">
        <v>0.8</v>
      </c>
      <c r="AA353" s="4">
        <f>Base[[#This Row],[Coût]]*Base[[#This Row],[Part_société_dépenses_santé]]</f>
        <v>23.944000000000003</v>
      </c>
      <c r="AB353" s="4">
        <v>67635124</v>
      </c>
      <c r="AC353" s="4">
        <v>82.297079063317852</v>
      </c>
      <c r="AD353" s="4">
        <v>0.14499999999999999</v>
      </c>
      <c r="AE353" s="4">
        <f>Base[[#This Row],['[SC']Prévalence_travail]]*Base[[#This Row],[Population_emploi]]</f>
        <v>4016499.9999999995</v>
      </c>
      <c r="AF353" s="4">
        <f>Base[[#This Row],[Risque]]*Base[[#This Row],['[SC']Patients_en_emploi]]</f>
        <v>734791.84860774258</v>
      </c>
      <c r="AG353" s="4">
        <v>5730042552.54</v>
      </c>
      <c r="AH353" s="4">
        <f>IFERROR(Base[[#This Row],['[SC']Prestations]]/Base[[#This Row],['[SC']Patients_en_emploi]],0)</f>
        <v>1426.625806682435</v>
      </c>
      <c r="AI353" s="4">
        <v>51.7</v>
      </c>
      <c r="AJ3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3" s="4">
        <f>Base[[#This Row],['[SC']'[Travail']Coûts_évités]]/Base[[#This Row],[Population_emploi]]</f>
        <v>37.84379111060283</v>
      </c>
      <c r="AL353" s="4">
        <f>Base[[#This Row],[Coût_société]]*10^9*Base[[#This Row],[Risque]]*Base[[#This Row],[Prévalence]]*Base[[#This Row],[Part_coûts_salarié]]/Base[[#This Row],[Population_emploi]]</f>
        <v>18.960845589411438</v>
      </c>
      <c r="AM353" s="4">
        <f>IF(Base[[#This Row],[Pathologie]]&lt;&gt;"Dépendance",0,14909.24243952)</f>
        <v>0</v>
      </c>
      <c r="AN353" s="4">
        <f>IF(Base[[#This Row],[Pathologie]]&lt;&gt;"Dépendance",0,1316000)</f>
        <v>0</v>
      </c>
      <c r="AO353" s="4">
        <f>IF(Base[[#This Row],[Pathologie]]&lt;&gt;"Dépendance",0,Base[[#This Row],['[SC']Coût_personne_dépendante]]*Base[[#This Row],['[SC']Nb_personnes_dépendantes]])</f>
        <v>0</v>
      </c>
      <c r="AP353" s="4">
        <f>IF(Base[[#This Row],[Pathologie]]&lt;&gt;"Dépendance",0,Base[[#This Row],['[SC']Coût_total_dépendance]]/Base[[#This Row],[Population_totale]])</f>
        <v>0</v>
      </c>
      <c r="AQ353" s="4">
        <f>IF(Base[[#This Row],[Pathologie]]&lt;&gt;"Dépendance",0,4.5)</f>
        <v>0</v>
      </c>
      <c r="AR353" s="4">
        <v>0.83987615528424797</v>
      </c>
      <c r="AS353" s="4">
        <f>Base[[#This Row],[Espérance_vie]]+Base[[#This Row],['[SC']Hausse_esp_de_vie]]-Base[[#This Row],['[SC']Durée_moyenne_dépendance_avt]]+Base[[#This Row],[Risque]]</f>
        <v>83.319898539555098</v>
      </c>
      <c r="AT3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3" s="4">
        <v>62.9</v>
      </c>
      <c r="AW353" s="4">
        <f t="shared" si="5"/>
        <v>336905600000</v>
      </c>
      <c r="AX353" s="4">
        <v>15049171</v>
      </c>
      <c r="AY353" s="4">
        <f>Base[[#This Row],['[SC']Budget_total_retraites]]/Base[[#This Row],['[SC']Nombre_de_retraités]]</f>
        <v>22386.987296509556</v>
      </c>
      <c r="AZ353" s="4">
        <f>Base[[#This Row],['[SC']Budget_par_retraité]]*Base[[#This Row],['[SC']Nb_personnes_dépendantes]]</f>
        <v>0</v>
      </c>
      <c r="BA353" s="4">
        <f>Base[[#This Row],['[SC']'[Dépendance']Coût_retraite_personnes_dépendantes]]/Base[[#This Row],[Population_totale]]</f>
        <v>0</v>
      </c>
      <c r="BB3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3" s="4">
        <f>Base[[#This Row],['[SC']'[Dépendance']Gains]]-Base[[#This Row],['[SC']'[Dépendance']Coûts]]</f>
        <v>0</v>
      </c>
      <c r="BD353" s="4">
        <f>IF(Base[[#This Row],[Pathologie]]&lt;&gt;"Mort prématurée",0,Base[[#This Row],[Risque]]*Base[[#This Row],[Prévalence]]*Base[[#This Row],[Population_totale]])</f>
        <v>0</v>
      </c>
      <c r="BE353" s="4">
        <v>52.74</v>
      </c>
      <c r="BF353" s="4">
        <f>Base[[#This Row],['[SC']Âge_moyen_retraite]]-Base[[#This Row],['[SC']'[Mort_prématurée']Âge_moyen_mort précoce]]</f>
        <v>10.159999999999997</v>
      </c>
      <c r="BG353" s="4">
        <f>Base[[#This Row],[Espérance_vie]]+Base[[#This Row],['[SC']Hausse_esp_de_vie]]-Base[[#This Row],['[SC']Âge_moyen_retraite]]</f>
        <v>20.236955218602098</v>
      </c>
      <c r="BH353" s="4">
        <v>106583.42676924677</v>
      </c>
      <c r="BI353" s="4">
        <v>97601.789429271477</v>
      </c>
      <c r="BJ353" s="4">
        <v>302038.31496633729</v>
      </c>
      <c r="BK353" s="4">
        <v>117293.58934859755</v>
      </c>
      <c r="BL353" s="4">
        <v>1523999.9999999995</v>
      </c>
      <c r="BM3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3" s="4">
        <v>294804.96027377353</v>
      </c>
      <c r="BO3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3" s="4">
        <f>(Base[[#This Row],['[SC']'[Mort_prématurée']Gains]]-Base[[#This Row],['[SC']'[Mort_prématurée']Coûts]])/Base[[#This Row],[Population_totale]]</f>
        <v>0</v>
      </c>
      <c r="BQ353" s="4">
        <f>IF(Base[[#This Row],[Pathologie]]&lt;&gt;"Mort prématurée",0,Base[[#This Row],[Risque]])</f>
        <v>0</v>
      </c>
      <c r="BR353" s="4">
        <v>2680</v>
      </c>
      <c r="BS3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3" s="4">
        <f>Base[[#This Row],[Prévalence_prod]]*(1-Base[[#This Row],[Risque]])*Base[[#This Row],[Durée_arrêt]]*Base[[#This Row],[Population_emploi]]</f>
        <v>58125746.397862785</v>
      </c>
      <c r="BV353" s="4">
        <f>Base[[#This Row],['[Prod']'[Absentéisme']Total_jours_absence_avant]]-Base[[#This Row],['[Prod']'[Absentéisme']Total_jours_absence_après]]</f>
        <v>13014662.693046205</v>
      </c>
      <c r="BW353" s="4">
        <f>IF(AND(Base[[#This Row],[Pathologie]]&lt;&gt;"Dépendance",Base[[#This Row],[Pathologie]]&lt;&gt;"Mort prématurée",Base[[#This Row],[Pathologie]]&lt;&gt;"Migraine"),0.0619,0)</f>
        <v>6.1899999999999997E-2</v>
      </c>
      <c r="BX353" s="4">
        <v>254</v>
      </c>
      <c r="BY353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3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3" s="4">
        <f>Base[[#This Row],[Prévalence_prod]]*Base[[#This Row],[Présentéisme]]*Base[[#This Row],['[Prod']Jours_ouvrés]]</f>
        <v>5.6349899999999993</v>
      </c>
      <c r="CB353" s="4">
        <f>Base[[#This Row],[Prévalence_prod]]*(1-Base[[#This Row],[Risque]])*Base[[#This Row],[Présentéisme]]*Base[[#This Row],['[Prod']Jours_ouvrés]]</f>
        <v>4.6041062158630286</v>
      </c>
      <c r="CC353" s="4">
        <f>Base[[#This Row],['[Prod']'[Présentéisme']Jours_avant]]-Base[[#This Row],['[Prod']'[Présentéisme']Jours_après]]</f>
        <v>1.0308837841369707</v>
      </c>
      <c r="CD353" s="4">
        <f>Base[[#This Row],['[Prod']'[Présentéisme']Jours_gagnés]]/Base[[#This Row],['[Prod']Jours_ouvrés]]</f>
        <v>4.0585975753424045E-3</v>
      </c>
      <c r="CE353">
        <v>7.5880726467531134E-2</v>
      </c>
      <c r="CF353">
        <v>1.989821358241517E-2</v>
      </c>
      <c r="CG353" s="4">
        <v>11</v>
      </c>
      <c r="CH353" s="4">
        <v>0.13729577077682142</v>
      </c>
      <c r="CI353" s="4">
        <v>1.373516710817578E-2</v>
      </c>
      <c r="CJ353" s="4">
        <f>IF(Base[[#This Row],[Secteur]]&lt;&gt;"Moyenne",Base[[#This Row],['[Prod']'[Turnover']DMC_initiale]]*(1+Base[[#This Row],['[Prod']'[Turnover']Ecart_accidents]]*Base[[#This Row],['[Prod']Impact_motifs_turnover]]),CJ336*CI336+CJ337*CI337+CJ338*CI338+CJ339*CI339+CJ340*CI340+CJ341*CI341+CJ342*CI342+CJ343*CI343+CJ344*CI344+CJ345*CI345+CJ346*CI346+CJ347*CI347+CJ348*CI348+CJ349*CI349+CJ350*CI350+CJ351*CI351+CJ352*CI352)</f>
        <v>11.030051346279674</v>
      </c>
      <c r="CK353" s="4">
        <f>1/Base[[#This Row],['[Prod']'[Turnover']DMC_initiale]]</f>
        <v>9.0909090909090912E-2</v>
      </c>
      <c r="CL353" s="4">
        <f>1/Base[[#This Row],['[Prod']'[Turnover']DMC_finale]]</f>
        <v>9.0661409326738093E-2</v>
      </c>
    </row>
    <row r="354" spans="2:90" x14ac:dyDescent="0.25">
      <c r="B354" s="4" t="s">
        <v>328</v>
      </c>
      <c r="C354">
        <v>15</v>
      </c>
      <c r="D354" t="s">
        <v>83</v>
      </c>
      <c r="E354" t="s">
        <v>9</v>
      </c>
      <c r="F354" s="3">
        <v>0.18294332095300453</v>
      </c>
      <c r="G354" s="3">
        <v>0.14499999999999999</v>
      </c>
      <c r="H354" s="3">
        <v>0.14499999999999999</v>
      </c>
      <c r="I354" s="3">
        <v>0.153</v>
      </c>
      <c r="J354" s="3">
        <v>29.93</v>
      </c>
      <c r="K354" s="3">
        <v>7.0000000000000007E-2</v>
      </c>
      <c r="L354" s="2">
        <f>Base[[#This Row],[Coût]]*Base[[#This Row],[Part_ménages_dépenses_santé]]</f>
        <v>2.0951</v>
      </c>
      <c r="M354" s="2">
        <v>0.82690611956969029</v>
      </c>
      <c r="N354" s="6">
        <v>27700000</v>
      </c>
      <c r="O354" s="7">
        <f>Base[[#This Row],[Coût_salarié]]*10^9*Base[[#This Row],[Risque]]*Base[[#This Row],[Prévalence]]*Base[[#This Row],[Part_coûts_salarié]]/Base[[#This Row],[Population_emploi]]</f>
        <v>1.6590739890735007</v>
      </c>
      <c r="P354">
        <v>50</v>
      </c>
      <c r="Q354">
        <v>50</v>
      </c>
      <c r="R354" s="2">
        <v>9.9999999999999978E-2</v>
      </c>
      <c r="S354" s="2">
        <v>0.33340000000000003</v>
      </c>
      <c r="T354" s="4">
        <v>0.14499999999999999</v>
      </c>
      <c r="U354" s="4">
        <f>IF(Bases_annexes!$F$5=0,16.6587111018772,0.77*Bases_annexes!$F$5/(IF(OR(ISBLANK('Données_d''entrée'!$E$44),'Données_d''entrée'!$E$44=0),35,'Données_d''entrée'!$E$44)*52))</f>
        <v>16.658711101877199</v>
      </c>
      <c r="V354" s="4">
        <v>17.7120401072847</v>
      </c>
      <c r="W3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4" s="4">
        <v>234.5</v>
      </c>
      <c r="Y354" s="4">
        <f>(Base[[#This Row],['[Maladies']Coûts_évités_par_salarié]]+Base[[#This Row],['[Travail']Coûts_évités_par_salarié]])/Base[[#This Row],[Budget_santé_salarié]]</f>
        <v>6.6055060309971547E-2</v>
      </c>
      <c r="Z354" s="4">
        <v>0.8</v>
      </c>
      <c r="AA354" s="4">
        <f>Base[[#This Row],[Coût]]*Base[[#This Row],[Part_société_dépenses_santé]]</f>
        <v>23.944000000000003</v>
      </c>
      <c r="AB354" s="4">
        <v>67635124</v>
      </c>
      <c r="AC354" s="4">
        <v>82.297079063317852</v>
      </c>
      <c r="AD354" s="4">
        <v>0.14499999999999999</v>
      </c>
      <c r="AE354" s="4">
        <f>Base[[#This Row],['[SC']Prévalence_travail]]*Base[[#This Row],[Population_emploi]]</f>
        <v>4016499.9999999995</v>
      </c>
      <c r="AF354" s="4">
        <f>Base[[#This Row],[Risque]]*Base[[#This Row],['[SC']Patients_en_emploi]]</f>
        <v>734791.84860774258</v>
      </c>
      <c r="AG354" s="4">
        <v>5730042552.54</v>
      </c>
      <c r="AH354" s="4">
        <f>IFERROR(Base[[#This Row],['[SC']Prestations]]/Base[[#This Row],['[SC']Patients_en_emploi]],0)</f>
        <v>1426.625806682435</v>
      </c>
      <c r="AI354" s="4">
        <v>51.7</v>
      </c>
      <c r="AJ3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4" s="4">
        <f>Base[[#This Row],['[SC']'[Travail']Coûts_évités]]/Base[[#This Row],[Population_emploi]]</f>
        <v>37.84379111060283</v>
      </c>
      <c r="AL354" s="4">
        <f>Base[[#This Row],[Coût_société]]*10^9*Base[[#This Row],[Risque]]*Base[[#This Row],[Prévalence]]*Base[[#This Row],[Part_coûts_salarié]]/Base[[#This Row],[Population_emploi]]</f>
        <v>18.960845589411438</v>
      </c>
      <c r="AM354" s="4">
        <f>IF(Base[[#This Row],[Pathologie]]&lt;&gt;"Dépendance",0,14909.24243952)</f>
        <v>0</v>
      </c>
      <c r="AN354" s="4">
        <f>IF(Base[[#This Row],[Pathologie]]&lt;&gt;"Dépendance",0,1316000)</f>
        <v>0</v>
      </c>
      <c r="AO354" s="4">
        <f>IF(Base[[#This Row],[Pathologie]]&lt;&gt;"Dépendance",0,Base[[#This Row],['[SC']Coût_personne_dépendante]]*Base[[#This Row],['[SC']Nb_personnes_dépendantes]])</f>
        <v>0</v>
      </c>
      <c r="AP354" s="4">
        <f>IF(Base[[#This Row],[Pathologie]]&lt;&gt;"Dépendance",0,Base[[#This Row],['[SC']Coût_total_dépendance]]/Base[[#This Row],[Population_totale]])</f>
        <v>0</v>
      </c>
      <c r="AQ354" s="4">
        <f>IF(Base[[#This Row],[Pathologie]]&lt;&gt;"Dépendance",0,4.5)</f>
        <v>0</v>
      </c>
      <c r="AR354" s="4">
        <v>0.83987615528424797</v>
      </c>
      <c r="AS354" s="4">
        <f>Base[[#This Row],[Espérance_vie]]+Base[[#This Row],['[SC']Hausse_esp_de_vie]]-Base[[#This Row],['[SC']Durée_moyenne_dépendance_avt]]+Base[[#This Row],[Risque]]</f>
        <v>83.319898539555098</v>
      </c>
      <c r="AT3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4" s="4">
        <v>62.9</v>
      </c>
      <c r="AW354" s="4">
        <f t="shared" si="5"/>
        <v>336905600000</v>
      </c>
      <c r="AX354" s="4">
        <v>15049171</v>
      </c>
      <c r="AY354" s="4">
        <f>Base[[#This Row],['[SC']Budget_total_retraites]]/Base[[#This Row],['[SC']Nombre_de_retraités]]</f>
        <v>22386.987296509556</v>
      </c>
      <c r="AZ354" s="4">
        <f>Base[[#This Row],['[SC']Budget_par_retraité]]*Base[[#This Row],['[SC']Nb_personnes_dépendantes]]</f>
        <v>0</v>
      </c>
      <c r="BA354" s="4">
        <f>Base[[#This Row],['[SC']'[Dépendance']Coût_retraite_personnes_dépendantes]]/Base[[#This Row],[Population_totale]]</f>
        <v>0</v>
      </c>
      <c r="BB3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4" s="4">
        <f>Base[[#This Row],['[SC']'[Dépendance']Gains]]-Base[[#This Row],['[SC']'[Dépendance']Coûts]]</f>
        <v>0</v>
      </c>
      <c r="BD354" s="4">
        <f>IF(Base[[#This Row],[Pathologie]]&lt;&gt;"Mort prématurée",0,Base[[#This Row],[Risque]]*Base[[#This Row],[Prévalence]]*Base[[#This Row],[Population_totale]])</f>
        <v>0</v>
      </c>
      <c r="BE354" s="4">
        <v>52.74</v>
      </c>
      <c r="BF354" s="4">
        <f>Base[[#This Row],['[SC']Âge_moyen_retraite]]-Base[[#This Row],['[SC']'[Mort_prématurée']Âge_moyen_mort précoce]]</f>
        <v>10.159999999999997</v>
      </c>
      <c r="BG354" s="4">
        <f>Base[[#This Row],[Espérance_vie]]+Base[[#This Row],['[SC']Hausse_esp_de_vie]]-Base[[#This Row],['[SC']Âge_moyen_retraite]]</f>
        <v>20.236955218602098</v>
      </c>
      <c r="BH354" s="4">
        <v>106583.42676924677</v>
      </c>
      <c r="BI354" s="4">
        <v>97601.789429271477</v>
      </c>
      <c r="BJ354" s="4">
        <v>302038.31496633729</v>
      </c>
      <c r="BK354" s="4">
        <v>117293.58934859755</v>
      </c>
      <c r="BL354" s="4">
        <v>1523999.9999999995</v>
      </c>
      <c r="BM3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4" s="4">
        <v>294804.96027377353</v>
      </c>
      <c r="BO3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4" s="4">
        <f>(Base[[#This Row],['[SC']'[Mort_prématurée']Gains]]-Base[[#This Row],['[SC']'[Mort_prématurée']Coûts]])/Base[[#This Row],[Population_totale]]</f>
        <v>0</v>
      </c>
      <c r="BQ354" s="4">
        <f>IF(Base[[#This Row],[Pathologie]]&lt;&gt;"Mort prématurée",0,Base[[#This Row],[Risque]])</f>
        <v>0</v>
      </c>
      <c r="BR354" s="4">
        <v>2680</v>
      </c>
      <c r="BS3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4" s="4">
        <f>Base[[#This Row],[Prévalence_prod]]*(1-Base[[#This Row],[Risque]])*Base[[#This Row],[Durée_arrêt]]*Base[[#This Row],[Population_emploi]]</f>
        <v>58125746.397862785</v>
      </c>
      <c r="BV354" s="4">
        <f>Base[[#This Row],['[Prod']'[Absentéisme']Total_jours_absence_avant]]-Base[[#This Row],['[Prod']'[Absentéisme']Total_jours_absence_après]]</f>
        <v>13014662.693046205</v>
      </c>
      <c r="BW354" s="4">
        <f>IF(AND(Base[[#This Row],[Pathologie]]&lt;&gt;"Dépendance",Base[[#This Row],[Pathologie]]&lt;&gt;"Mort prématurée",Base[[#This Row],[Pathologie]]&lt;&gt;"Migraine"),0.0619,0)</f>
        <v>6.1899999999999997E-2</v>
      </c>
      <c r="BX354" s="4">
        <v>254</v>
      </c>
      <c r="BY354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4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4" s="4">
        <f>Base[[#This Row],[Prévalence_prod]]*Base[[#This Row],[Présentéisme]]*Base[[#This Row],['[Prod']Jours_ouvrés]]</f>
        <v>5.6349899999999993</v>
      </c>
      <c r="CB354" s="4">
        <f>Base[[#This Row],[Prévalence_prod]]*(1-Base[[#This Row],[Risque]])*Base[[#This Row],[Présentéisme]]*Base[[#This Row],['[Prod']Jours_ouvrés]]</f>
        <v>4.6041062158630286</v>
      </c>
      <c r="CC354" s="4">
        <f>Base[[#This Row],['[Prod']'[Présentéisme']Jours_avant]]-Base[[#This Row],['[Prod']'[Présentéisme']Jours_après]]</f>
        <v>1.0308837841369707</v>
      </c>
      <c r="CD354" s="4">
        <f>Base[[#This Row],['[Prod']'[Présentéisme']Jours_gagnés]]/Base[[#This Row],['[Prod']Jours_ouvrés]]</f>
        <v>4.0585975753424045E-3</v>
      </c>
      <c r="CE354">
        <v>7.5880726467531134E-2</v>
      </c>
      <c r="CF354">
        <v>1.989821358241517E-2</v>
      </c>
      <c r="CG354" s="4">
        <v>11</v>
      </c>
      <c r="CH354" s="4">
        <v>0.60922528771817497</v>
      </c>
      <c r="CI354" s="4">
        <v>3.8601807163334179E-3</v>
      </c>
      <c r="CJ354" s="4">
        <f>IF(Base[[#This Row],[Secteur]]&lt;&gt;"Moyenne",Base[[#This Row],['[Prod']'[Turnover']DMC_initiale]]*(1+Base[[#This Row],['[Prod']'[Turnover']Ecart_accidents]]*Base[[#This Row],['[Prod']Impact_motifs_turnover]]),CJ337*CI337+CJ338*CI338+CJ339*CI339+CJ340*CI340+CJ341*CI341+CJ342*CI342+CJ343*CI343+CJ344*CI344+CJ345*CI345+CJ346*CI346+CJ347*CI347+CJ348*CI348+CJ349*CI349+CJ350*CI350+CJ351*CI351+CJ352*CI352+CJ353*CI353)</f>
        <v>11.133347443843071</v>
      </c>
      <c r="CK354" s="4">
        <f>1/Base[[#This Row],['[Prod']'[Turnover']DMC_initiale]]</f>
        <v>9.0909090909090912E-2</v>
      </c>
      <c r="CL354" s="4">
        <f>1/Base[[#This Row],['[Prod']'[Turnover']DMC_finale]]</f>
        <v>8.9820245442265148E-2</v>
      </c>
    </row>
    <row r="355" spans="2:90" x14ac:dyDescent="0.25">
      <c r="B355" s="4" t="s">
        <v>329</v>
      </c>
      <c r="C355">
        <v>15</v>
      </c>
      <c r="D355" t="s">
        <v>83</v>
      </c>
      <c r="E355" t="s">
        <v>9</v>
      </c>
      <c r="F355" s="3">
        <v>0.18294332095300453</v>
      </c>
      <c r="G355" s="3">
        <v>0.14499999999999999</v>
      </c>
      <c r="H355" s="3">
        <v>0.14499999999999999</v>
      </c>
      <c r="I355" s="3">
        <v>0.153</v>
      </c>
      <c r="J355" s="3">
        <v>29.93</v>
      </c>
      <c r="K355" s="3">
        <v>7.0000000000000007E-2</v>
      </c>
      <c r="L355" s="2">
        <f>Base[[#This Row],[Coût]]*Base[[#This Row],[Part_ménages_dépenses_santé]]</f>
        <v>2.0951</v>
      </c>
      <c r="M355" s="2">
        <v>0.82690611956969029</v>
      </c>
      <c r="N355" s="6">
        <v>27700000</v>
      </c>
      <c r="O355" s="7">
        <f>Base[[#This Row],[Coût_salarié]]*10^9*Base[[#This Row],[Risque]]*Base[[#This Row],[Prévalence]]*Base[[#This Row],[Part_coûts_salarié]]/Base[[#This Row],[Population_emploi]]</f>
        <v>1.6590739890735007</v>
      </c>
      <c r="P355">
        <v>50</v>
      </c>
      <c r="Q355">
        <v>50</v>
      </c>
      <c r="R355" s="2">
        <v>9.9999999999999978E-2</v>
      </c>
      <c r="S355" s="2">
        <v>0.33340000000000003</v>
      </c>
      <c r="T355" s="4">
        <v>0.14499999999999999</v>
      </c>
      <c r="U355" s="4">
        <f>IF(Bases_annexes!$F$5=0,16.6587111018772,0.77*Bases_annexes!$F$5/(IF(OR(ISBLANK('Données_d''entrée'!$E$44),'Données_d''entrée'!$E$44=0),35,'Données_d''entrée'!$E$44)*52))</f>
        <v>16.658711101877199</v>
      </c>
      <c r="V355" s="4">
        <v>17.7120401072847</v>
      </c>
      <c r="W3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5" s="4">
        <v>234.5</v>
      </c>
      <c r="Y355" s="4">
        <f>(Base[[#This Row],['[Maladies']Coûts_évités_par_salarié]]+Base[[#This Row],['[Travail']Coûts_évités_par_salarié]])/Base[[#This Row],[Budget_santé_salarié]]</f>
        <v>6.6055060309971547E-2</v>
      </c>
      <c r="Z355" s="4">
        <v>0.8</v>
      </c>
      <c r="AA355" s="4">
        <f>Base[[#This Row],[Coût]]*Base[[#This Row],[Part_société_dépenses_santé]]</f>
        <v>23.944000000000003</v>
      </c>
      <c r="AB355" s="4">
        <v>67635124</v>
      </c>
      <c r="AC355" s="4">
        <v>82.297079063317852</v>
      </c>
      <c r="AD355" s="4">
        <v>0.14499999999999999</v>
      </c>
      <c r="AE355" s="4">
        <f>Base[[#This Row],['[SC']Prévalence_travail]]*Base[[#This Row],[Population_emploi]]</f>
        <v>4016499.9999999995</v>
      </c>
      <c r="AF355" s="4">
        <f>Base[[#This Row],[Risque]]*Base[[#This Row],['[SC']Patients_en_emploi]]</f>
        <v>734791.84860774258</v>
      </c>
      <c r="AG355" s="4">
        <v>5730042552.54</v>
      </c>
      <c r="AH355" s="4">
        <f>IFERROR(Base[[#This Row],['[SC']Prestations]]/Base[[#This Row],['[SC']Patients_en_emploi]],0)</f>
        <v>1426.625806682435</v>
      </c>
      <c r="AI355" s="4">
        <v>51.7</v>
      </c>
      <c r="AJ3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5" s="4">
        <f>Base[[#This Row],['[SC']'[Travail']Coûts_évités]]/Base[[#This Row],[Population_emploi]]</f>
        <v>37.84379111060283</v>
      </c>
      <c r="AL355" s="4">
        <f>Base[[#This Row],[Coût_société]]*10^9*Base[[#This Row],[Risque]]*Base[[#This Row],[Prévalence]]*Base[[#This Row],[Part_coûts_salarié]]/Base[[#This Row],[Population_emploi]]</f>
        <v>18.960845589411438</v>
      </c>
      <c r="AM355" s="4">
        <f>IF(Base[[#This Row],[Pathologie]]&lt;&gt;"Dépendance",0,14909.24243952)</f>
        <v>0</v>
      </c>
      <c r="AN355" s="4">
        <f>IF(Base[[#This Row],[Pathologie]]&lt;&gt;"Dépendance",0,1316000)</f>
        <v>0</v>
      </c>
      <c r="AO355" s="4">
        <f>IF(Base[[#This Row],[Pathologie]]&lt;&gt;"Dépendance",0,Base[[#This Row],['[SC']Coût_personne_dépendante]]*Base[[#This Row],['[SC']Nb_personnes_dépendantes]])</f>
        <v>0</v>
      </c>
      <c r="AP355" s="4">
        <f>IF(Base[[#This Row],[Pathologie]]&lt;&gt;"Dépendance",0,Base[[#This Row],['[SC']Coût_total_dépendance]]/Base[[#This Row],[Population_totale]])</f>
        <v>0</v>
      </c>
      <c r="AQ355" s="4">
        <f>IF(Base[[#This Row],[Pathologie]]&lt;&gt;"Dépendance",0,4.5)</f>
        <v>0</v>
      </c>
      <c r="AR355" s="4">
        <v>0.83987615528424797</v>
      </c>
      <c r="AS355" s="4">
        <f>Base[[#This Row],[Espérance_vie]]+Base[[#This Row],['[SC']Hausse_esp_de_vie]]-Base[[#This Row],['[SC']Durée_moyenne_dépendance_avt]]+Base[[#This Row],[Risque]]</f>
        <v>83.319898539555098</v>
      </c>
      <c r="AT3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5" s="4">
        <v>62.9</v>
      </c>
      <c r="AW355" s="4">
        <f t="shared" si="5"/>
        <v>336905600000</v>
      </c>
      <c r="AX355" s="4">
        <v>15049171</v>
      </c>
      <c r="AY355" s="4">
        <f>Base[[#This Row],['[SC']Budget_total_retraites]]/Base[[#This Row],['[SC']Nombre_de_retraités]]</f>
        <v>22386.987296509556</v>
      </c>
      <c r="AZ355" s="4">
        <f>Base[[#This Row],['[SC']Budget_par_retraité]]*Base[[#This Row],['[SC']Nb_personnes_dépendantes]]</f>
        <v>0</v>
      </c>
      <c r="BA355" s="4">
        <f>Base[[#This Row],['[SC']'[Dépendance']Coût_retraite_personnes_dépendantes]]/Base[[#This Row],[Population_totale]]</f>
        <v>0</v>
      </c>
      <c r="BB3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5" s="4">
        <f>Base[[#This Row],['[SC']'[Dépendance']Gains]]-Base[[#This Row],['[SC']'[Dépendance']Coûts]]</f>
        <v>0</v>
      </c>
      <c r="BD355" s="4">
        <f>IF(Base[[#This Row],[Pathologie]]&lt;&gt;"Mort prématurée",0,Base[[#This Row],[Risque]]*Base[[#This Row],[Prévalence]]*Base[[#This Row],[Population_totale]])</f>
        <v>0</v>
      </c>
      <c r="BE355" s="4">
        <v>52.74</v>
      </c>
      <c r="BF355" s="4">
        <f>Base[[#This Row],['[SC']Âge_moyen_retraite]]-Base[[#This Row],['[SC']'[Mort_prématurée']Âge_moyen_mort précoce]]</f>
        <v>10.159999999999997</v>
      </c>
      <c r="BG355" s="4">
        <f>Base[[#This Row],[Espérance_vie]]+Base[[#This Row],['[SC']Hausse_esp_de_vie]]-Base[[#This Row],['[SC']Âge_moyen_retraite]]</f>
        <v>20.236955218602098</v>
      </c>
      <c r="BH355" s="4">
        <v>106583.42676924677</v>
      </c>
      <c r="BI355" s="4">
        <v>97601.789429271477</v>
      </c>
      <c r="BJ355" s="4">
        <v>302038.31496633729</v>
      </c>
      <c r="BK355" s="4">
        <v>117293.58934859755</v>
      </c>
      <c r="BL355" s="4">
        <v>1523999.9999999995</v>
      </c>
      <c r="BM3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5" s="4">
        <v>294804.96027377353</v>
      </c>
      <c r="BO3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5" s="4">
        <f>(Base[[#This Row],['[SC']'[Mort_prématurée']Gains]]-Base[[#This Row],['[SC']'[Mort_prématurée']Coûts]])/Base[[#This Row],[Population_totale]]</f>
        <v>0</v>
      </c>
      <c r="BQ355" s="4">
        <f>IF(Base[[#This Row],[Pathologie]]&lt;&gt;"Mort prématurée",0,Base[[#This Row],[Risque]])</f>
        <v>0</v>
      </c>
      <c r="BR355" s="4">
        <v>2680</v>
      </c>
      <c r="BS3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5" s="4">
        <f>Base[[#This Row],[Prévalence_prod]]*(1-Base[[#This Row],[Risque]])*Base[[#This Row],[Durée_arrêt]]*Base[[#This Row],[Population_emploi]]</f>
        <v>58125746.397862785</v>
      </c>
      <c r="BV355" s="4">
        <f>Base[[#This Row],['[Prod']'[Absentéisme']Total_jours_absence_avant]]-Base[[#This Row],['[Prod']'[Absentéisme']Total_jours_absence_après]]</f>
        <v>13014662.693046205</v>
      </c>
      <c r="BW355" s="4">
        <f>IF(AND(Base[[#This Row],[Pathologie]]&lt;&gt;"Dépendance",Base[[#This Row],[Pathologie]]&lt;&gt;"Mort prématurée",Base[[#This Row],[Pathologie]]&lt;&gt;"Migraine"),0.0619,0)</f>
        <v>6.1899999999999997E-2</v>
      </c>
      <c r="BX355" s="4">
        <v>254</v>
      </c>
      <c r="BY355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5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5" s="4">
        <f>Base[[#This Row],[Prévalence_prod]]*Base[[#This Row],[Présentéisme]]*Base[[#This Row],['[Prod']Jours_ouvrés]]</f>
        <v>5.6349899999999993</v>
      </c>
      <c r="CB355" s="4">
        <f>Base[[#This Row],[Prévalence_prod]]*(1-Base[[#This Row],[Risque]])*Base[[#This Row],[Présentéisme]]*Base[[#This Row],['[Prod']Jours_ouvrés]]</f>
        <v>4.6041062158630286</v>
      </c>
      <c r="CC355" s="4">
        <f>Base[[#This Row],['[Prod']'[Présentéisme']Jours_avant]]-Base[[#This Row],['[Prod']'[Présentéisme']Jours_après]]</f>
        <v>1.0308837841369707</v>
      </c>
      <c r="CD355" s="4">
        <f>Base[[#This Row],['[Prod']'[Présentéisme']Jours_gagnés]]/Base[[#This Row],['[Prod']Jours_ouvrés]]</f>
        <v>4.0585975753424045E-3</v>
      </c>
      <c r="CE355">
        <v>7.5880726467531134E-2</v>
      </c>
      <c r="CF355">
        <v>1.989821358241517E-2</v>
      </c>
      <c r="CG355" s="4">
        <v>11</v>
      </c>
      <c r="CH355" s="4">
        <v>0.78414927716175975</v>
      </c>
      <c r="CI355" s="4">
        <v>0.12835819090128339</v>
      </c>
      <c r="CJ355" s="4">
        <f>IF(Base[[#This Row],[Secteur]]&lt;&gt;"Moyenne",Base[[#This Row],['[Prod']'[Turnover']DMC_initiale]]*(1+Base[[#This Row],['[Prod']'[Turnover']Ecart_accidents]]*Base[[#This Row],['[Prod']Impact_motifs_turnover]]),CJ338*CI338+CJ339*CI339+CJ340*CI340+CJ341*CI341+CJ342*CI342+CJ343*CI343+CJ344*CI344+CJ345*CI345+CJ346*CI346+CJ347*CI347+CJ348*CI348+CJ349*CI349+CJ350*CI350+CJ351*CI351+CJ352*CI352+CJ353*CI353+CJ354*CI354)</f>
        <v>11.171634867772074</v>
      </c>
      <c r="CK355" s="4">
        <f>1/Base[[#This Row],['[Prod']'[Turnover']DMC_initiale]]</f>
        <v>9.0909090909090912E-2</v>
      </c>
      <c r="CL355" s="4">
        <f>1/Base[[#This Row],['[Prod']'[Turnover']DMC_finale]]</f>
        <v>8.9512413521927708E-2</v>
      </c>
    </row>
    <row r="356" spans="2:90" x14ac:dyDescent="0.25">
      <c r="B356" s="4" t="s">
        <v>330</v>
      </c>
      <c r="C356">
        <v>15</v>
      </c>
      <c r="D356" t="s">
        <v>83</v>
      </c>
      <c r="E356" t="s">
        <v>9</v>
      </c>
      <c r="F356" s="3">
        <v>0.18294332095300453</v>
      </c>
      <c r="G356" s="3">
        <v>0.14499999999999999</v>
      </c>
      <c r="H356" s="3">
        <v>0.14499999999999999</v>
      </c>
      <c r="I356" s="3">
        <v>0.153</v>
      </c>
      <c r="J356" s="3">
        <v>29.93</v>
      </c>
      <c r="K356" s="3">
        <v>7.0000000000000007E-2</v>
      </c>
      <c r="L356" s="2">
        <f>Base[[#This Row],[Coût]]*Base[[#This Row],[Part_ménages_dépenses_santé]]</f>
        <v>2.0951</v>
      </c>
      <c r="M356" s="2">
        <v>0.82690611956969029</v>
      </c>
      <c r="N356" s="6">
        <v>27700000</v>
      </c>
      <c r="O356" s="7">
        <f>Base[[#This Row],[Coût_salarié]]*10^9*Base[[#This Row],[Risque]]*Base[[#This Row],[Prévalence]]*Base[[#This Row],[Part_coûts_salarié]]/Base[[#This Row],[Population_emploi]]</f>
        <v>1.6590739890735007</v>
      </c>
      <c r="P356">
        <v>50</v>
      </c>
      <c r="Q356">
        <v>50</v>
      </c>
      <c r="R356" s="2">
        <v>9.9999999999999978E-2</v>
      </c>
      <c r="S356" s="2">
        <v>0.33340000000000003</v>
      </c>
      <c r="T356" s="4">
        <v>0.14499999999999999</v>
      </c>
      <c r="U356" s="4">
        <f>IF(Bases_annexes!$F$5=0,16.6587111018772,0.77*Bases_annexes!$F$5/(IF(OR(ISBLANK('Données_d''entrée'!$E$44),'Données_d''entrée'!$E$44=0),35,'Données_d''entrée'!$E$44)*52))</f>
        <v>16.658711101877199</v>
      </c>
      <c r="V356" s="4">
        <v>17.7120401072847</v>
      </c>
      <c r="W3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6" s="4">
        <v>234.5</v>
      </c>
      <c r="Y356" s="4">
        <f>(Base[[#This Row],['[Maladies']Coûts_évités_par_salarié]]+Base[[#This Row],['[Travail']Coûts_évités_par_salarié]])/Base[[#This Row],[Budget_santé_salarié]]</f>
        <v>6.6055060309971547E-2</v>
      </c>
      <c r="Z356" s="4">
        <v>0.8</v>
      </c>
      <c r="AA356" s="4">
        <f>Base[[#This Row],[Coût]]*Base[[#This Row],[Part_société_dépenses_santé]]</f>
        <v>23.944000000000003</v>
      </c>
      <c r="AB356" s="4">
        <v>67635124</v>
      </c>
      <c r="AC356" s="4">
        <v>82.297079063317852</v>
      </c>
      <c r="AD356" s="4">
        <v>0.14499999999999999</v>
      </c>
      <c r="AE356" s="4">
        <f>Base[[#This Row],['[SC']Prévalence_travail]]*Base[[#This Row],[Population_emploi]]</f>
        <v>4016499.9999999995</v>
      </c>
      <c r="AF356" s="4">
        <f>Base[[#This Row],[Risque]]*Base[[#This Row],['[SC']Patients_en_emploi]]</f>
        <v>734791.84860774258</v>
      </c>
      <c r="AG356" s="4">
        <v>5730042552.54</v>
      </c>
      <c r="AH356" s="4">
        <f>IFERROR(Base[[#This Row],['[SC']Prestations]]/Base[[#This Row],['[SC']Patients_en_emploi]],0)</f>
        <v>1426.625806682435</v>
      </c>
      <c r="AI356" s="4">
        <v>51.7</v>
      </c>
      <c r="AJ3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6" s="4">
        <f>Base[[#This Row],['[SC']'[Travail']Coûts_évités]]/Base[[#This Row],[Population_emploi]]</f>
        <v>37.84379111060283</v>
      </c>
      <c r="AL356" s="4">
        <f>Base[[#This Row],[Coût_société]]*10^9*Base[[#This Row],[Risque]]*Base[[#This Row],[Prévalence]]*Base[[#This Row],[Part_coûts_salarié]]/Base[[#This Row],[Population_emploi]]</f>
        <v>18.960845589411438</v>
      </c>
      <c r="AM356" s="4">
        <f>IF(Base[[#This Row],[Pathologie]]&lt;&gt;"Dépendance",0,14909.24243952)</f>
        <v>0</v>
      </c>
      <c r="AN356" s="4">
        <f>IF(Base[[#This Row],[Pathologie]]&lt;&gt;"Dépendance",0,1316000)</f>
        <v>0</v>
      </c>
      <c r="AO356" s="4">
        <f>IF(Base[[#This Row],[Pathologie]]&lt;&gt;"Dépendance",0,Base[[#This Row],['[SC']Coût_personne_dépendante]]*Base[[#This Row],['[SC']Nb_personnes_dépendantes]])</f>
        <v>0</v>
      </c>
      <c r="AP356" s="4">
        <f>IF(Base[[#This Row],[Pathologie]]&lt;&gt;"Dépendance",0,Base[[#This Row],['[SC']Coût_total_dépendance]]/Base[[#This Row],[Population_totale]])</f>
        <v>0</v>
      </c>
      <c r="AQ356" s="4">
        <f>IF(Base[[#This Row],[Pathologie]]&lt;&gt;"Dépendance",0,4.5)</f>
        <v>0</v>
      </c>
      <c r="AR356" s="4">
        <v>0.83987615528424797</v>
      </c>
      <c r="AS356" s="4">
        <f>Base[[#This Row],[Espérance_vie]]+Base[[#This Row],['[SC']Hausse_esp_de_vie]]-Base[[#This Row],['[SC']Durée_moyenne_dépendance_avt]]+Base[[#This Row],[Risque]]</f>
        <v>83.319898539555098</v>
      </c>
      <c r="AT3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6" s="4">
        <v>62.9</v>
      </c>
      <c r="AW356" s="4">
        <f t="shared" si="5"/>
        <v>336905600000</v>
      </c>
      <c r="AX356" s="4">
        <v>15049171</v>
      </c>
      <c r="AY356" s="4">
        <f>Base[[#This Row],['[SC']Budget_total_retraites]]/Base[[#This Row],['[SC']Nombre_de_retraités]]</f>
        <v>22386.987296509556</v>
      </c>
      <c r="AZ356" s="4">
        <f>Base[[#This Row],['[SC']Budget_par_retraité]]*Base[[#This Row],['[SC']Nb_personnes_dépendantes]]</f>
        <v>0</v>
      </c>
      <c r="BA356" s="4">
        <f>Base[[#This Row],['[SC']'[Dépendance']Coût_retraite_personnes_dépendantes]]/Base[[#This Row],[Population_totale]]</f>
        <v>0</v>
      </c>
      <c r="BB3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6" s="4">
        <f>Base[[#This Row],['[SC']'[Dépendance']Gains]]-Base[[#This Row],['[SC']'[Dépendance']Coûts]]</f>
        <v>0</v>
      </c>
      <c r="BD356" s="4">
        <f>IF(Base[[#This Row],[Pathologie]]&lt;&gt;"Mort prématurée",0,Base[[#This Row],[Risque]]*Base[[#This Row],[Prévalence]]*Base[[#This Row],[Population_totale]])</f>
        <v>0</v>
      </c>
      <c r="BE356" s="4">
        <v>52.74</v>
      </c>
      <c r="BF356" s="4">
        <f>Base[[#This Row],['[SC']Âge_moyen_retraite]]-Base[[#This Row],['[SC']'[Mort_prématurée']Âge_moyen_mort précoce]]</f>
        <v>10.159999999999997</v>
      </c>
      <c r="BG356" s="4">
        <f>Base[[#This Row],[Espérance_vie]]+Base[[#This Row],['[SC']Hausse_esp_de_vie]]-Base[[#This Row],['[SC']Âge_moyen_retraite]]</f>
        <v>20.236955218602098</v>
      </c>
      <c r="BH356" s="4">
        <v>106583.42676924677</v>
      </c>
      <c r="BI356" s="4">
        <v>97601.789429271477</v>
      </c>
      <c r="BJ356" s="4">
        <v>302038.31496633729</v>
      </c>
      <c r="BK356" s="4">
        <v>117293.58934859755</v>
      </c>
      <c r="BL356" s="4">
        <v>1523999.9999999995</v>
      </c>
      <c r="BM3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6" s="4">
        <v>294804.96027377353</v>
      </c>
      <c r="BO3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6" s="4">
        <f>(Base[[#This Row],['[SC']'[Mort_prématurée']Gains]]-Base[[#This Row],['[SC']'[Mort_prématurée']Coûts]])/Base[[#This Row],[Population_totale]]</f>
        <v>0</v>
      </c>
      <c r="BQ356" s="4">
        <f>IF(Base[[#This Row],[Pathologie]]&lt;&gt;"Mort prématurée",0,Base[[#This Row],[Risque]])</f>
        <v>0</v>
      </c>
      <c r="BR356" s="4">
        <v>2680</v>
      </c>
      <c r="BS3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6" s="4">
        <f>Base[[#This Row],[Prévalence_prod]]*(1-Base[[#This Row],[Risque]])*Base[[#This Row],[Durée_arrêt]]*Base[[#This Row],[Population_emploi]]</f>
        <v>58125746.397862785</v>
      </c>
      <c r="BV356" s="4">
        <f>Base[[#This Row],['[Prod']'[Absentéisme']Total_jours_absence_avant]]-Base[[#This Row],['[Prod']'[Absentéisme']Total_jours_absence_après]]</f>
        <v>13014662.693046205</v>
      </c>
      <c r="BW356" s="4">
        <f>IF(AND(Base[[#This Row],[Pathologie]]&lt;&gt;"Dépendance",Base[[#This Row],[Pathologie]]&lt;&gt;"Mort prématurée",Base[[#This Row],[Pathologie]]&lt;&gt;"Migraine"),0.0619,0)</f>
        <v>6.1899999999999997E-2</v>
      </c>
      <c r="BX356" s="4">
        <v>254</v>
      </c>
      <c r="BY356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6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6" s="4">
        <f>Base[[#This Row],[Prévalence_prod]]*Base[[#This Row],[Présentéisme]]*Base[[#This Row],['[Prod']Jours_ouvrés]]</f>
        <v>5.6349899999999993</v>
      </c>
      <c r="CB356" s="4">
        <f>Base[[#This Row],[Prévalence_prod]]*(1-Base[[#This Row],[Risque]])*Base[[#This Row],[Présentéisme]]*Base[[#This Row],['[Prod']Jours_ouvrés]]</f>
        <v>4.6041062158630286</v>
      </c>
      <c r="CC356" s="4">
        <f>Base[[#This Row],['[Prod']'[Présentéisme']Jours_avant]]-Base[[#This Row],['[Prod']'[Présentéisme']Jours_après]]</f>
        <v>1.0308837841369707</v>
      </c>
      <c r="CD356" s="4">
        <f>Base[[#This Row],['[Prod']'[Présentéisme']Jours_gagnés]]/Base[[#This Row],['[Prod']Jours_ouvrés]]</f>
        <v>4.0585975753424045E-3</v>
      </c>
      <c r="CE356">
        <v>7.5880726467531134E-2</v>
      </c>
      <c r="CF356">
        <v>1.989821358241517E-2</v>
      </c>
      <c r="CG356" s="4">
        <v>11</v>
      </c>
      <c r="CH356" s="4">
        <v>0.99648427619813984</v>
      </c>
      <c r="CI356" s="4">
        <v>0.42377466100567313</v>
      </c>
      <c r="CJ356" s="4">
        <f>IF(Base[[#This Row],[Secteur]]&lt;&gt;"Moyenne",Base[[#This Row],['[Prod']'[Turnover']DMC_initiale]]*(1+Base[[#This Row],['[Prod']'[Turnover']Ecart_accidents]]*Base[[#This Row],['[Prod']Impact_motifs_turnover]]),CJ339*CI339+CJ340*CI340+CJ341*CI341+CJ342*CI342+CJ343*CI343+CJ344*CI344+CJ345*CI345+CJ346*CI346+CJ347*CI347+CJ348*CI348+CJ349*CI349+CJ350*CI350+CJ351*CI351+CJ352*CI352+CJ353*CI353+CJ354*CI354+CJ355*CI355)</f>
        <v>11.218110826552397</v>
      </c>
      <c r="CK356" s="4">
        <f>1/Base[[#This Row],['[Prod']'[Turnover']DMC_initiale]]</f>
        <v>9.0909090909090912E-2</v>
      </c>
      <c r="CL356" s="4">
        <f>1/Base[[#This Row],['[Prod']'[Turnover']DMC_finale]]</f>
        <v>8.9141568973723953E-2</v>
      </c>
    </row>
    <row r="357" spans="2:90" x14ac:dyDescent="0.25">
      <c r="B357" s="4" t="s">
        <v>331</v>
      </c>
      <c r="C357">
        <v>15</v>
      </c>
      <c r="D357" t="s">
        <v>83</v>
      </c>
      <c r="E357" t="s">
        <v>9</v>
      </c>
      <c r="F357" s="3">
        <v>0.18294332095300453</v>
      </c>
      <c r="G357" s="3">
        <v>0.14499999999999999</v>
      </c>
      <c r="H357" s="3">
        <v>0.14499999999999999</v>
      </c>
      <c r="I357" s="3">
        <v>0.153</v>
      </c>
      <c r="J357" s="3">
        <v>29.93</v>
      </c>
      <c r="K357" s="3">
        <v>7.0000000000000007E-2</v>
      </c>
      <c r="L357" s="2">
        <f>Base[[#This Row],[Coût]]*Base[[#This Row],[Part_ménages_dépenses_santé]]</f>
        <v>2.0951</v>
      </c>
      <c r="M357" s="2">
        <v>0.82690611956969029</v>
      </c>
      <c r="N357" s="6">
        <v>27700000</v>
      </c>
      <c r="O357" s="7">
        <f>Base[[#This Row],[Coût_salarié]]*10^9*Base[[#This Row],[Risque]]*Base[[#This Row],[Prévalence]]*Base[[#This Row],[Part_coûts_salarié]]/Base[[#This Row],[Population_emploi]]</f>
        <v>1.6590739890735007</v>
      </c>
      <c r="P357">
        <v>50</v>
      </c>
      <c r="Q357">
        <v>50</v>
      </c>
      <c r="R357" s="2">
        <v>9.9999999999999978E-2</v>
      </c>
      <c r="S357" s="2">
        <v>0.33340000000000003</v>
      </c>
      <c r="T357" s="4">
        <v>0.14499999999999999</v>
      </c>
      <c r="U357" s="4">
        <f>IF(Bases_annexes!$F$5=0,16.6587111018772,0.77*Bases_annexes!$F$5/(IF(OR(ISBLANK('Données_d''entrée'!$E$44),'Données_d''entrée'!$E$44=0),35,'Données_d''entrée'!$E$44)*52))</f>
        <v>16.658711101877199</v>
      </c>
      <c r="V357" s="4">
        <v>17.7120401072847</v>
      </c>
      <c r="W3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7" s="4">
        <v>234.5</v>
      </c>
      <c r="Y357" s="4">
        <f>(Base[[#This Row],['[Maladies']Coûts_évités_par_salarié]]+Base[[#This Row],['[Travail']Coûts_évités_par_salarié]])/Base[[#This Row],[Budget_santé_salarié]]</f>
        <v>6.6055060309971547E-2</v>
      </c>
      <c r="Z357" s="4">
        <v>0.8</v>
      </c>
      <c r="AA357" s="4">
        <f>Base[[#This Row],[Coût]]*Base[[#This Row],[Part_société_dépenses_santé]]</f>
        <v>23.944000000000003</v>
      </c>
      <c r="AB357" s="4">
        <v>67635124</v>
      </c>
      <c r="AC357" s="4">
        <v>82.297079063317852</v>
      </c>
      <c r="AD357" s="4">
        <v>0.14499999999999999</v>
      </c>
      <c r="AE357" s="4">
        <f>Base[[#This Row],['[SC']Prévalence_travail]]*Base[[#This Row],[Population_emploi]]</f>
        <v>4016499.9999999995</v>
      </c>
      <c r="AF357" s="4">
        <f>Base[[#This Row],[Risque]]*Base[[#This Row],['[SC']Patients_en_emploi]]</f>
        <v>734791.84860774258</v>
      </c>
      <c r="AG357" s="4">
        <v>5730042552.54</v>
      </c>
      <c r="AH357" s="4">
        <f>IFERROR(Base[[#This Row],['[SC']Prestations]]/Base[[#This Row],['[SC']Patients_en_emploi]],0)</f>
        <v>1426.625806682435</v>
      </c>
      <c r="AI357" s="4">
        <v>51.7</v>
      </c>
      <c r="AJ3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7" s="4">
        <f>Base[[#This Row],['[SC']'[Travail']Coûts_évités]]/Base[[#This Row],[Population_emploi]]</f>
        <v>37.84379111060283</v>
      </c>
      <c r="AL357" s="4">
        <f>Base[[#This Row],[Coût_société]]*10^9*Base[[#This Row],[Risque]]*Base[[#This Row],[Prévalence]]*Base[[#This Row],[Part_coûts_salarié]]/Base[[#This Row],[Population_emploi]]</f>
        <v>18.960845589411438</v>
      </c>
      <c r="AM357" s="4">
        <f>IF(Base[[#This Row],[Pathologie]]&lt;&gt;"Dépendance",0,14909.24243952)</f>
        <v>0</v>
      </c>
      <c r="AN357" s="4">
        <f>IF(Base[[#This Row],[Pathologie]]&lt;&gt;"Dépendance",0,1316000)</f>
        <v>0</v>
      </c>
      <c r="AO357" s="4">
        <f>IF(Base[[#This Row],[Pathologie]]&lt;&gt;"Dépendance",0,Base[[#This Row],['[SC']Coût_personne_dépendante]]*Base[[#This Row],['[SC']Nb_personnes_dépendantes]])</f>
        <v>0</v>
      </c>
      <c r="AP357" s="4">
        <f>IF(Base[[#This Row],[Pathologie]]&lt;&gt;"Dépendance",0,Base[[#This Row],['[SC']Coût_total_dépendance]]/Base[[#This Row],[Population_totale]])</f>
        <v>0</v>
      </c>
      <c r="AQ357" s="4">
        <f>IF(Base[[#This Row],[Pathologie]]&lt;&gt;"Dépendance",0,4.5)</f>
        <v>0</v>
      </c>
      <c r="AR357" s="4">
        <v>0.83987615528424797</v>
      </c>
      <c r="AS357" s="4">
        <f>Base[[#This Row],[Espérance_vie]]+Base[[#This Row],['[SC']Hausse_esp_de_vie]]-Base[[#This Row],['[SC']Durée_moyenne_dépendance_avt]]+Base[[#This Row],[Risque]]</f>
        <v>83.319898539555098</v>
      </c>
      <c r="AT3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7" s="4">
        <v>62.9</v>
      </c>
      <c r="AW357" s="4">
        <f t="shared" si="5"/>
        <v>336905600000</v>
      </c>
      <c r="AX357" s="4">
        <v>15049171</v>
      </c>
      <c r="AY357" s="4">
        <f>Base[[#This Row],['[SC']Budget_total_retraites]]/Base[[#This Row],['[SC']Nombre_de_retraités]]</f>
        <v>22386.987296509556</v>
      </c>
      <c r="AZ357" s="4">
        <f>Base[[#This Row],['[SC']Budget_par_retraité]]*Base[[#This Row],['[SC']Nb_personnes_dépendantes]]</f>
        <v>0</v>
      </c>
      <c r="BA357" s="4">
        <f>Base[[#This Row],['[SC']'[Dépendance']Coût_retraite_personnes_dépendantes]]/Base[[#This Row],[Population_totale]]</f>
        <v>0</v>
      </c>
      <c r="BB3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7" s="4">
        <f>Base[[#This Row],['[SC']'[Dépendance']Gains]]-Base[[#This Row],['[SC']'[Dépendance']Coûts]]</f>
        <v>0</v>
      </c>
      <c r="BD357" s="4">
        <f>IF(Base[[#This Row],[Pathologie]]&lt;&gt;"Mort prématurée",0,Base[[#This Row],[Risque]]*Base[[#This Row],[Prévalence]]*Base[[#This Row],[Population_totale]])</f>
        <v>0</v>
      </c>
      <c r="BE357" s="4">
        <v>52.74</v>
      </c>
      <c r="BF357" s="4">
        <f>Base[[#This Row],['[SC']Âge_moyen_retraite]]-Base[[#This Row],['[SC']'[Mort_prématurée']Âge_moyen_mort précoce]]</f>
        <v>10.159999999999997</v>
      </c>
      <c r="BG357" s="4">
        <f>Base[[#This Row],[Espérance_vie]]+Base[[#This Row],['[SC']Hausse_esp_de_vie]]-Base[[#This Row],['[SC']Âge_moyen_retraite]]</f>
        <v>20.236955218602098</v>
      </c>
      <c r="BH357" s="4">
        <v>106583.42676924677</v>
      </c>
      <c r="BI357" s="4">
        <v>97601.789429271477</v>
      </c>
      <c r="BJ357" s="4">
        <v>302038.31496633729</v>
      </c>
      <c r="BK357" s="4">
        <v>117293.58934859755</v>
      </c>
      <c r="BL357" s="4">
        <v>1523999.9999999995</v>
      </c>
      <c r="BM3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7" s="4">
        <v>294804.96027377353</v>
      </c>
      <c r="BO3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7" s="4">
        <f>(Base[[#This Row],['[SC']'[Mort_prématurée']Gains]]-Base[[#This Row],['[SC']'[Mort_prématurée']Coûts]])/Base[[#This Row],[Population_totale]]</f>
        <v>0</v>
      </c>
      <c r="BQ357" s="4">
        <f>IF(Base[[#This Row],[Pathologie]]&lt;&gt;"Mort prématurée",0,Base[[#This Row],[Risque]])</f>
        <v>0</v>
      </c>
      <c r="BR357" s="4">
        <v>2680</v>
      </c>
      <c r="BS3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7" s="4">
        <f>Base[[#This Row],[Prévalence_prod]]*(1-Base[[#This Row],[Risque]])*Base[[#This Row],[Durée_arrêt]]*Base[[#This Row],[Population_emploi]]</f>
        <v>58125746.397862785</v>
      </c>
      <c r="BV357" s="4">
        <f>Base[[#This Row],['[Prod']'[Absentéisme']Total_jours_absence_avant]]-Base[[#This Row],['[Prod']'[Absentéisme']Total_jours_absence_après]]</f>
        <v>13014662.693046205</v>
      </c>
      <c r="BW357" s="4">
        <f>IF(AND(Base[[#This Row],[Pathologie]]&lt;&gt;"Dépendance",Base[[#This Row],[Pathologie]]&lt;&gt;"Mort prématurée",Base[[#This Row],[Pathologie]]&lt;&gt;"Migraine"),0.0619,0)</f>
        <v>6.1899999999999997E-2</v>
      </c>
      <c r="BX357" s="4">
        <v>254</v>
      </c>
      <c r="BY35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7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7" s="4">
        <f>Base[[#This Row],[Prévalence_prod]]*Base[[#This Row],[Présentéisme]]*Base[[#This Row],['[Prod']Jours_ouvrés]]</f>
        <v>5.6349899999999993</v>
      </c>
      <c r="CB357" s="4">
        <f>Base[[#This Row],[Prévalence_prod]]*(1-Base[[#This Row],[Risque]])*Base[[#This Row],[Présentéisme]]*Base[[#This Row],['[Prod']Jours_ouvrés]]</f>
        <v>4.6041062158630286</v>
      </c>
      <c r="CC357" s="4">
        <f>Base[[#This Row],['[Prod']'[Présentéisme']Jours_avant]]-Base[[#This Row],['[Prod']'[Présentéisme']Jours_après]]</f>
        <v>1.0308837841369707</v>
      </c>
      <c r="CD357" s="4">
        <f>Base[[#This Row],['[Prod']'[Présentéisme']Jours_gagnés]]/Base[[#This Row],['[Prod']Jours_ouvrés]]</f>
        <v>4.0585975753424045E-3</v>
      </c>
      <c r="CE357">
        <v>7.5880726467531134E-2</v>
      </c>
      <c r="CF357">
        <v>1.989821358241517E-2</v>
      </c>
      <c r="CG357" s="4">
        <v>11</v>
      </c>
      <c r="CH357" s="4">
        <v>1.1593596509901765</v>
      </c>
      <c r="CI357" s="4">
        <v>4.0741311947357597E-2</v>
      </c>
      <c r="CJ357" s="4">
        <f>IF(Base[[#This Row],[Secteur]]&lt;&gt;"Moyenne",Base[[#This Row],['[Prod']'[Turnover']DMC_initiale]]*(1+Base[[#This Row],['[Prod']'[Turnover']Ecart_accidents]]*Base[[#This Row],['[Prod']Impact_motifs_turnover]]),CJ340*CI340+CJ341*CI341+CJ342*CI342+CJ343*CI343+CJ344*CI344+CJ345*CI345+CJ346*CI346+CJ347*CI347+CJ348*CI348+CJ349*CI349+CJ350*CI350+CJ351*CI351+CJ352*CI352+CJ353*CI353+CJ354*CI354+CJ355*CI355+CJ356*CI356)</f>
        <v>11.253761045496606</v>
      </c>
      <c r="CK357" s="4">
        <f>1/Base[[#This Row],['[Prod']'[Turnover']DMC_initiale]]</f>
        <v>9.0909090909090912E-2</v>
      </c>
      <c r="CL357" s="4">
        <f>1/Base[[#This Row],['[Prod']'[Turnover']DMC_finale]]</f>
        <v>8.8859181917690336E-2</v>
      </c>
    </row>
    <row r="358" spans="2:90" x14ac:dyDescent="0.25">
      <c r="B358" s="4" t="s">
        <v>332</v>
      </c>
      <c r="C358">
        <v>15</v>
      </c>
      <c r="D358" t="s">
        <v>83</v>
      </c>
      <c r="E358" t="s">
        <v>9</v>
      </c>
      <c r="F358" s="3">
        <v>0.18294332095300453</v>
      </c>
      <c r="G358" s="3">
        <v>0.14499999999999999</v>
      </c>
      <c r="H358" s="3">
        <v>0.14499999999999999</v>
      </c>
      <c r="I358" s="3">
        <v>0.153</v>
      </c>
      <c r="J358" s="3">
        <v>29.93</v>
      </c>
      <c r="K358" s="3">
        <v>7.0000000000000007E-2</v>
      </c>
      <c r="L358" s="2">
        <f>Base[[#This Row],[Coût]]*Base[[#This Row],[Part_ménages_dépenses_santé]]</f>
        <v>2.0951</v>
      </c>
      <c r="M358" s="2">
        <v>0.82690611956969029</v>
      </c>
      <c r="N358" s="6">
        <v>27700000</v>
      </c>
      <c r="O358" s="7">
        <f>Base[[#This Row],[Coût_salarié]]*10^9*Base[[#This Row],[Risque]]*Base[[#This Row],[Prévalence]]*Base[[#This Row],[Part_coûts_salarié]]/Base[[#This Row],[Population_emploi]]</f>
        <v>1.6590739890735007</v>
      </c>
      <c r="P358">
        <v>50</v>
      </c>
      <c r="Q358">
        <v>50</v>
      </c>
      <c r="R358" s="2">
        <v>9.9999999999999978E-2</v>
      </c>
      <c r="S358" s="2">
        <v>0.33340000000000003</v>
      </c>
      <c r="T358" s="4">
        <v>0.14499999999999999</v>
      </c>
      <c r="U358" s="4">
        <f>IF(Bases_annexes!$F$5=0,16.6587111018772,0.77*Bases_annexes!$F$5/(IF(OR(ISBLANK('Données_d''entrée'!$E$44),'Données_d''entrée'!$E$44=0),35,'Données_d''entrée'!$E$44)*52))</f>
        <v>16.658711101877199</v>
      </c>
      <c r="V358" s="4">
        <v>17.7120401072847</v>
      </c>
      <c r="W3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13.830837653614827</v>
      </c>
      <c r="X358" s="4">
        <v>234.5</v>
      </c>
      <c r="Y358" s="4">
        <f>(Base[[#This Row],['[Maladies']Coûts_évités_par_salarié]]+Base[[#This Row],['[Travail']Coûts_évités_par_salarié]])/Base[[#This Row],[Budget_santé_salarié]]</f>
        <v>6.6055060309971547E-2</v>
      </c>
      <c r="Z358" s="4">
        <v>0.8</v>
      </c>
      <c r="AA358" s="4">
        <f>Base[[#This Row],[Coût]]*Base[[#This Row],[Part_société_dépenses_santé]]</f>
        <v>23.944000000000003</v>
      </c>
      <c r="AB358" s="4">
        <v>67635124</v>
      </c>
      <c r="AC358" s="4">
        <v>82.297079063317852</v>
      </c>
      <c r="AD358" s="4">
        <v>0.14499999999999999</v>
      </c>
      <c r="AE358" s="4">
        <f>Base[[#This Row],['[SC']Prévalence_travail]]*Base[[#This Row],[Population_emploi]]</f>
        <v>4016499.9999999995</v>
      </c>
      <c r="AF358" s="4">
        <f>Base[[#This Row],[Risque]]*Base[[#This Row],['[SC']Patients_en_emploi]]</f>
        <v>734791.84860774258</v>
      </c>
      <c r="AG358" s="4">
        <v>5730042552.54</v>
      </c>
      <c r="AH358" s="4">
        <f>IFERROR(Base[[#This Row],['[SC']Prestations]]/Base[[#This Row],['[SC']Patients_en_emploi]],0)</f>
        <v>1426.625806682435</v>
      </c>
      <c r="AI358" s="4">
        <v>51.7</v>
      </c>
      <c r="AJ3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1048273013.7636985</v>
      </c>
      <c r="AK358" s="4">
        <f>Base[[#This Row],['[SC']'[Travail']Coûts_évités]]/Base[[#This Row],[Population_emploi]]</f>
        <v>37.84379111060283</v>
      </c>
      <c r="AL358" s="4">
        <f>Base[[#This Row],[Coût_société]]*10^9*Base[[#This Row],[Risque]]*Base[[#This Row],[Prévalence]]*Base[[#This Row],[Part_coûts_salarié]]/Base[[#This Row],[Population_emploi]]</f>
        <v>18.960845589411438</v>
      </c>
      <c r="AM358" s="4">
        <f>IF(Base[[#This Row],[Pathologie]]&lt;&gt;"Dépendance",0,14909.24243952)</f>
        <v>0</v>
      </c>
      <c r="AN358" s="4">
        <f>IF(Base[[#This Row],[Pathologie]]&lt;&gt;"Dépendance",0,1316000)</f>
        <v>0</v>
      </c>
      <c r="AO358" s="4">
        <f>IF(Base[[#This Row],[Pathologie]]&lt;&gt;"Dépendance",0,Base[[#This Row],['[SC']Coût_personne_dépendante]]*Base[[#This Row],['[SC']Nb_personnes_dépendantes]])</f>
        <v>0</v>
      </c>
      <c r="AP358" s="4">
        <f>IF(Base[[#This Row],[Pathologie]]&lt;&gt;"Dépendance",0,Base[[#This Row],['[SC']Coût_total_dépendance]]/Base[[#This Row],[Population_totale]])</f>
        <v>0</v>
      </c>
      <c r="AQ358" s="4">
        <f>IF(Base[[#This Row],[Pathologie]]&lt;&gt;"Dépendance",0,4.5)</f>
        <v>0</v>
      </c>
      <c r="AR358" s="4">
        <v>0.83987615528424797</v>
      </c>
      <c r="AS358" s="4">
        <f>Base[[#This Row],[Espérance_vie]]+Base[[#This Row],['[SC']Hausse_esp_de_vie]]-Base[[#This Row],['[SC']Durée_moyenne_dépendance_avt]]+Base[[#This Row],[Risque]]</f>
        <v>83.319898539555098</v>
      </c>
      <c r="AT3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8" s="4">
        <v>62.9</v>
      </c>
      <c r="AW358" s="4">
        <f t="shared" si="5"/>
        <v>336905600000</v>
      </c>
      <c r="AX358" s="4">
        <v>15049171</v>
      </c>
      <c r="AY358" s="4">
        <f>Base[[#This Row],['[SC']Budget_total_retraites]]/Base[[#This Row],['[SC']Nombre_de_retraités]]</f>
        <v>22386.987296509556</v>
      </c>
      <c r="AZ358" s="4">
        <f>Base[[#This Row],['[SC']Budget_par_retraité]]*Base[[#This Row],['[SC']Nb_personnes_dépendantes]]</f>
        <v>0</v>
      </c>
      <c r="BA358" s="4">
        <f>Base[[#This Row],['[SC']'[Dépendance']Coût_retraite_personnes_dépendantes]]/Base[[#This Row],[Population_totale]]</f>
        <v>0</v>
      </c>
      <c r="BB3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8" s="4">
        <f>Base[[#This Row],['[SC']'[Dépendance']Gains]]-Base[[#This Row],['[SC']'[Dépendance']Coûts]]</f>
        <v>0</v>
      </c>
      <c r="BD358" s="4">
        <f>IF(Base[[#This Row],[Pathologie]]&lt;&gt;"Mort prématurée",0,Base[[#This Row],[Risque]]*Base[[#This Row],[Prévalence]]*Base[[#This Row],[Population_totale]])</f>
        <v>0</v>
      </c>
      <c r="BE358" s="4">
        <v>52.74</v>
      </c>
      <c r="BF358" s="4">
        <f>Base[[#This Row],['[SC']Âge_moyen_retraite]]-Base[[#This Row],['[SC']'[Mort_prématurée']Âge_moyen_mort précoce]]</f>
        <v>10.159999999999997</v>
      </c>
      <c r="BG358" s="4">
        <f>Base[[#This Row],[Espérance_vie]]+Base[[#This Row],['[SC']Hausse_esp_de_vie]]-Base[[#This Row],['[SC']Âge_moyen_retraite]]</f>
        <v>20.236955218602098</v>
      </c>
      <c r="BH358" s="4">
        <v>106583.42676924677</v>
      </c>
      <c r="BI358" s="4">
        <v>97601.789429271477</v>
      </c>
      <c r="BJ358" s="4">
        <v>302038.31496633729</v>
      </c>
      <c r="BK358" s="4">
        <v>117293.58934859755</v>
      </c>
      <c r="BL358" s="4">
        <v>1523999.9999999995</v>
      </c>
      <c r="BM3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8" s="4">
        <v>294804.96027377353</v>
      </c>
      <c r="BO3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8" s="4">
        <f>(Base[[#This Row],['[SC']'[Mort_prématurée']Gains]]-Base[[#This Row],['[SC']'[Mort_prématurée']Coûts]])/Base[[#This Row],[Population_totale]]</f>
        <v>0</v>
      </c>
      <c r="BQ358" s="4">
        <f>IF(Base[[#This Row],[Pathologie]]&lt;&gt;"Mort prématurée",0,Base[[#This Row],[Risque]])</f>
        <v>0</v>
      </c>
      <c r="BR358" s="4">
        <v>2680</v>
      </c>
      <c r="BS3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2.1195759962691893E-2</v>
      </c>
      <c r="BT3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358" s="4">
        <f>Base[[#This Row],[Prévalence_prod]]*(1-Base[[#This Row],[Risque]])*Base[[#This Row],[Durée_arrêt]]*Base[[#This Row],[Population_emploi]]</f>
        <v>58125746.397862785</v>
      </c>
      <c r="BV358" s="4">
        <f>Base[[#This Row],['[Prod']'[Absentéisme']Total_jours_absence_avant]]-Base[[#This Row],['[Prod']'[Absentéisme']Total_jours_absence_après]]</f>
        <v>13014662.693046205</v>
      </c>
      <c r="BW358" s="4">
        <f>IF(AND(Base[[#This Row],[Pathologie]]&lt;&gt;"Dépendance",Base[[#This Row],[Pathologie]]&lt;&gt;"Mort prématurée",Base[[#This Row],[Pathologie]]&lt;&gt;"Migraine"),0.0619,0)</f>
        <v>6.1899999999999997E-2</v>
      </c>
      <c r="BX358" s="4">
        <v>254</v>
      </c>
      <c r="BY35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358" s="4">
        <f>(Base[[#This Row],['[Prod']'[Absentéisme']Jours_théoriques]]-Base[[#This Row],['[Prod']'[Absentéisme']Total_jours_absence_évités]])/(Base[[#This Row],[Population_emploi]]*Base[[#This Row],['[Prod']Jours_ouvrés]])</f>
        <v>1.9015270792013657E-2</v>
      </c>
      <c r="CA358" s="4">
        <f>Base[[#This Row],[Prévalence_prod]]*Base[[#This Row],[Présentéisme]]*Base[[#This Row],['[Prod']Jours_ouvrés]]</f>
        <v>5.6349899999999993</v>
      </c>
      <c r="CB358" s="4">
        <f>Base[[#This Row],[Prévalence_prod]]*(1-Base[[#This Row],[Risque]])*Base[[#This Row],[Présentéisme]]*Base[[#This Row],['[Prod']Jours_ouvrés]]</f>
        <v>4.6041062158630286</v>
      </c>
      <c r="CC358" s="4">
        <f>Base[[#This Row],['[Prod']'[Présentéisme']Jours_avant]]-Base[[#This Row],['[Prod']'[Présentéisme']Jours_après]]</f>
        <v>1.0308837841369707</v>
      </c>
      <c r="CD358" s="4">
        <f>Base[[#This Row],['[Prod']'[Présentéisme']Jours_gagnés]]/Base[[#This Row],['[Prod']Jours_ouvrés]]</f>
        <v>4.0585975753424045E-3</v>
      </c>
      <c r="CE358">
        <v>7.5880726467531134E-2</v>
      </c>
      <c r="CF358">
        <v>1.989821358241517E-2</v>
      </c>
      <c r="CG358" s="4">
        <v>11</v>
      </c>
      <c r="CH358" s="4">
        <v>0.85076983926913452</v>
      </c>
      <c r="CI358" s="4">
        <v>0</v>
      </c>
      <c r="CJ358" s="4">
        <f>IF(Base[[#This Row],[Secteur]]&lt;&gt;"Moyenne",Base[[#This Row],['[Prod']'[Turnover']DMC_initiale]]*(1+Base[[#This Row],['[Prod']'[Turnover']Ecart_accidents]]*Base[[#This Row],['[Prod']Impact_motifs_turnover]]),CJ341*CI341+CJ342*CI342+CJ343*CI343+CJ344*CI344+CJ345*CI345+CJ346*CI346+CJ347*CI347+CJ348*CI348+CJ349*CI349+CJ350*CI350+CJ351*CI351+CJ352*CI352+CJ353*CI353+CJ354*CI354+CJ355*CI355+CJ356*CI356+CJ357*CI357)</f>
        <v>11.186216799683796</v>
      </c>
      <c r="CK358" s="4">
        <f>1/Base[[#This Row],['[Prod']'[Turnover']DMC_initiale]]</f>
        <v>9.0909090909090912E-2</v>
      </c>
      <c r="CL358" s="4">
        <f>1/Base[[#This Row],['[Prod']'[Turnover']DMC_finale]]</f>
        <v>8.9395728502979416E-2</v>
      </c>
    </row>
    <row r="359" spans="2:90" x14ac:dyDescent="0.25">
      <c r="B359" s="4" t="s">
        <v>315</v>
      </c>
      <c r="C359">
        <v>15</v>
      </c>
      <c r="D359" t="s">
        <v>83</v>
      </c>
      <c r="E359" t="s">
        <v>7</v>
      </c>
      <c r="F359" s="3">
        <v>0.37420224740387292</v>
      </c>
      <c r="G359" s="3">
        <v>0.1217</v>
      </c>
      <c r="H359" s="3">
        <v>0.1217</v>
      </c>
      <c r="I359" s="3">
        <v>9.1999999999999998E-2</v>
      </c>
      <c r="J359" s="3">
        <v>7.27956</v>
      </c>
      <c r="K359" s="3">
        <v>7.0000000000000007E-2</v>
      </c>
      <c r="L359" s="2">
        <f>Base[[#This Row],[Coût]]*Base[[#This Row],[Part_ménages_dépenses_santé]]</f>
        <v>0.50956920000000006</v>
      </c>
      <c r="M359" s="2">
        <v>1</v>
      </c>
      <c r="N359" s="6">
        <v>27700000</v>
      </c>
      <c r="O359" s="7">
        <f>Base[[#This Row],[Coût_salarié]]*10^9*Base[[#This Row],[Risque]]*Base[[#This Row],[Prévalence]]*Base[[#This Row],[Part_coûts_salarié]]/Base[[#This Row],[Population_emploi]]</f>
        <v>0.83776144691250853</v>
      </c>
      <c r="P359">
        <v>50</v>
      </c>
      <c r="Q359">
        <v>50</v>
      </c>
      <c r="R359" s="2">
        <v>9.9999999999999978E-2</v>
      </c>
      <c r="S359" s="2">
        <v>0.33340000000000003</v>
      </c>
      <c r="T359" s="4">
        <v>0.1217</v>
      </c>
      <c r="U359" s="4">
        <f>IF(Bases_annexes!$F$5=0,16.6587111018772,0.77*Bases_annexes!$F$5/(IF(OR(ISBLANK('Données_d''entrée'!$E$44),'Données_d''entrée'!$E$44=0),35,'Données_d''entrée'!$E$44)*52))</f>
        <v>16.658711101877199</v>
      </c>
      <c r="V359" s="4">
        <v>21.5</v>
      </c>
      <c r="W3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59" s="4">
        <v>234.5</v>
      </c>
      <c r="Y359" s="4">
        <f>(Base[[#This Row],['[Maladies']Coûts_évités_par_salarié]]+Base[[#This Row],['[Travail']Coûts_évités_par_salarié]])/Base[[#This Row],[Budget_santé_salarié]]</f>
        <v>0.11340616353499251</v>
      </c>
      <c r="Z359" s="4">
        <v>0.8</v>
      </c>
      <c r="AA359" s="4">
        <f>Base[[#This Row],[Coût]]*Base[[#This Row],[Part_société_dépenses_santé]]</f>
        <v>5.8236480000000004</v>
      </c>
      <c r="AB359" s="4">
        <v>67635124</v>
      </c>
      <c r="AC359" s="4">
        <v>82.297079063317852</v>
      </c>
      <c r="AD359" s="4">
        <v>0.1217</v>
      </c>
      <c r="AE359" s="4">
        <f>Base[[#This Row],['[SC']Prévalence_travail]]*Base[[#This Row],[Population_emploi]]</f>
        <v>3371090</v>
      </c>
      <c r="AF359" s="4">
        <f>Base[[#This Row],[Risque]]*Base[[#This Row],['[SC']Patients_en_emploi]]</f>
        <v>1261469.454200722</v>
      </c>
      <c r="AG359" s="4">
        <v>0</v>
      </c>
      <c r="AH359" s="4">
        <f>IFERROR(Base[[#This Row],['[SC']Prestations]]/Base[[#This Row],['[SC']Patients_en_emploi]],0)</f>
        <v>0</v>
      </c>
      <c r="AI359" s="4">
        <v>51.7</v>
      </c>
      <c r="AJ3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59" s="4">
        <f>Base[[#This Row],['[SC']'[Travail']Coûts_évités]]/Base[[#This Row],[Population_emploi]]</f>
        <v>43.557128500732155</v>
      </c>
      <c r="AL359" s="4">
        <f>Base[[#This Row],[Coût_société]]*10^9*Base[[#This Row],[Risque]]*Base[[#This Row],[Prévalence]]*Base[[#This Row],[Part_coûts_salarié]]/Base[[#This Row],[Population_emploi]]</f>
        <v>9.5744165361429534</v>
      </c>
      <c r="AM359" s="4">
        <f>IF(Base[[#This Row],[Pathologie]]&lt;&gt;"Dépendance",0,14909.24243952)</f>
        <v>0</v>
      </c>
      <c r="AN359" s="4">
        <f>IF(Base[[#This Row],[Pathologie]]&lt;&gt;"Dépendance",0,1316000)</f>
        <v>0</v>
      </c>
      <c r="AO359" s="4">
        <f>IF(Base[[#This Row],[Pathologie]]&lt;&gt;"Dépendance",0,Base[[#This Row],['[SC']Coût_personne_dépendante]]*Base[[#This Row],['[SC']Nb_personnes_dépendantes]])</f>
        <v>0</v>
      </c>
      <c r="AP359" s="4">
        <f>IF(Base[[#This Row],[Pathologie]]&lt;&gt;"Dépendance",0,Base[[#This Row],['[SC']Coût_total_dépendance]]/Base[[#This Row],[Population_totale]])</f>
        <v>0</v>
      </c>
      <c r="AQ359" s="4">
        <f>IF(Base[[#This Row],[Pathologie]]&lt;&gt;"Dépendance",0,4.5)</f>
        <v>0</v>
      </c>
      <c r="AR359" s="4">
        <v>0.83987615528424797</v>
      </c>
      <c r="AS359" s="4">
        <f>Base[[#This Row],[Espérance_vie]]+Base[[#This Row],['[SC']Hausse_esp_de_vie]]-Base[[#This Row],['[SC']Durée_moyenne_dépendance_avt]]+Base[[#This Row],[Risque]]</f>
        <v>83.511157466005969</v>
      </c>
      <c r="AT3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59" s="4">
        <v>62.9</v>
      </c>
      <c r="AW359" s="4">
        <f t="shared" si="0"/>
        <v>336905600000</v>
      </c>
      <c r="AX359" s="4">
        <v>15049171</v>
      </c>
      <c r="AY359" s="4">
        <f>Base[[#This Row],['[SC']Budget_total_retraites]]/Base[[#This Row],['[SC']Nombre_de_retraités]]</f>
        <v>22386.987296509556</v>
      </c>
      <c r="AZ359" s="4">
        <f>Base[[#This Row],['[SC']Budget_par_retraité]]*Base[[#This Row],['[SC']Nb_personnes_dépendantes]]</f>
        <v>0</v>
      </c>
      <c r="BA359" s="4">
        <f>Base[[#This Row],['[SC']'[Dépendance']Coût_retraite_personnes_dépendantes]]/Base[[#This Row],[Population_totale]]</f>
        <v>0</v>
      </c>
      <c r="BB3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59" s="4">
        <f>Base[[#This Row],['[SC']'[Dépendance']Gains]]-Base[[#This Row],['[SC']'[Dépendance']Coûts]]</f>
        <v>0</v>
      </c>
      <c r="BD359" s="4">
        <f>IF(Base[[#This Row],[Pathologie]]&lt;&gt;"Mort prématurée",0,Base[[#This Row],[Risque]]*Base[[#This Row],[Prévalence]]*Base[[#This Row],[Population_totale]])</f>
        <v>0</v>
      </c>
      <c r="BE359" s="4">
        <v>52.74</v>
      </c>
      <c r="BF359" s="4">
        <f>Base[[#This Row],['[SC']Âge_moyen_retraite]]-Base[[#This Row],['[SC']'[Mort_prématurée']Âge_moyen_mort précoce]]</f>
        <v>10.159999999999997</v>
      </c>
      <c r="BG359" s="4">
        <f>Base[[#This Row],[Espérance_vie]]+Base[[#This Row],['[SC']Hausse_esp_de_vie]]-Base[[#This Row],['[SC']Âge_moyen_retraite]]</f>
        <v>20.236955218602098</v>
      </c>
      <c r="BH359" s="4">
        <v>106583.42676924677</v>
      </c>
      <c r="BI359" s="4">
        <v>97601.789429271477</v>
      </c>
      <c r="BJ359" s="4">
        <v>302038.31496633729</v>
      </c>
      <c r="BK359" s="4">
        <v>117293.58934859755</v>
      </c>
      <c r="BL359" s="4">
        <v>1523999.9999999995</v>
      </c>
      <c r="BM3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59" s="4">
        <v>294804.96027377353</v>
      </c>
      <c r="BO3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59" s="4">
        <f>(Base[[#This Row],['[SC']'[Mort_prématurée']Gains]]-Base[[#This Row],['[SC']'[Mort_prématurée']Coûts]])/Base[[#This Row],[Population_totale]]</f>
        <v>0</v>
      </c>
      <c r="BQ359" s="4">
        <f>IF(Base[[#This Row],[Pathologie]]&lt;&gt;"Mort prématurée",0,Base[[#This Row],[Risque]])</f>
        <v>0</v>
      </c>
      <c r="BR359" s="4">
        <v>2680</v>
      </c>
      <c r="BS3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59" s="4">
        <f>Base[[#This Row],[Prévalence_prod]]*(1-Base[[#This Row],[Risque]])*Base[[#This Row],[Durée_arrêt]]*Base[[#This Row],[Population_emploi]]</f>
        <v>45356841.734684482</v>
      </c>
      <c r="BV359" s="4">
        <f>Base[[#This Row],['[Prod']'[Absentéisme']Total_jours_absence_avant]]-Base[[#This Row],['[Prod']'[Absentéisme']Total_jours_absence_après]]</f>
        <v>27121593.265315518</v>
      </c>
      <c r="BW359" s="4">
        <f>IF(AND(Base[[#This Row],[Pathologie]]&lt;&gt;"Dépendance",Base[[#This Row],[Pathologie]]&lt;&gt;"Mort prématurée",Base[[#This Row],[Pathologie]]&lt;&gt;"Migraine"),0.0619,0)</f>
        <v>6.1899999999999997E-2</v>
      </c>
      <c r="BX359" s="4">
        <v>254</v>
      </c>
      <c r="BY35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59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59" s="4">
        <f>Base[[#This Row],[Prévalence_prod]]*Base[[#This Row],[Présentéisme]]*Base[[#This Row],['[Prod']Jours_ouvrés]]</f>
        <v>2.8438856000000001</v>
      </c>
      <c r="CB359" s="4">
        <f>Base[[#This Row],[Prévalence_prod]]*(1-Base[[#This Row],[Risque]])*Base[[#This Row],[Présentéisme]]*Base[[#This Row],['[Prod']Jours_ouvrés]]</f>
        <v>1.7796972171204886</v>
      </c>
      <c r="CC359" s="4">
        <f>Base[[#This Row],['[Prod']'[Présentéisme']Jours_avant]]-Base[[#This Row],['[Prod']'[Présentéisme']Jours_après]]</f>
        <v>1.0641883828795116</v>
      </c>
      <c r="CD359" s="4">
        <f>Base[[#This Row],['[Prod']'[Présentéisme']Jours_gagnés]]/Base[[#This Row],['[Prod']Jours_ouvrés]]</f>
        <v>4.1897180428327229E-3</v>
      </c>
      <c r="CE359">
        <v>7.5880726467531134E-2</v>
      </c>
      <c r="CF359">
        <v>1.989821358241517E-2</v>
      </c>
      <c r="CG359" s="4">
        <v>11</v>
      </c>
      <c r="CH359" s="4">
        <v>1.3966184516047948</v>
      </c>
      <c r="CI359" s="4">
        <v>1.4392894727292521E-2</v>
      </c>
      <c r="CJ359" s="4">
        <f>IF(Base[[#This Row],[Secteur]]&lt;&gt;"Moyenne",Base[[#This Row],['[Prod']'[Turnover']DMC_initiale]]*(1+Base[[#This Row],['[Prod']'[Turnover']Ecart_accidents]]*Base[[#This Row],['[Prod']Impact_motifs_turnover]]),CJ342*CI342+CJ343*CI343+CJ344*CI344+CJ345*CI345+CJ346*CI346+CJ347*CI347+CJ348*CI348+CJ349*CI349+CJ350*CI350+CJ351*CI351+CJ352*CI352+CJ353*CI353+CJ354*CI354+CJ355*CI355+CJ356*CI356+CJ357*CI357+CJ358*CI358)</f>
        <v>11.305692334674916</v>
      </c>
      <c r="CK359" s="4">
        <f>1/Base[[#This Row],['[Prod']'[Turnover']DMC_initiale]]</f>
        <v>9.0909090909090912E-2</v>
      </c>
      <c r="CL359" s="4">
        <f>1/Base[[#This Row],['[Prod']'[Turnover']DMC_finale]]</f>
        <v>8.8451018336397527E-2</v>
      </c>
    </row>
    <row r="360" spans="2:90" x14ac:dyDescent="0.25">
      <c r="B360" s="4" t="s">
        <v>316</v>
      </c>
      <c r="C360">
        <v>15</v>
      </c>
      <c r="D360" t="s">
        <v>83</v>
      </c>
      <c r="E360" t="s">
        <v>7</v>
      </c>
      <c r="F360" s="3">
        <v>0.37420224740387292</v>
      </c>
      <c r="G360" s="3">
        <v>0.1217</v>
      </c>
      <c r="H360" s="3">
        <v>0.1217</v>
      </c>
      <c r="I360" s="3">
        <v>9.1999999999999998E-2</v>
      </c>
      <c r="J360" s="3">
        <v>7.27956</v>
      </c>
      <c r="K360" s="3">
        <v>7.0000000000000007E-2</v>
      </c>
      <c r="L360" s="2">
        <f>Base[[#This Row],[Coût]]*Base[[#This Row],[Part_ménages_dépenses_santé]]</f>
        <v>0.50956920000000006</v>
      </c>
      <c r="M360" s="2">
        <v>1</v>
      </c>
      <c r="N360" s="6">
        <v>27700000</v>
      </c>
      <c r="O360" s="7">
        <f>Base[[#This Row],[Coût_salarié]]*10^9*Base[[#This Row],[Risque]]*Base[[#This Row],[Prévalence]]*Base[[#This Row],[Part_coûts_salarié]]/Base[[#This Row],[Population_emploi]]</f>
        <v>0.83776144691250853</v>
      </c>
      <c r="P360">
        <v>50</v>
      </c>
      <c r="Q360">
        <v>50</v>
      </c>
      <c r="R360" s="2">
        <v>9.9999999999999978E-2</v>
      </c>
      <c r="S360" s="2">
        <v>0.33340000000000003</v>
      </c>
      <c r="T360" s="4">
        <v>0.1217</v>
      </c>
      <c r="U360" s="4">
        <f>IF(Bases_annexes!$F$5=0,16.6587111018772,0.77*Bases_annexes!$F$5/(IF(OR(ISBLANK('Données_d''entrée'!$E$44),'Données_d''entrée'!$E$44=0),35,'Données_d''entrée'!$E$44)*52))</f>
        <v>16.658711101877199</v>
      </c>
      <c r="V360" s="4">
        <v>21.5</v>
      </c>
      <c r="W3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0" s="4">
        <v>234.5</v>
      </c>
      <c r="Y360" s="4">
        <f>(Base[[#This Row],['[Maladies']Coûts_évités_par_salarié]]+Base[[#This Row],['[Travail']Coûts_évités_par_salarié]])/Base[[#This Row],[Budget_santé_salarié]]</f>
        <v>0.11340616353499251</v>
      </c>
      <c r="Z360" s="4">
        <v>0.8</v>
      </c>
      <c r="AA360" s="4">
        <f>Base[[#This Row],[Coût]]*Base[[#This Row],[Part_société_dépenses_santé]]</f>
        <v>5.8236480000000004</v>
      </c>
      <c r="AB360" s="4">
        <v>67635124</v>
      </c>
      <c r="AC360" s="4">
        <v>82.297079063317852</v>
      </c>
      <c r="AD360" s="4">
        <v>0.1217</v>
      </c>
      <c r="AE360" s="4">
        <f>Base[[#This Row],['[SC']Prévalence_travail]]*Base[[#This Row],[Population_emploi]]</f>
        <v>3371090</v>
      </c>
      <c r="AF360" s="4">
        <f>Base[[#This Row],[Risque]]*Base[[#This Row],['[SC']Patients_en_emploi]]</f>
        <v>1261469.454200722</v>
      </c>
      <c r="AG360" s="4">
        <v>0</v>
      </c>
      <c r="AH360" s="4">
        <f>IFERROR(Base[[#This Row],['[SC']Prestations]]/Base[[#This Row],['[SC']Patients_en_emploi]],0)</f>
        <v>0</v>
      </c>
      <c r="AI360" s="4">
        <v>51.7</v>
      </c>
      <c r="AJ3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0" s="4">
        <f>Base[[#This Row],['[SC']'[Travail']Coûts_évités]]/Base[[#This Row],[Population_emploi]]</f>
        <v>43.557128500732155</v>
      </c>
      <c r="AL360" s="4">
        <f>Base[[#This Row],[Coût_société]]*10^9*Base[[#This Row],[Risque]]*Base[[#This Row],[Prévalence]]*Base[[#This Row],[Part_coûts_salarié]]/Base[[#This Row],[Population_emploi]]</f>
        <v>9.5744165361429534</v>
      </c>
      <c r="AM360" s="4">
        <f>IF(Base[[#This Row],[Pathologie]]&lt;&gt;"Dépendance",0,14909.24243952)</f>
        <v>0</v>
      </c>
      <c r="AN360" s="4">
        <f>IF(Base[[#This Row],[Pathologie]]&lt;&gt;"Dépendance",0,1316000)</f>
        <v>0</v>
      </c>
      <c r="AO360" s="4">
        <f>IF(Base[[#This Row],[Pathologie]]&lt;&gt;"Dépendance",0,Base[[#This Row],['[SC']Coût_personne_dépendante]]*Base[[#This Row],['[SC']Nb_personnes_dépendantes]])</f>
        <v>0</v>
      </c>
      <c r="AP360" s="4">
        <f>IF(Base[[#This Row],[Pathologie]]&lt;&gt;"Dépendance",0,Base[[#This Row],['[SC']Coût_total_dépendance]]/Base[[#This Row],[Population_totale]])</f>
        <v>0</v>
      </c>
      <c r="AQ360" s="4">
        <f>IF(Base[[#This Row],[Pathologie]]&lt;&gt;"Dépendance",0,4.5)</f>
        <v>0</v>
      </c>
      <c r="AR360" s="4">
        <v>0.83987615528424797</v>
      </c>
      <c r="AS360" s="4">
        <f>Base[[#This Row],[Espérance_vie]]+Base[[#This Row],['[SC']Hausse_esp_de_vie]]-Base[[#This Row],['[SC']Durée_moyenne_dépendance_avt]]+Base[[#This Row],[Risque]]</f>
        <v>83.511157466005969</v>
      </c>
      <c r="AT3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0" s="4">
        <v>62.9</v>
      </c>
      <c r="AW360" s="4">
        <f t="shared" ref="AW360:AW376" si="6">336905600000</f>
        <v>336905600000</v>
      </c>
      <c r="AX360" s="4">
        <v>15049171</v>
      </c>
      <c r="AY360" s="4">
        <f>Base[[#This Row],['[SC']Budget_total_retraites]]/Base[[#This Row],['[SC']Nombre_de_retraités]]</f>
        <v>22386.987296509556</v>
      </c>
      <c r="AZ360" s="4">
        <f>Base[[#This Row],['[SC']Budget_par_retraité]]*Base[[#This Row],['[SC']Nb_personnes_dépendantes]]</f>
        <v>0</v>
      </c>
      <c r="BA360" s="4">
        <f>Base[[#This Row],['[SC']'[Dépendance']Coût_retraite_personnes_dépendantes]]/Base[[#This Row],[Population_totale]]</f>
        <v>0</v>
      </c>
      <c r="BB3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0" s="4">
        <f>Base[[#This Row],['[SC']'[Dépendance']Gains]]-Base[[#This Row],['[SC']'[Dépendance']Coûts]]</f>
        <v>0</v>
      </c>
      <c r="BD360" s="4">
        <f>IF(Base[[#This Row],[Pathologie]]&lt;&gt;"Mort prématurée",0,Base[[#This Row],[Risque]]*Base[[#This Row],[Prévalence]]*Base[[#This Row],[Population_totale]])</f>
        <v>0</v>
      </c>
      <c r="BE360" s="4">
        <v>52.74</v>
      </c>
      <c r="BF360" s="4">
        <f>Base[[#This Row],['[SC']Âge_moyen_retraite]]-Base[[#This Row],['[SC']'[Mort_prématurée']Âge_moyen_mort précoce]]</f>
        <v>10.159999999999997</v>
      </c>
      <c r="BG360" s="4">
        <f>Base[[#This Row],[Espérance_vie]]+Base[[#This Row],['[SC']Hausse_esp_de_vie]]-Base[[#This Row],['[SC']Âge_moyen_retraite]]</f>
        <v>20.236955218602098</v>
      </c>
      <c r="BH360" s="4">
        <v>106583.42676924677</v>
      </c>
      <c r="BI360" s="4">
        <v>97601.789429271477</v>
      </c>
      <c r="BJ360" s="4">
        <v>302038.31496633729</v>
      </c>
      <c r="BK360" s="4">
        <v>117293.58934859755</v>
      </c>
      <c r="BL360" s="4">
        <v>1523999.9999999995</v>
      </c>
      <c r="BM3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0" s="4">
        <v>294804.96027377353</v>
      </c>
      <c r="BO3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0" s="4">
        <f>(Base[[#This Row],['[SC']'[Mort_prématurée']Gains]]-Base[[#This Row],['[SC']'[Mort_prématurée']Coûts]])/Base[[#This Row],[Population_totale]]</f>
        <v>0</v>
      </c>
      <c r="BQ360" s="4">
        <f>IF(Base[[#This Row],[Pathologie]]&lt;&gt;"Mort prématurée",0,Base[[#This Row],[Risque]])</f>
        <v>0</v>
      </c>
      <c r="BR360" s="4">
        <v>2680</v>
      </c>
      <c r="BS3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0" s="4">
        <f>Base[[#This Row],[Prévalence_prod]]*(1-Base[[#This Row],[Risque]])*Base[[#This Row],[Durée_arrêt]]*Base[[#This Row],[Population_emploi]]</f>
        <v>45356841.734684482</v>
      </c>
      <c r="BV360" s="4">
        <f>Base[[#This Row],['[Prod']'[Absentéisme']Total_jours_absence_avant]]-Base[[#This Row],['[Prod']'[Absentéisme']Total_jours_absence_après]]</f>
        <v>27121593.265315518</v>
      </c>
      <c r="BW360" s="4">
        <f>IF(AND(Base[[#This Row],[Pathologie]]&lt;&gt;"Dépendance",Base[[#This Row],[Pathologie]]&lt;&gt;"Mort prématurée",Base[[#This Row],[Pathologie]]&lt;&gt;"Migraine"),0.0619,0)</f>
        <v>6.1899999999999997E-2</v>
      </c>
      <c r="BX360" s="4">
        <v>254</v>
      </c>
      <c r="BY36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0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0" s="4">
        <f>Base[[#This Row],[Prévalence_prod]]*Base[[#This Row],[Présentéisme]]*Base[[#This Row],['[Prod']Jours_ouvrés]]</f>
        <v>2.8438856000000001</v>
      </c>
      <c r="CB360" s="4">
        <f>Base[[#This Row],[Prévalence_prod]]*(1-Base[[#This Row],[Risque]])*Base[[#This Row],[Présentéisme]]*Base[[#This Row],['[Prod']Jours_ouvrés]]</f>
        <v>1.7796972171204886</v>
      </c>
      <c r="CC360" s="4">
        <f>Base[[#This Row],['[Prod']'[Présentéisme']Jours_avant]]-Base[[#This Row],['[Prod']'[Présentéisme']Jours_après]]</f>
        <v>1.0641883828795116</v>
      </c>
      <c r="CD360" s="4">
        <f>Base[[#This Row],['[Prod']'[Présentéisme']Jours_gagnés]]/Base[[#This Row],['[Prod']Jours_ouvrés]]</f>
        <v>4.1897180428327229E-3</v>
      </c>
      <c r="CE360">
        <v>7.5880726467531134E-2</v>
      </c>
      <c r="CF360">
        <v>1.989821358241517E-2</v>
      </c>
      <c r="CG360" s="4">
        <v>11</v>
      </c>
      <c r="CH360" s="4">
        <v>0.68054183762612652</v>
      </c>
      <c r="CI360" s="4">
        <v>1.2135452577082654E-2</v>
      </c>
      <c r="CJ360" s="4">
        <f>IF(Base[[#This Row],[Secteur]]&lt;&gt;"Moyenne",Base[[#This Row],['[Prod']'[Turnover']DMC_initiale]]*(1+Base[[#This Row],['[Prod']'[Turnover']Ecart_accidents]]*Base[[#This Row],['[Prod']Impact_motifs_turnover]]),CJ343*CI343+CJ344*CI344+CJ345*CI345+CJ346*CI346+CJ347*CI347+CJ348*CI348+CJ349*CI349+CJ350*CI350+CJ351*CI351+CJ352*CI352+CJ353*CI353+CJ354*CI354+CJ355*CI355+CJ356*CI356+CJ357*CI357+CJ358*CI358+CJ359*CI359)</f>
        <v>11.148957235205394</v>
      </c>
      <c r="CK360" s="4">
        <f>1/Base[[#This Row],['[Prod']'[Turnover']DMC_initiale]]</f>
        <v>9.0909090909090912E-2</v>
      </c>
      <c r="CL360" s="4">
        <f>1/Base[[#This Row],['[Prod']'[Turnover']DMC_finale]]</f>
        <v>8.9694487018236124E-2</v>
      </c>
    </row>
    <row r="361" spans="2:90" x14ac:dyDescent="0.25">
      <c r="B361" s="4" t="s">
        <v>317</v>
      </c>
      <c r="C361">
        <v>15</v>
      </c>
      <c r="D361" t="s">
        <v>83</v>
      </c>
      <c r="E361" t="s">
        <v>7</v>
      </c>
      <c r="F361" s="3">
        <v>0.37420224740387292</v>
      </c>
      <c r="G361" s="3">
        <v>0.1217</v>
      </c>
      <c r="H361" s="3">
        <v>0.1217</v>
      </c>
      <c r="I361" s="3">
        <v>9.1999999999999998E-2</v>
      </c>
      <c r="J361" s="3">
        <v>7.27956</v>
      </c>
      <c r="K361" s="3">
        <v>7.0000000000000007E-2</v>
      </c>
      <c r="L361" s="2">
        <f>Base[[#This Row],[Coût]]*Base[[#This Row],[Part_ménages_dépenses_santé]]</f>
        <v>0.50956920000000006</v>
      </c>
      <c r="M361" s="2">
        <v>1</v>
      </c>
      <c r="N361" s="6">
        <v>27700000</v>
      </c>
      <c r="O361" s="7">
        <f>Base[[#This Row],[Coût_salarié]]*10^9*Base[[#This Row],[Risque]]*Base[[#This Row],[Prévalence]]*Base[[#This Row],[Part_coûts_salarié]]/Base[[#This Row],[Population_emploi]]</f>
        <v>0.83776144691250853</v>
      </c>
      <c r="P361">
        <v>50</v>
      </c>
      <c r="Q361">
        <v>50</v>
      </c>
      <c r="R361" s="2">
        <v>9.9999999999999978E-2</v>
      </c>
      <c r="S361" s="2">
        <v>0.33340000000000003</v>
      </c>
      <c r="T361" s="4">
        <v>0.1217</v>
      </c>
      <c r="U361" s="4">
        <f>IF(Bases_annexes!$F$5=0,16.6587111018772,0.77*Bases_annexes!$F$5/(IF(OR(ISBLANK('Données_d''entrée'!$E$44),'Données_d''entrée'!$E$44=0),35,'Données_d''entrée'!$E$44)*52))</f>
        <v>16.658711101877199</v>
      </c>
      <c r="V361" s="4">
        <v>21.5</v>
      </c>
      <c r="W3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1" s="4">
        <v>234.5</v>
      </c>
      <c r="Y361" s="4">
        <f>(Base[[#This Row],['[Maladies']Coûts_évités_par_salarié]]+Base[[#This Row],['[Travail']Coûts_évités_par_salarié]])/Base[[#This Row],[Budget_santé_salarié]]</f>
        <v>0.11340616353499251</v>
      </c>
      <c r="Z361" s="4">
        <v>0.8</v>
      </c>
      <c r="AA361" s="4">
        <f>Base[[#This Row],[Coût]]*Base[[#This Row],[Part_société_dépenses_santé]]</f>
        <v>5.8236480000000004</v>
      </c>
      <c r="AB361" s="4">
        <v>67635124</v>
      </c>
      <c r="AC361" s="4">
        <v>82.297079063317852</v>
      </c>
      <c r="AD361" s="4">
        <v>0.1217</v>
      </c>
      <c r="AE361" s="4">
        <f>Base[[#This Row],['[SC']Prévalence_travail]]*Base[[#This Row],[Population_emploi]]</f>
        <v>3371090</v>
      </c>
      <c r="AF361" s="4">
        <f>Base[[#This Row],[Risque]]*Base[[#This Row],['[SC']Patients_en_emploi]]</f>
        <v>1261469.454200722</v>
      </c>
      <c r="AG361" s="4">
        <v>0</v>
      </c>
      <c r="AH361" s="4">
        <f>IFERROR(Base[[#This Row],['[SC']Prestations]]/Base[[#This Row],['[SC']Patients_en_emploi]],0)</f>
        <v>0</v>
      </c>
      <c r="AI361" s="4">
        <v>51.7</v>
      </c>
      <c r="AJ3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1" s="4">
        <f>Base[[#This Row],['[SC']'[Travail']Coûts_évités]]/Base[[#This Row],[Population_emploi]]</f>
        <v>43.557128500732155</v>
      </c>
      <c r="AL361" s="4">
        <f>Base[[#This Row],[Coût_société]]*10^9*Base[[#This Row],[Risque]]*Base[[#This Row],[Prévalence]]*Base[[#This Row],[Part_coûts_salarié]]/Base[[#This Row],[Population_emploi]]</f>
        <v>9.5744165361429534</v>
      </c>
      <c r="AM361" s="4">
        <f>IF(Base[[#This Row],[Pathologie]]&lt;&gt;"Dépendance",0,14909.24243952)</f>
        <v>0</v>
      </c>
      <c r="AN361" s="4">
        <f>IF(Base[[#This Row],[Pathologie]]&lt;&gt;"Dépendance",0,1316000)</f>
        <v>0</v>
      </c>
      <c r="AO361" s="4">
        <f>IF(Base[[#This Row],[Pathologie]]&lt;&gt;"Dépendance",0,Base[[#This Row],['[SC']Coût_personne_dépendante]]*Base[[#This Row],['[SC']Nb_personnes_dépendantes]])</f>
        <v>0</v>
      </c>
      <c r="AP361" s="4">
        <f>IF(Base[[#This Row],[Pathologie]]&lt;&gt;"Dépendance",0,Base[[#This Row],['[SC']Coût_total_dépendance]]/Base[[#This Row],[Population_totale]])</f>
        <v>0</v>
      </c>
      <c r="AQ361" s="4">
        <f>IF(Base[[#This Row],[Pathologie]]&lt;&gt;"Dépendance",0,4.5)</f>
        <v>0</v>
      </c>
      <c r="AR361" s="4">
        <v>0.83987615528424797</v>
      </c>
      <c r="AS361" s="4">
        <f>Base[[#This Row],[Espérance_vie]]+Base[[#This Row],['[SC']Hausse_esp_de_vie]]-Base[[#This Row],['[SC']Durée_moyenne_dépendance_avt]]+Base[[#This Row],[Risque]]</f>
        <v>83.511157466005969</v>
      </c>
      <c r="AT3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1" s="4">
        <v>62.9</v>
      </c>
      <c r="AW361" s="4">
        <f t="shared" si="6"/>
        <v>336905600000</v>
      </c>
      <c r="AX361" s="4">
        <v>15049171</v>
      </c>
      <c r="AY361" s="4">
        <f>Base[[#This Row],['[SC']Budget_total_retraites]]/Base[[#This Row],['[SC']Nombre_de_retraités]]</f>
        <v>22386.987296509556</v>
      </c>
      <c r="AZ361" s="4">
        <f>Base[[#This Row],['[SC']Budget_par_retraité]]*Base[[#This Row],['[SC']Nb_personnes_dépendantes]]</f>
        <v>0</v>
      </c>
      <c r="BA361" s="4">
        <f>Base[[#This Row],['[SC']'[Dépendance']Coût_retraite_personnes_dépendantes]]/Base[[#This Row],[Population_totale]]</f>
        <v>0</v>
      </c>
      <c r="BB3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1" s="4">
        <f>Base[[#This Row],['[SC']'[Dépendance']Gains]]-Base[[#This Row],['[SC']'[Dépendance']Coûts]]</f>
        <v>0</v>
      </c>
      <c r="BD361" s="4">
        <f>IF(Base[[#This Row],[Pathologie]]&lt;&gt;"Mort prématurée",0,Base[[#This Row],[Risque]]*Base[[#This Row],[Prévalence]]*Base[[#This Row],[Population_totale]])</f>
        <v>0</v>
      </c>
      <c r="BE361" s="4">
        <v>52.74</v>
      </c>
      <c r="BF361" s="4">
        <f>Base[[#This Row],['[SC']Âge_moyen_retraite]]-Base[[#This Row],['[SC']'[Mort_prématurée']Âge_moyen_mort précoce]]</f>
        <v>10.159999999999997</v>
      </c>
      <c r="BG361" s="4">
        <f>Base[[#This Row],[Espérance_vie]]+Base[[#This Row],['[SC']Hausse_esp_de_vie]]-Base[[#This Row],['[SC']Âge_moyen_retraite]]</f>
        <v>20.236955218602098</v>
      </c>
      <c r="BH361" s="4">
        <v>106583.42676924677</v>
      </c>
      <c r="BI361" s="4">
        <v>97601.789429271477</v>
      </c>
      <c r="BJ361" s="4">
        <v>302038.31496633729</v>
      </c>
      <c r="BK361" s="4">
        <v>117293.58934859755</v>
      </c>
      <c r="BL361" s="4">
        <v>1523999.9999999995</v>
      </c>
      <c r="BM3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1" s="4">
        <v>294804.96027377353</v>
      </c>
      <c r="BO3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1" s="4">
        <f>(Base[[#This Row],['[SC']'[Mort_prématurée']Gains]]-Base[[#This Row],['[SC']'[Mort_prématurée']Coûts]])/Base[[#This Row],[Population_totale]]</f>
        <v>0</v>
      </c>
      <c r="BQ361" s="4">
        <f>IF(Base[[#This Row],[Pathologie]]&lt;&gt;"Mort prématurée",0,Base[[#This Row],[Risque]])</f>
        <v>0</v>
      </c>
      <c r="BR361" s="4">
        <v>2680</v>
      </c>
      <c r="BS3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1" s="4">
        <f>Base[[#This Row],[Prévalence_prod]]*(1-Base[[#This Row],[Risque]])*Base[[#This Row],[Durée_arrêt]]*Base[[#This Row],[Population_emploi]]</f>
        <v>45356841.734684482</v>
      </c>
      <c r="BV361" s="4">
        <f>Base[[#This Row],['[Prod']'[Absentéisme']Total_jours_absence_avant]]-Base[[#This Row],['[Prod']'[Absentéisme']Total_jours_absence_après]]</f>
        <v>27121593.265315518</v>
      </c>
      <c r="BW361" s="4">
        <f>IF(AND(Base[[#This Row],[Pathologie]]&lt;&gt;"Dépendance",Base[[#This Row],[Pathologie]]&lt;&gt;"Mort prématurée",Base[[#This Row],[Pathologie]]&lt;&gt;"Migraine"),0.0619,0)</f>
        <v>6.1899999999999997E-2</v>
      </c>
      <c r="BX361" s="4">
        <v>254</v>
      </c>
      <c r="BY361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1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1" s="4">
        <f>Base[[#This Row],[Prévalence_prod]]*Base[[#This Row],[Présentéisme]]*Base[[#This Row],['[Prod']Jours_ouvrés]]</f>
        <v>2.8438856000000001</v>
      </c>
      <c r="CB361" s="4">
        <f>Base[[#This Row],[Prévalence_prod]]*(1-Base[[#This Row],[Risque]])*Base[[#This Row],[Présentéisme]]*Base[[#This Row],['[Prod']Jours_ouvrés]]</f>
        <v>1.7796972171204886</v>
      </c>
      <c r="CC361" s="4">
        <f>Base[[#This Row],['[Prod']'[Présentéisme']Jours_avant]]-Base[[#This Row],['[Prod']'[Présentéisme']Jours_après]]</f>
        <v>1.0641883828795116</v>
      </c>
      <c r="CD361" s="4">
        <f>Base[[#This Row],['[Prod']'[Présentéisme']Jours_gagnés]]/Base[[#This Row],['[Prod']Jours_ouvrés]]</f>
        <v>4.1897180428327229E-3</v>
      </c>
      <c r="CE361">
        <v>7.5880726467531134E-2</v>
      </c>
      <c r="CF361">
        <v>1.989821358241517E-2</v>
      </c>
      <c r="CG361" s="4">
        <v>11</v>
      </c>
      <c r="CH361" s="4">
        <v>0.31563677172153043</v>
      </c>
      <c r="CI361" s="4">
        <v>1.3003350630813707E-4</v>
      </c>
      <c r="CJ361" s="4">
        <f>IF(Base[[#This Row],[Secteur]]&lt;&gt;"Moyenne",Base[[#This Row],['[Prod']'[Turnover']DMC_initiale]]*(1+Base[[#This Row],['[Prod']'[Turnover']Ecart_accidents]]*Base[[#This Row],['[Prod']Impact_motifs_turnover]]),CJ344*CI344+CJ345*CI345+CJ346*CI346+CJ347*CI347+CJ348*CI348+CJ349*CI349+CJ350*CI350+CJ351*CI351+CJ352*CI352+CJ353*CI353+CJ354*CI354+CJ355*CI355+CJ356*CI356+CJ357*CI357+CJ358*CI358+CJ359*CI359+CJ360*CI360)</f>
        <v>11.069086686879968</v>
      </c>
      <c r="CK361" s="4">
        <f>1/Base[[#This Row],['[Prod']'[Turnover']DMC_initiale]]</f>
        <v>9.0909090909090912E-2</v>
      </c>
      <c r="CL361" s="4">
        <f>1/Base[[#This Row],['[Prod']'[Turnover']DMC_finale]]</f>
        <v>9.0341690176235209E-2</v>
      </c>
    </row>
    <row r="362" spans="2:90" x14ac:dyDescent="0.25">
      <c r="B362" s="4" t="s">
        <v>318</v>
      </c>
      <c r="C362">
        <v>15</v>
      </c>
      <c r="D362" t="s">
        <v>83</v>
      </c>
      <c r="E362" t="s">
        <v>7</v>
      </c>
      <c r="F362" s="3">
        <v>0.37420224740387292</v>
      </c>
      <c r="G362" s="3">
        <v>0.1217</v>
      </c>
      <c r="H362" s="3">
        <v>0.1217</v>
      </c>
      <c r="I362" s="3">
        <v>9.1999999999999998E-2</v>
      </c>
      <c r="J362" s="3">
        <v>7.27956</v>
      </c>
      <c r="K362" s="3">
        <v>7.0000000000000007E-2</v>
      </c>
      <c r="L362" s="2">
        <f>Base[[#This Row],[Coût]]*Base[[#This Row],[Part_ménages_dépenses_santé]]</f>
        <v>0.50956920000000006</v>
      </c>
      <c r="M362" s="2">
        <v>1</v>
      </c>
      <c r="N362" s="6">
        <v>27700000</v>
      </c>
      <c r="O362" s="7">
        <f>Base[[#This Row],[Coût_salarié]]*10^9*Base[[#This Row],[Risque]]*Base[[#This Row],[Prévalence]]*Base[[#This Row],[Part_coûts_salarié]]/Base[[#This Row],[Population_emploi]]</f>
        <v>0.83776144691250853</v>
      </c>
      <c r="P362">
        <v>50</v>
      </c>
      <c r="Q362">
        <v>50</v>
      </c>
      <c r="R362" s="2">
        <v>9.9999999999999978E-2</v>
      </c>
      <c r="S362" s="2">
        <v>0.33340000000000003</v>
      </c>
      <c r="T362" s="4">
        <v>0.1217</v>
      </c>
      <c r="U362" s="4">
        <f>IF(Bases_annexes!$F$5=0,16.6587111018772,0.77*Bases_annexes!$F$5/(IF(OR(ISBLANK('Données_d''entrée'!$E$44),'Données_d''entrée'!$E$44=0),35,'Données_d''entrée'!$E$44)*52))</f>
        <v>16.658711101877199</v>
      </c>
      <c r="V362" s="4">
        <v>21.5</v>
      </c>
      <c r="W3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2" s="4">
        <v>234.5</v>
      </c>
      <c r="Y362" s="4">
        <f>(Base[[#This Row],['[Maladies']Coûts_évités_par_salarié]]+Base[[#This Row],['[Travail']Coûts_évités_par_salarié]])/Base[[#This Row],[Budget_santé_salarié]]</f>
        <v>0.11340616353499251</v>
      </c>
      <c r="Z362" s="4">
        <v>0.8</v>
      </c>
      <c r="AA362" s="4">
        <f>Base[[#This Row],[Coût]]*Base[[#This Row],[Part_société_dépenses_santé]]</f>
        <v>5.8236480000000004</v>
      </c>
      <c r="AB362" s="4">
        <v>67635124</v>
      </c>
      <c r="AC362" s="4">
        <v>82.297079063317852</v>
      </c>
      <c r="AD362" s="4">
        <v>0.1217</v>
      </c>
      <c r="AE362" s="4">
        <f>Base[[#This Row],['[SC']Prévalence_travail]]*Base[[#This Row],[Population_emploi]]</f>
        <v>3371090</v>
      </c>
      <c r="AF362" s="4">
        <f>Base[[#This Row],[Risque]]*Base[[#This Row],['[SC']Patients_en_emploi]]</f>
        <v>1261469.454200722</v>
      </c>
      <c r="AG362" s="4">
        <v>0</v>
      </c>
      <c r="AH362" s="4">
        <f>IFERROR(Base[[#This Row],['[SC']Prestations]]/Base[[#This Row],['[SC']Patients_en_emploi]],0)</f>
        <v>0</v>
      </c>
      <c r="AI362" s="4">
        <v>51.7</v>
      </c>
      <c r="AJ3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2" s="4">
        <f>Base[[#This Row],['[SC']'[Travail']Coûts_évités]]/Base[[#This Row],[Population_emploi]]</f>
        <v>43.557128500732155</v>
      </c>
      <c r="AL362" s="4">
        <f>Base[[#This Row],[Coût_société]]*10^9*Base[[#This Row],[Risque]]*Base[[#This Row],[Prévalence]]*Base[[#This Row],[Part_coûts_salarié]]/Base[[#This Row],[Population_emploi]]</f>
        <v>9.5744165361429534</v>
      </c>
      <c r="AM362" s="4">
        <f>IF(Base[[#This Row],[Pathologie]]&lt;&gt;"Dépendance",0,14909.24243952)</f>
        <v>0</v>
      </c>
      <c r="AN362" s="4">
        <f>IF(Base[[#This Row],[Pathologie]]&lt;&gt;"Dépendance",0,1316000)</f>
        <v>0</v>
      </c>
      <c r="AO362" s="4">
        <f>IF(Base[[#This Row],[Pathologie]]&lt;&gt;"Dépendance",0,Base[[#This Row],['[SC']Coût_personne_dépendante]]*Base[[#This Row],['[SC']Nb_personnes_dépendantes]])</f>
        <v>0</v>
      </c>
      <c r="AP362" s="4">
        <f>IF(Base[[#This Row],[Pathologie]]&lt;&gt;"Dépendance",0,Base[[#This Row],['[SC']Coût_total_dépendance]]/Base[[#This Row],[Population_totale]])</f>
        <v>0</v>
      </c>
      <c r="AQ362" s="4">
        <f>IF(Base[[#This Row],[Pathologie]]&lt;&gt;"Dépendance",0,4.5)</f>
        <v>0</v>
      </c>
      <c r="AR362" s="4">
        <v>0.83987615528424797</v>
      </c>
      <c r="AS362" s="4">
        <f>Base[[#This Row],[Espérance_vie]]+Base[[#This Row],['[SC']Hausse_esp_de_vie]]-Base[[#This Row],['[SC']Durée_moyenne_dépendance_avt]]+Base[[#This Row],[Risque]]</f>
        <v>83.511157466005969</v>
      </c>
      <c r="AT3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2" s="4">
        <v>62.9</v>
      </c>
      <c r="AW362" s="4">
        <f t="shared" si="6"/>
        <v>336905600000</v>
      </c>
      <c r="AX362" s="4">
        <v>15049171</v>
      </c>
      <c r="AY362" s="4">
        <f>Base[[#This Row],['[SC']Budget_total_retraites]]/Base[[#This Row],['[SC']Nombre_de_retraités]]</f>
        <v>22386.987296509556</v>
      </c>
      <c r="AZ362" s="4">
        <f>Base[[#This Row],['[SC']Budget_par_retraité]]*Base[[#This Row],['[SC']Nb_personnes_dépendantes]]</f>
        <v>0</v>
      </c>
      <c r="BA362" s="4">
        <f>Base[[#This Row],['[SC']'[Dépendance']Coût_retraite_personnes_dépendantes]]/Base[[#This Row],[Population_totale]]</f>
        <v>0</v>
      </c>
      <c r="BB3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2" s="4">
        <f>Base[[#This Row],['[SC']'[Dépendance']Gains]]-Base[[#This Row],['[SC']'[Dépendance']Coûts]]</f>
        <v>0</v>
      </c>
      <c r="BD362" s="4">
        <f>IF(Base[[#This Row],[Pathologie]]&lt;&gt;"Mort prématurée",0,Base[[#This Row],[Risque]]*Base[[#This Row],[Prévalence]]*Base[[#This Row],[Population_totale]])</f>
        <v>0</v>
      </c>
      <c r="BE362" s="4">
        <v>52.74</v>
      </c>
      <c r="BF362" s="4">
        <f>Base[[#This Row],['[SC']Âge_moyen_retraite]]-Base[[#This Row],['[SC']'[Mort_prématurée']Âge_moyen_mort précoce]]</f>
        <v>10.159999999999997</v>
      </c>
      <c r="BG362" s="4">
        <f>Base[[#This Row],[Espérance_vie]]+Base[[#This Row],['[SC']Hausse_esp_de_vie]]-Base[[#This Row],['[SC']Âge_moyen_retraite]]</f>
        <v>20.236955218602098</v>
      </c>
      <c r="BH362" s="4">
        <v>106583.42676924677</v>
      </c>
      <c r="BI362" s="4">
        <v>97601.789429271477</v>
      </c>
      <c r="BJ362" s="4">
        <v>302038.31496633729</v>
      </c>
      <c r="BK362" s="4">
        <v>117293.58934859755</v>
      </c>
      <c r="BL362" s="4">
        <v>1523999.9999999995</v>
      </c>
      <c r="BM3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2" s="4">
        <v>294804.96027377353</v>
      </c>
      <c r="BO3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2" s="4">
        <f>(Base[[#This Row],['[SC']'[Mort_prématurée']Gains]]-Base[[#This Row],['[SC']'[Mort_prématurée']Coûts]])/Base[[#This Row],[Population_totale]]</f>
        <v>0</v>
      </c>
      <c r="BQ362" s="4">
        <f>IF(Base[[#This Row],[Pathologie]]&lt;&gt;"Mort prématurée",0,Base[[#This Row],[Risque]])</f>
        <v>0</v>
      </c>
      <c r="BR362" s="4">
        <v>2680</v>
      </c>
      <c r="BS3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2" s="4">
        <f>Base[[#This Row],[Prévalence_prod]]*(1-Base[[#This Row],[Risque]])*Base[[#This Row],[Durée_arrêt]]*Base[[#This Row],[Population_emploi]]</f>
        <v>45356841.734684482</v>
      </c>
      <c r="BV362" s="4">
        <f>Base[[#This Row],['[Prod']'[Absentéisme']Total_jours_absence_avant]]-Base[[#This Row],['[Prod']'[Absentéisme']Total_jours_absence_après]]</f>
        <v>27121593.265315518</v>
      </c>
      <c r="BW362" s="4">
        <f>IF(AND(Base[[#This Row],[Pathologie]]&lt;&gt;"Dépendance",Base[[#This Row],[Pathologie]]&lt;&gt;"Mort prématurée",Base[[#This Row],[Pathologie]]&lt;&gt;"Migraine"),0.0619,0)</f>
        <v>6.1899999999999997E-2</v>
      </c>
      <c r="BX362" s="4">
        <v>254</v>
      </c>
      <c r="BY362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2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2" s="4">
        <f>Base[[#This Row],[Prévalence_prod]]*Base[[#This Row],[Présentéisme]]*Base[[#This Row],['[Prod']Jours_ouvrés]]</f>
        <v>2.8438856000000001</v>
      </c>
      <c r="CB362" s="4">
        <f>Base[[#This Row],[Prévalence_prod]]*(1-Base[[#This Row],[Risque]])*Base[[#This Row],[Présentéisme]]*Base[[#This Row],['[Prod']Jours_ouvrés]]</f>
        <v>1.7796972171204886</v>
      </c>
      <c r="CC362" s="4">
        <f>Base[[#This Row],['[Prod']'[Présentéisme']Jours_avant]]-Base[[#This Row],['[Prod']'[Présentéisme']Jours_après]]</f>
        <v>1.0641883828795116</v>
      </c>
      <c r="CD362" s="4">
        <f>Base[[#This Row],['[Prod']'[Présentéisme']Jours_gagnés]]/Base[[#This Row],['[Prod']Jours_ouvrés]]</f>
        <v>4.1897180428327229E-3</v>
      </c>
      <c r="CE362">
        <v>7.5880726467531134E-2</v>
      </c>
      <c r="CF362">
        <v>1.989821358241517E-2</v>
      </c>
      <c r="CG362" s="4">
        <v>11</v>
      </c>
      <c r="CH362" s="4">
        <v>1.1688035738877327</v>
      </c>
      <c r="CI362" s="4">
        <v>9.6557438521367826E-3</v>
      </c>
      <c r="CJ362" s="4">
        <f>IF(Base[[#This Row],[Secteur]]&lt;&gt;"Moyenne",Base[[#This Row],['[Prod']'[Turnover']DMC_initiale]]*(1+Base[[#This Row],['[Prod']'[Turnover']Ecart_accidents]]*Base[[#This Row],['[Prod']Impact_motifs_turnover]]),CJ345*CI345+CJ346*CI346+CJ347*CI347+CJ348*CI348+CJ349*CI349+CJ350*CI350+CJ351*CI351+CJ352*CI352+CJ353*CI353+CJ354*CI354+CJ355*CI355+CJ356*CI356+CJ357*CI357+CJ358*CI358+CJ359*CI359+CJ360*CI360+CJ361*CI361)</f>
        <v>11.25582813464019</v>
      </c>
      <c r="CK362" s="4">
        <f>1/Base[[#This Row],['[Prod']'[Turnover']DMC_initiale]]</f>
        <v>9.0909090909090912E-2</v>
      </c>
      <c r="CL362" s="4">
        <f>1/Base[[#This Row],['[Prod']'[Turnover']DMC_finale]]</f>
        <v>8.8842863273868436E-2</v>
      </c>
    </row>
    <row r="363" spans="2:90" x14ac:dyDescent="0.25">
      <c r="B363" s="4" t="s">
        <v>319</v>
      </c>
      <c r="C363">
        <v>15</v>
      </c>
      <c r="D363" t="s">
        <v>83</v>
      </c>
      <c r="E363" t="s">
        <v>7</v>
      </c>
      <c r="F363" s="3">
        <v>0.37420224740387292</v>
      </c>
      <c r="G363" s="3">
        <v>0.1217</v>
      </c>
      <c r="H363" s="3">
        <v>0.1217</v>
      </c>
      <c r="I363" s="3">
        <v>9.1999999999999998E-2</v>
      </c>
      <c r="J363" s="3">
        <v>7.27956</v>
      </c>
      <c r="K363" s="3">
        <v>7.0000000000000007E-2</v>
      </c>
      <c r="L363" s="2">
        <f>Base[[#This Row],[Coût]]*Base[[#This Row],[Part_ménages_dépenses_santé]]</f>
        <v>0.50956920000000006</v>
      </c>
      <c r="M363" s="2">
        <v>1</v>
      </c>
      <c r="N363" s="6">
        <v>27700000</v>
      </c>
      <c r="O363" s="7">
        <f>Base[[#This Row],[Coût_salarié]]*10^9*Base[[#This Row],[Risque]]*Base[[#This Row],[Prévalence]]*Base[[#This Row],[Part_coûts_salarié]]/Base[[#This Row],[Population_emploi]]</f>
        <v>0.83776144691250853</v>
      </c>
      <c r="P363">
        <v>50</v>
      </c>
      <c r="Q363">
        <v>50</v>
      </c>
      <c r="R363" s="2">
        <v>9.9999999999999978E-2</v>
      </c>
      <c r="S363" s="2">
        <v>0.33340000000000003</v>
      </c>
      <c r="T363" s="4">
        <v>0.1217</v>
      </c>
      <c r="U363" s="4">
        <f>IF(Bases_annexes!$F$5=0,16.6587111018772,0.77*Bases_annexes!$F$5/(IF(OR(ISBLANK('Données_d''entrée'!$E$44),'Données_d''entrée'!$E$44=0),35,'Données_d''entrée'!$E$44)*52))</f>
        <v>16.658711101877199</v>
      </c>
      <c r="V363" s="4">
        <v>21.5</v>
      </c>
      <c r="W3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3" s="4">
        <v>234.5</v>
      </c>
      <c r="Y363" s="4">
        <f>(Base[[#This Row],['[Maladies']Coûts_évités_par_salarié]]+Base[[#This Row],['[Travail']Coûts_évités_par_salarié]])/Base[[#This Row],[Budget_santé_salarié]]</f>
        <v>0.11340616353499251</v>
      </c>
      <c r="Z363" s="4">
        <v>0.8</v>
      </c>
      <c r="AA363" s="4">
        <f>Base[[#This Row],[Coût]]*Base[[#This Row],[Part_société_dépenses_santé]]</f>
        <v>5.8236480000000004</v>
      </c>
      <c r="AB363" s="4">
        <v>67635124</v>
      </c>
      <c r="AC363" s="4">
        <v>82.297079063317852</v>
      </c>
      <c r="AD363" s="4">
        <v>0.1217</v>
      </c>
      <c r="AE363" s="4">
        <f>Base[[#This Row],['[SC']Prévalence_travail]]*Base[[#This Row],[Population_emploi]]</f>
        <v>3371090</v>
      </c>
      <c r="AF363" s="4">
        <f>Base[[#This Row],[Risque]]*Base[[#This Row],['[SC']Patients_en_emploi]]</f>
        <v>1261469.454200722</v>
      </c>
      <c r="AG363" s="4">
        <v>0</v>
      </c>
      <c r="AH363" s="4">
        <f>IFERROR(Base[[#This Row],['[SC']Prestations]]/Base[[#This Row],['[SC']Patients_en_emploi]],0)</f>
        <v>0</v>
      </c>
      <c r="AI363" s="4">
        <v>51.7</v>
      </c>
      <c r="AJ3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3" s="4">
        <f>Base[[#This Row],['[SC']'[Travail']Coûts_évités]]/Base[[#This Row],[Population_emploi]]</f>
        <v>43.557128500732155</v>
      </c>
      <c r="AL363" s="4">
        <f>Base[[#This Row],[Coût_société]]*10^9*Base[[#This Row],[Risque]]*Base[[#This Row],[Prévalence]]*Base[[#This Row],[Part_coûts_salarié]]/Base[[#This Row],[Population_emploi]]</f>
        <v>9.5744165361429534</v>
      </c>
      <c r="AM363" s="4">
        <f>IF(Base[[#This Row],[Pathologie]]&lt;&gt;"Dépendance",0,14909.24243952)</f>
        <v>0</v>
      </c>
      <c r="AN363" s="4">
        <f>IF(Base[[#This Row],[Pathologie]]&lt;&gt;"Dépendance",0,1316000)</f>
        <v>0</v>
      </c>
      <c r="AO363" s="4">
        <f>IF(Base[[#This Row],[Pathologie]]&lt;&gt;"Dépendance",0,Base[[#This Row],['[SC']Coût_personne_dépendante]]*Base[[#This Row],['[SC']Nb_personnes_dépendantes]])</f>
        <v>0</v>
      </c>
      <c r="AP363" s="4">
        <f>IF(Base[[#This Row],[Pathologie]]&lt;&gt;"Dépendance",0,Base[[#This Row],['[SC']Coût_total_dépendance]]/Base[[#This Row],[Population_totale]])</f>
        <v>0</v>
      </c>
      <c r="AQ363" s="4">
        <f>IF(Base[[#This Row],[Pathologie]]&lt;&gt;"Dépendance",0,4.5)</f>
        <v>0</v>
      </c>
      <c r="AR363" s="4">
        <v>0.83987615528424797</v>
      </c>
      <c r="AS363" s="4">
        <f>Base[[#This Row],[Espérance_vie]]+Base[[#This Row],['[SC']Hausse_esp_de_vie]]-Base[[#This Row],['[SC']Durée_moyenne_dépendance_avt]]+Base[[#This Row],[Risque]]</f>
        <v>83.511157466005969</v>
      </c>
      <c r="AT3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3" s="4">
        <v>62.9</v>
      </c>
      <c r="AW363" s="4">
        <f t="shared" si="6"/>
        <v>336905600000</v>
      </c>
      <c r="AX363" s="4">
        <v>15049171</v>
      </c>
      <c r="AY363" s="4">
        <f>Base[[#This Row],['[SC']Budget_total_retraites]]/Base[[#This Row],['[SC']Nombre_de_retraités]]</f>
        <v>22386.987296509556</v>
      </c>
      <c r="AZ363" s="4">
        <f>Base[[#This Row],['[SC']Budget_par_retraité]]*Base[[#This Row],['[SC']Nb_personnes_dépendantes]]</f>
        <v>0</v>
      </c>
      <c r="BA363" s="4">
        <f>Base[[#This Row],['[SC']'[Dépendance']Coût_retraite_personnes_dépendantes]]/Base[[#This Row],[Population_totale]]</f>
        <v>0</v>
      </c>
      <c r="BB3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3" s="4">
        <f>Base[[#This Row],['[SC']'[Dépendance']Gains]]-Base[[#This Row],['[SC']'[Dépendance']Coûts]]</f>
        <v>0</v>
      </c>
      <c r="BD363" s="4">
        <f>IF(Base[[#This Row],[Pathologie]]&lt;&gt;"Mort prématurée",0,Base[[#This Row],[Risque]]*Base[[#This Row],[Prévalence]]*Base[[#This Row],[Population_totale]])</f>
        <v>0</v>
      </c>
      <c r="BE363" s="4">
        <v>52.74</v>
      </c>
      <c r="BF363" s="4">
        <f>Base[[#This Row],['[SC']Âge_moyen_retraite]]-Base[[#This Row],['[SC']'[Mort_prématurée']Âge_moyen_mort précoce]]</f>
        <v>10.159999999999997</v>
      </c>
      <c r="BG363" s="4">
        <f>Base[[#This Row],[Espérance_vie]]+Base[[#This Row],['[SC']Hausse_esp_de_vie]]-Base[[#This Row],['[SC']Âge_moyen_retraite]]</f>
        <v>20.236955218602098</v>
      </c>
      <c r="BH363" s="4">
        <v>106583.42676924677</v>
      </c>
      <c r="BI363" s="4">
        <v>97601.789429271477</v>
      </c>
      <c r="BJ363" s="4">
        <v>302038.31496633729</v>
      </c>
      <c r="BK363" s="4">
        <v>117293.58934859755</v>
      </c>
      <c r="BL363" s="4">
        <v>1523999.9999999995</v>
      </c>
      <c r="BM3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3" s="4">
        <v>294804.96027377353</v>
      </c>
      <c r="BO3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3" s="4">
        <f>(Base[[#This Row],['[SC']'[Mort_prématurée']Gains]]-Base[[#This Row],['[SC']'[Mort_prématurée']Coûts]])/Base[[#This Row],[Population_totale]]</f>
        <v>0</v>
      </c>
      <c r="BQ363" s="4">
        <f>IF(Base[[#This Row],[Pathologie]]&lt;&gt;"Mort prématurée",0,Base[[#This Row],[Risque]])</f>
        <v>0</v>
      </c>
      <c r="BR363" s="4">
        <v>2680</v>
      </c>
      <c r="BS3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3" s="4">
        <f>Base[[#This Row],[Prévalence_prod]]*(1-Base[[#This Row],[Risque]])*Base[[#This Row],[Durée_arrêt]]*Base[[#This Row],[Population_emploi]]</f>
        <v>45356841.734684482</v>
      </c>
      <c r="BV363" s="4">
        <f>Base[[#This Row],['[Prod']'[Absentéisme']Total_jours_absence_avant]]-Base[[#This Row],['[Prod']'[Absentéisme']Total_jours_absence_après]]</f>
        <v>27121593.265315518</v>
      </c>
      <c r="BW363" s="4">
        <f>IF(AND(Base[[#This Row],[Pathologie]]&lt;&gt;"Dépendance",Base[[#This Row],[Pathologie]]&lt;&gt;"Mort prématurée",Base[[#This Row],[Pathologie]]&lt;&gt;"Migraine"),0.0619,0)</f>
        <v>6.1899999999999997E-2</v>
      </c>
      <c r="BX363" s="4">
        <v>254</v>
      </c>
      <c r="BY363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3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3" s="4">
        <f>Base[[#This Row],[Prévalence_prod]]*Base[[#This Row],[Présentéisme]]*Base[[#This Row],['[Prod']Jours_ouvrés]]</f>
        <v>2.8438856000000001</v>
      </c>
      <c r="CB363" s="4">
        <f>Base[[#This Row],[Prévalence_prod]]*(1-Base[[#This Row],[Risque]])*Base[[#This Row],[Présentéisme]]*Base[[#This Row],['[Prod']Jours_ouvrés]]</f>
        <v>1.7796972171204886</v>
      </c>
      <c r="CC363" s="4">
        <f>Base[[#This Row],['[Prod']'[Présentéisme']Jours_avant]]-Base[[#This Row],['[Prod']'[Présentéisme']Jours_après]]</f>
        <v>1.0641883828795116</v>
      </c>
      <c r="CD363" s="4">
        <f>Base[[#This Row],['[Prod']'[Présentéisme']Jours_gagnés]]/Base[[#This Row],['[Prod']Jours_ouvrés]]</f>
        <v>4.1897180428327229E-3</v>
      </c>
      <c r="CE363">
        <v>7.5880726467531134E-2</v>
      </c>
      <c r="CF363">
        <v>1.989821358241517E-2</v>
      </c>
      <c r="CG363" s="4">
        <v>11</v>
      </c>
      <c r="CH363" s="4">
        <v>0.52204401140486179</v>
      </c>
      <c r="CI363" s="4">
        <v>1.2443904150185675E-2</v>
      </c>
      <c r="CJ363" s="4">
        <f>IF(Base[[#This Row],[Secteur]]&lt;&gt;"Moyenne",Base[[#This Row],['[Prod']'[Turnover']DMC_initiale]]*(1+Base[[#This Row],['[Prod']'[Turnover']Ecart_accidents]]*Base[[#This Row],['[Prod']Impact_motifs_turnover]]),CJ346*CI346+CJ347*CI347+CJ348*CI348+CJ349*CI349+CJ350*CI350+CJ351*CI351+CJ352*CI352+CJ353*CI353+CJ354*CI354+CJ355*CI355+CJ356*CI356+CJ357*CI357+CJ358*CI358+CJ359*CI359+CJ360*CI360+CJ361*CI361+CJ362*CI362)</f>
        <v>11.114265175621902</v>
      </c>
      <c r="CK363" s="4">
        <f>1/Base[[#This Row],['[Prod']'[Turnover']DMC_initiale]]</f>
        <v>9.0909090909090912E-2</v>
      </c>
      <c r="CL363" s="4">
        <f>1/Base[[#This Row],['[Prod']'[Turnover']DMC_finale]]</f>
        <v>8.9974459327586145E-2</v>
      </c>
    </row>
    <row r="364" spans="2:90" x14ac:dyDescent="0.25">
      <c r="B364" s="4" t="s">
        <v>320</v>
      </c>
      <c r="C364">
        <v>15</v>
      </c>
      <c r="D364" t="s">
        <v>83</v>
      </c>
      <c r="E364" t="s">
        <v>7</v>
      </c>
      <c r="F364" s="3">
        <v>0.37420224740387292</v>
      </c>
      <c r="G364" s="3">
        <v>0.1217</v>
      </c>
      <c r="H364" s="3">
        <v>0.1217</v>
      </c>
      <c r="I364" s="3">
        <v>9.1999999999999998E-2</v>
      </c>
      <c r="J364" s="3">
        <v>7.27956</v>
      </c>
      <c r="K364" s="3">
        <v>7.0000000000000007E-2</v>
      </c>
      <c r="L364" s="2">
        <f>Base[[#This Row],[Coût]]*Base[[#This Row],[Part_ménages_dépenses_santé]]</f>
        <v>0.50956920000000006</v>
      </c>
      <c r="M364" s="2">
        <v>1</v>
      </c>
      <c r="N364" s="6">
        <v>27700000</v>
      </c>
      <c r="O364" s="7">
        <f>Base[[#This Row],[Coût_salarié]]*10^9*Base[[#This Row],[Risque]]*Base[[#This Row],[Prévalence]]*Base[[#This Row],[Part_coûts_salarié]]/Base[[#This Row],[Population_emploi]]</f>
        <v>0.83776144691250853</v>
      </c>
      <c r="P364">
        <v>50</v>
      </c>
      <c r="Q364">
        <v>50</v>
      </c>
      <c r="R364" s="2">
        <v>9.9999999999999978E-2</v>
      </c>
      <c r="S364" s="2">
        <v>0.33340000000000003</v>
      </c>
      <c r="T364" s="4">
        <v>0.1217</v>
      </c>
      <c r="U364" s="4">
        <f>IF(Bases_annexes!$F$5=0,16.6587111018772,0.77*Bases_annexes!$F$5/(IF(OR(ISBLANK('Données_d''entrée'!$E$44),'Données_d''entrée'!$E$44=0),35,'Données_d''entrée'!$E$44)*52))</f>
        <v>16.658711101877199</v>
      </c>
      <c r="V364" s="4">
        <v>21.5</v>
      </c>
      <c r="W3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4" s="4">
        <v>234.5</v>
      </c>
      <c r="Y364" s="4">
        <f>(Base[[#This Row],['[Maladies']Coûts_évités_par_salarié]]+Base[[#This Row],['[Travail']Coûts_évités_par_salarié]])/Base[[#This Row],[Budget_santé_salarié]]</f>
        <v>0.11340616353499251</v>
      </c>
      <c r="Z364" s="4">
        <v>0.8</v>
      </c>
      <c r="AA364" s="4">
        <f>Base[[#This Row],[Coût]]*Base[[#This Row],[Part_société_dépenses_santé]]</f>
        <v>5.8236480000000004</v>
      </c>
      <c r="AB364" s="4">
        <v>67635124</v>
      </c>
      <c r="AC364" s="4">
        <v>82.297079063317852</v>
      </c>
      <c r="AD364" s="4">
        <v>0.1217</v>
      </c>
      <c r="AE364" s="4">
        <f>Base[[#This Row],['[SC']Prévalence_travail]]*Base[[#This Row],[Population_emploi]]</f>
        <v>3371090</v>
      </c>
      <c r="AF364" s="4">
        <f>Base[[#This Row],[Risque]]*Base[[#This Row],['[SC']Patients_en_emploi]]</f>
        <v>1261469.454200722</v>
      </c>
      <c r="AG364" s="4">
        <v>0</v>
      </c>
      <c r="AH364" s="4">
        <f>IFERROR(Base[[#This Row],['[SC']Prestations]]/Base[[#This Row],['[SC']Patients_en_emploi]],0)</f>
        <v>0</v>
      </c>
      <c r="AI364" s="4">
        <v>51.7</v>
      </c>
      <c r="AJ3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4" s="4">
        <f>Base[[#This Row],['[SC']'[Travail']Coûts_évités]]/Base[[#This Row],[Population_emploi]]</f>
        <v>43.557128500732155</v>
      </c>
      <c r="AL364" s="4">
        <f>Base[[#This Row],[Coût_société]]*10^9*Base[[#This Row],[Risque]]*Base[[#This Row],[Prévalence]]*Base[[#This Row],[Part_coûts_salarié]]/Base[[#This Row],[Population_emploi]]</f>
        <v>9.5744165361429534</v>
      </c>
      <c r="AM364" s="4">
        <f>IF(Base[[#This Row],[Pathologie]]&lt;&gt;"Dépendance",0,14909.24243952)</f>
        <v>0</v>
      </c>
      <c r="AN364" s="4">
        <f>IF(Base[[#This Row],[Pathologie]]&lt;&gt;"Dépendance",0,1316000)</f>
        <v>0</v>
      </c>
      <c r="AO364" s="4">
        <f>IF(Base[[#This Row],[Pathologie]]&lt;&gt;"Dépendance",0,Base[[#This Row],['[SC']Coût_personne_dépendante]]*Base[[#This Row],['[SC']Nb_personnes_dépendantes]])</f>
        <v>0</v>
      </c>
      <c r="AP364" s="4">
        <f>IF(Base[[#This Row],[Pathologie]]&lt;&gt;"Dépendance",0,Base[[#This Row],['[SC']Coût_total_dépendance]]/Base[[#This Row],[Population_totale]])</f>
        <v>0</v>
      </c>
      <c r="AQ364" s="4">
        <f>IF(Base[[#This Row],[Pathologie]]&lt;&gt;"Dépendance",0,4.5)</f>
        <v>0</v>
      </c>
      <c r="AR364" s="4">
        <v>0.83987615528424797</v>
      </c>
      <c r="AS364" s="4">
        <f>Base[[#This Row],[Espérance_vie]]+Base[[#This Row],['[SC']Hausse_esp_de_vie]]-Base[[#This Row],['[SC']Durée_moyenne_dépendance_avt]]+Base[[#This Row],[Risque]]</f>
        <v>83.511157466005969</v>
      </c>
      <c r="AT3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4" s="4">
        <v>62.9</v>
      </c>
      <c r="AW364" s="4">
        <f t="shared" si="6"/>
        <v>336905600000</v>
      </c>
      <c r="AX364" s="4">
        <v>15049171</v>
      </c>
      <c r="AY364" s="4">
        <f>Base[[#This Row],['[SC']Budget_total_retraites]]/Base[[#This Row],['[SC']Nombre_de_retraités]]</f>
        <v>22386.987296509556</v>
      </c>
      <c r="AZ364" s="4">
        <f>Base[[#This Row],['[SC']Budget_par_retraité]]*Base[[#This Row],['[SC']Nb_personnes_dépendantes]]</f>
        <v>0</v>
      </c>
      <c r="BA364" s="4">
        <f>Base[[#This Row],['[SC']'[Dépendance']Coût_retraite_personnes_dépendantes]]/Base[[#This Row],[Population_totale]]</f>
        <v>0</v>
      </c>
      <c r="BB3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4" s="4">
        <f>Base[[#This Row],['[SC']'[Dépendance']Gains]]-Base[[#This Row],['[SC']'[Dépendance']Coûts]]</f>
        <v>0</v>
      </c>
      <c r="BD364" s="4">
        <f>IF(Base[[#This Row],[Pathologie]]&lt;&gt;"Mort prématurée",0,Base[[#This Row],[Risque]]*Base[[#This Row],[Prévalence]]*Base[[#This Row],[Population_totale]])</f>
        <v>0</v>
      </c>
      <c r="BE364" s="4">
        <v>52.74</v>
      </c>
      <c r="BF364" s="4">
        <f>Base[[#This Row],['[SC']Âge_moyen_retraite]]-Base[[#This Row],['[SC']'[Mort_prématurée']Âge_moyen_mort précoce]]</f>
        <v>10.159999999999997</v>
      </c>
      <c r="BG364" s="4">
        <f>Base[[#This Row],[Espérance_vie]]+Base[[#This Row],['[SC']Hausse_esp_de_vie]]-Base[[#This Row],['[SC']Âge_moyen_retraite]]</f>
        <v>20.236955218602098</v>
      </c>
      <c r="BH364" s="4">
        <v>106583.42676924677</v>
      </c>
      <c r="BI364" s="4">
        <v>97601.789429271477</v>
      </c>
      <c r="BJ364" s="4">
        <v>302038.31496633729</v>
      </c>
      <c r="BK364" s="4">
        <v>117293.58934859755</v>
      </c>
      <c r="BL364" s="4">
        <v>1523999.9999999995</v>
      </c>
      <c r="BM3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4" s="4">
        <v>294804.96027377353</v>
      </c>
      <c r="BO3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4" s="4">
        <f>(Base[[#This Row],['[SC']'[Mort_prématurée']Gains]]-Base[[#This Row],['[SC']'[Mort_prématurée']Coûts]])/Base[[#This Row],[Population_totale]]</f>
        <v>0</v>
      </c>
      <c r="BQ364" s="4">
        <f>IF(Base[[#This Row],[Pathologie]]&lt;&gt;"Mort prématurée",0,Base[[#This Row],[Risque]])</f>
        <v>0</v>
      </c>
      <c r="BR364" s="4">
        <v>2680</v>
      </c>
      <c r="BS3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4" s="4">
        <f>Base[[#This Row],[Prévalence_prod]]*(1-Base[[#This Row],[Risque]])*Base[[#This Row],[Durée_arrêt]]*Base[[#This Row],[Population_emploi]]</f>
        <v>45356841.734684482</v>
      </c>
      <c r="BV364" s="4">
        <f>Base[[#This Row],['[Prod']'[Absentéisme']Total_jours_absence_avant]]-Base[[#This Row],['[Prod']'[Absentéisme']Total_jours_absence_après]]</f>
        <v>27121593.265315518</v>
      </c>
      <c r="BW364" s="4">
        <f>IF(AND(Base[[#This Row],[Pathologie]]&lt;&gt;"Dépendance",Base[[#This Row],[Pathologie]]&lt;&gt;"Mort prématurée",Base[[#This Row],[Pathologie]]&lt;&gt;"Migraine"),0.0619,0)</f>
        <v>6.1899999999999997E-2</v>
      </c>
      <c r="BX364" s="4">
        <v>254</v>
      </c>
      <c r="BY364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4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4" s="4">
        <f>Base[[#This Row],[Prévalence_prod]]*Base[[#This Row],[Présentéisme]]*Base[[#This Row],['[Prod']Jours_ouvrés]]</f>
        <v>2.8438856000000001</v>
      </c>
      <c r="CB364" s="4">
        <f>Base[[#This Row],[Prévalence_prod]]*(1-Base[[#This Row],[Risque]])*Base[[#This Row],[Présentéisme]]*Base[[#This Row],['[Prod']Jours_ouvrés]]</f>
        <v>1.7796972171204886</v>
      </c>
      <c r="CC364" s="4">
        <f>Base[[#This Row],['[Prod']'[Présentéisme']Jours_avant]]-Base[[#This Row],['[Prod']'[Présentéisme']Jours_après]]</f>
        <v>1.0641883828795116</v>
      </c>
      <c r="CD364" s="4">
        <f>Base[[#This Row],['[Prod']'[Présentéisme']Jours_gagnés]]/Base[[#This Row],['[Prod']Jours_ouvrés]]</f>
        <v>4.1897180428327229E-3</v>
      </c>
      <c r="CE364">
        <v>7.5880726467531134E-2</v>
      </c>
      <c r="CF364">
        <v>1.989821358241517E-2</v>
      </c>
      <c r="CG364" s="4">
        <v>11</v>
      </c>
      <c r="CH364" s="4">
        <v>0.49446424657188709</v>
      </c>
      <c r="CI364" s="4">
        <v>1.0795805058605798E-2</v>
      </c>
      <c r="CJ364" s="4">
        <f>IF(Base[[#This Row],[Secteur]]&lt;&gt;"Moyenne",Base[[#This Row],['[Prod']'[Turnover']DMC_initiale]]*(1+Base[[#This Row],['[Prod']'[Turnover']Ecart_accidents]]*Base[[#This Row],['[Prod']Impact_motifs_turnover]]),CJ347*CI347+CJ348*CI348+CJ349*CI349+CJ350*CI350+CJ351*CI351+CJ352*CI352+CJ353*CI353+CJ354*CI354+CJ355*CI355+CJ356*CI356+CJ357*CI357+CJ358*CI358+CJ359*CI359+CJ360*CI360+CJ361*CI361+CJ362*CI362+CJ363*CI363)</f>
        <v>11.108228507058708</v>
      </c>
      <c r="CK364" s="4">
        <f>1/Base[[#This Row],['[Prod']'[Turnover']DMC_initiale]]</f>
        <v>9.0909090909090912E-2</v>
      </c>
      <c r="CL364" s="4">
        <f>1/Base[[#This Row],['[Prod']'[Turnover']DMC_finale]]</f>
        <v>9.0023355151953477E-2</v>
      </c>
    </row>
    <row r="365" spans="2:90" x14ac:dyDescent="0.25">
      <c r="B365" s="4" t="s">
        <v>321</v>
      </c>
      <c r="C365">
        <v>15</v>
      </c>
      <c r="D365" t="s">
        <v>83</v>
      </c>
      <c r="E365" t="s">
        <v>7</v>
      </c>
      <c r="F365" s="3">
        <v>0.37420224740387292</v>
      </c>
      <c r="G365" s="3">
        <v>0.1217</v>
      </c>
      <c r="H365" s="3">
        <v>0.1217</v>
      </c>
      <c r="I365" s="3">
        <v>9.1999999999999998E-2</v>
      </c>
      <c r="J365" s="3">
        <v>7.27956</v>
      </c>
      <c r="K365" s="3">
        <v>7.0000000000000007E-2</v>
      </c>
      <c r="L365" s="2">
        <f>Base[[#This Row],[Coût]]*Base[[#This Row],[Part_ménages_dépenses_santé]]</f>
        <v>0.50956920000000006</v>
      </c>
      <c r="M365" s="2">
        <v>1</v>
      </c>
      <c r="N365" s="6">
        <v>27700000</v>
      </c>
      <c r="O365" s="7">
        <f>Base[[#This Row],[Coût_salarié]]*10^9*Base[[#This Row],[Risque]]*Base[[#This Row],[Prévalence]]*Base[[#This Row],[Part_coûts_salarié]]/Base[[#This Row],[Population_emploi]]</f>
        <v>0.83776144691250853</v>
      </c>
      <c r="P365">
        <v>50</v>
      </c>
      <c r="Q365">
        <v>50</v>
      </c>
      <c r="R365" s="2">
        <v>9.9999999999999978E-2</v>
      </c>
      <c r="S365" s="2">
        <v>0.33340000000000003</v>
      </c>
      <c r="T365" s="4">
        <v>0.1217</v>
      </c>
      <c r="U365" s="4">
        <f>IF(Bases_annexes!$F$5=0,16.6587111018772,0.77*Bases_annexes!$F$5/(IF(OR(ISBLANK('Données_d''entrée'!$E$44),'Données_d''entrée'!$E$44=0),35,'Données_d''entrée'!$E$44)*52))</f>
        <v>16.658711101877199</v>
      </c>
      <c r="V365" s="4">
        <v>21.5</v>
      </c>
      <c r="W3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5" s="4">
        <v>234.5</v>
      </c>
      <c r="Y365" s="4">
        <f>(Base[[#This Row],['[Maladies']Coûts_évités_par_salarié]]+Base[[#This Row],['[Travail']Coûts_évités_par_salarié]])/Base[[#This Row],[Budget_santé_salarié]]</f>
        <v>0.11340616353499251</v>
      </c>
      <c r="Z365" s="4">
        <v>0.8</v>
      </c>
      <c r="AA365" s="4">
        <f>Base[[#This Row],[Coût]]*Base[[#This Row],[Part_société_dépenses_santé]]</f>
        <v>5.8236480000000004</v>
      </c>
      <c r="AB365" s="4">
        <v>67635124</v>
      </c>
      <c r="AC365" s="4">
        <v>82.297079063317852</v>
      </c>
      <c r="AD365" s="4">
        <v>0.1217</v>
      </c>
      <c r="AE365" s="4">
        <f>Base[[#This Row],['[SC']Prévalence_travail]]*Base[[#This Row],[Population_emploi]]</f>
        <v>3371090</v>
      </c>
      <c r="AF365" s="4">
        <f>Base[[#This Row],[Risque]]*Base[[#This Row],['[SC']Patients_en_emploi]]</f>
        <v>1261469.454200722</v>
      </c>
      <c r="AG365" s="4">
        <v>0</v>
      </c>
      <c r="AH365" s="4">
        <f>IFERROR(Base[[#This Row],['[SC']Prestations]]/Base[[#This Row],['[SC']Patients_en_emploi]],0)</f>
        <v>0</v>
      </c>
      <c r="AI365" s="4">
        <v>51.7</v>
      </c>
      <c r="AJ3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5" s="4">
        <f>Base[[#This Row],['[SC']'[Travail']Coûts_évités]]/Base[[#This Row],[Population_emploi]]</f>
        <v>43.557128500732155</v>
      </c>
      <c r="AL365" s="4">
        <f>Base[[#This Row],[Coût_société]]*10^9*Base[[#This Row],[Risque]]*Base[[#This Row],[Prévalence]]*Base[[#This Row],[Part_coûts_salarié]]/Base[[#This Row],[Population_emploi]]</f>
        <v>9.5744165361429534</v>
      </c>
      <c r="AM365" s="4">
        <f>IF(Base[[#This Row],[Pathologie]]&lt;&gt;"Dépendance",0,14909.24243952)</f>
        <v>0</v>
      </c>
      <c r="AN365" s="4">
        <f>IF(Base[[#This Row],[Pathologie]]&lt;&gt;"Dépendance",0,1316000)</f>
        <v>0</v>
      </c>
      <c r="AO365" s="4">
        <f>IF(Base[[#This Row],[Pathologie]]&lt;&gt;"Dépendance",0,Base[[#This Row],['[SC']Coût_personne_dépendante]]*Base[[#This Row],['[SC']Nb_personnes_dépendantes]])</f>
        <v>0</v>
      </c>
      <c r="AP365" s="4">
        <f>IF(Base[[#This Row],[Pathologie]]&lt;&gt;"Dépendance",0,Base[[#This Row],['[SC']Coût_total_dépendance]]/Base[[#This Row],[Population_totale]])</f>
        <v>0</v>
      </c>
      <c r="AQ365" s="4">
        <f>IF(Base[[#This Row],[Pathologie]]&lt;&gt;"Dépendance",0,4.5)</f>
        <v>0</v>
      </c>
      <c r="AR365" s="4">
        <v>0.83987615528424797</v>
      </c>
      <c r="AS365" s="4">
        <f>Base[[#This Row],[Espérance_vie]]+Base[[#This Row],['[SC']Hausse_esp_de_vie]]-Base[[#This Row],['[SC']Durée_moyenne_dépendance_avt]]+Base[[#This Row],[Risque]]</f>
        <v>83.511157466005969</v>
      </c>
      <c r="AT3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5" s="4">
        <v>62.9</v>
      </c>
      <c r="AW365" s="4">
        <f t="shared" si="6"/>
        <v>336905600000</v>
      </c>
      <c r="AX365" s="4">
        <v>15049171</v>
      </c>
      <c r="AY365" s="4">
        <f>Base[[#This Row],['[SC']Budget_total_retraites]]/Base[[#This Row],['[SC']Nombre_de_retraités]]</f>
        <v>22386.987296509556</v>
      </c>
      <c r="AZ365" s="4">
        <f>Base[[#This Row],['[SC']Budget_par_retraité]]*Base[[#This Row],['[SC']Nb_personnes_dépendantes]]</f>
        <v>0</v>
      </c>
      <c r="BA365" s="4">
        <f>Base[[#This Row],['[SC']'[Dépendance']Coût_retraite_personnes_dépendantes]]/Base[[#This Row],[Population_totale]]</f>
        <v>0</v>
      </c>
      <c r="BB3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5" s="4">
        <f>Base[[#This Row],['[SC']'[Dépendance']Gains]]-Base[[#This Row],['[SC']'[Dépendance']Coûts]]</f>
        <v>0</v>
      </c>
      <c r="BD365" s="4">
        <f>IF(Base[[#This Row],[Pathologie]]&lt;&gt;"Mort prématurée",0,Base[[#This Row],[Risque]]*Base[[#This Row],[Prévalence]]*Base[[#This Row],[Population_totale]])</f>
        <v>0</v>
      </c>
      <c r="BE365" s="4">
        <v>52.74</v>
      </c>
      <c r="BF365" s="4">
        <f>Base[[#This Row],['[SC']Âge_moyen_retraite]]-Base[[#This Row],['[SC']'[Mort_prématurée']Âge_moyen_mort précoce]]</f>
        <v>10.159999999999997</v>
      </c>
      <c r="BG365" s="4">
        <f>Base[[#This Row],[Espérance_vie]]+Base[[#This Row],['[SC']Hausse_esp_de_vie]]-Base[[#This Row],['[SC']Âge_moyen_retraite]]</f>
        <v>20.236955218602098</v>
      </c>
      <c r="BH365" s="4">
        <v>106583.42676924677</v>
      </c>
      <c r="BI365" s="4">
        <v>97601.789429271477</v>
      </c>
      <c r="BJ365" s="4">
        <v>302038.31496633729</v>
      </c>
      <c r="BK365" s="4">
        <v>117293.58934859755</v>
      </c>
      <c r="BL365" s="4">
        <v>1523999.9999999995</v>
      </c>
      <c r="BM3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5" s="4">
        <v>294804.96027377353</v>
      </c>
      <c r="BO3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5" s="4">
        <f>(Base[[#This Row],['[SC']'[Mort_prématurée']Gains]]-Base[[#This Row],['[SC']'[Mort_prématurée']Coûts]])/Base[[#This Row],[Population_totale]]</f>
        <v>0</v>
      </c>
      <c r="BQ365" s="4">
        <f>IF(Base[[#This Row],[Pathologie]]&lt;&gt;"Mort prématurée",0,Base[[#This Row],[Risque]])</f>
        <v>0</v>
      </c>
      <c r="BR365" s="4">
        <v>2680</v>
      </c>
      <c r="BS3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5" s="4">
        <f>Base[[#This Row],[Prévalence_prod]]*(1-Base[[#This Row],[Risque]])*Base[[#This Row],[Durée_arrêt]]*Base[[#This Row],[Population_emploi]]</f>
        <v>45356841.734684482</v>
      </c>
      <c r="BV365" s="4">
        <f>Base[[#This Row],['[Prod']'[Absentéisme']Total_jours_absence_avant]]-Base[[#This Row],['[Prod']'[Absentéisme']Total_jours_absence_après]]</f>
        <v>27121593.265315518</v>
      </c>
      <c r="BW365" s="4">
        <f>IF(AND(Base[[#This Row],[Pathologie]]&lt;&gt;"Dépendance",Base[[#This Row],[Pathologie]]&lt;&gt;"Mort prématurée",Base[[#This Row],[Pathologie]]&lt;&gt;"Migraine"),0.0619,0)</f>
        <v>6.1899999999999997E-2</v>
      </c>
      <c r="BX365" s="4">
        <v>254</v>
      </c>
      <c r="BY36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5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5" s="4">
        <f>Base[[#This Row],[Prévalence_prod]]*Base[[#This Row],[Présentéisme]]*Base[[#This Row],['[Prod']Jours_ouvrés]]</f>
        <v>2.8438856000000001</v>
      </c>
      <c r="CB365" s="4">
        <f>Base[[#This Row],[Prévalence_prod]]*(1-Base[[#This Row],[Risque]])*Base[[#This Row],[Présentéisme]]*Base[[#This Row],['[Prod']Jours_ouvrés]]</f>
        <v>1.7796972171204886</v>
      </c>
      <c r="CC365" s="4">
        <f>Base[[#This Row],['[Prod']'[Présentéisme']Jours_avant]]-Base[[#This Row],['[Prod']'[Présentéisme']Jours_après]]</f>
        <v>1.0641883828795116</v>
      </c>
      <c r="CD365" s="4">
        <f>Base[[#This Row],['[Prod']'[Présentéisme']Jours_gagnés]]/Base[[#This Row],['[Prod']Jours_ouvrés]]</f>
        <v>4.1897180428327229E-3</v>
      </c>
      <c r="CE365">
        <v>7.5880726467531134E-2</v>
      </c>
      <c r="CF365">
        <v>1.989821358241517E-2</v>
      </c>
      <c r="CG365" s="4">
        <v>11</v>
      </c>
      <c r="CH365" s="4">
        <v>0.85274500894619554</v>
      </c>
      <c r="CI365" s="4">
        <v>4.2903496994109176E-2</v>
      </c>
      <c r="CJ365" s="4">
        <f>IF(Base[[#This Row],[Secteur]]&lt;&gt;"Moyenne",Base[[#This Row],['[Prod']'[Turnover']DMC_initiale]]*(1+Base[[#This Row],['[Prod']'[Turnover']Ecart_accidents]]*Base[[#This Row],['[Prod']Impact_motifs_turnover]]),CJ348*CI348+CJ349*CI349+CJ350*CI350+CJ351*CI351+CJ352*CI352+CJ353*CI353+CJ354*CI354+CJ355*CI355+CJ356*CI356+CJ357*CI357+CJ358*CI358+CJ359*CI359+CJ360*CI360+CJ361*CI361+CJ362*CI362+CJ363*CI363+CJ364*CI364)</f>
        <v>11.186649125512849</v>
      </c>
      <c r="CK365" s="4">
        <f>1/Base[[#This Row],['[Prod']'[Turnover']DMC_initiale]]</f>
        <v>9.0909090909090912E-2</v>
      </c>
      <c r="CL365" s="4">
        <f>1/Base[[#This Row],['[Prod']'[Turnover']DMC_finale]]</f>
        <v>8.9392273663017496E-2</v>
      </c>
    </row>
    <row r="366" spans="2:90" x14ac:dyDescent="0.25">
      <c r="B366" s="4" t="s">
        <v>322</v>
      </c>
      <c r="C366">
        <v>15</v>
      </c>
      <c r="D366" t="s">
        <v>83</v>
      </c>
      <c r="E366" t="s">
        <v>7</v>
      </c>
      <c r="F366" s="3">
        <v>0.37420224740387292</v>
      </c>
      <c r="G366" s="3">
        <v>0.1217</v>
      </c>
      <c r="H366" s="3">
        <v>0.1217</v>
      </c>
      <c r="I366" s="3">
        <v>9.1999999999999998E-2</v>
      </c>
      <c r="J366" s="3">
        <v>7.27956</v>
      </c>
      <c r="K366" s="3">
        <v>7.0000000000000007E-2</v>
      </c>
      <c r="L366" s="2">
        <f>Base[[#This Row],[Coût]]*Base[[#This Row],[Part_ménages_dépenses_santé]]</f>
        <v>0.50956920000000006</v>
      </c>
      <c r="M366" s="2">
        <v>1</v>
      </c>
      <c r="N366" s="6">
        <v>27700000</v>
      </c>
      <c r="O366" s="7">
        <f>Base[[#This Row],[Coût_salarié]]*10^9*Base[[#This Row],[Risque]]*Base[[#This Row],[Prévalence]]*Base[[#This Row],[Part_coûts_salarié]]/Base[[#This Row],[Population_emploi]]</f>
        <v>0.83776144691250853</v>
      </c>
      <c r="P366">
        <v>50</v>
      </c>
      <c r="Q366">
        <v>50</v>
      </c>
      <c r="R366" s="2">
        <v>9.9999999999999978E-2</v>
      </c>
      <c r="S366" s="2">
        <v>0.33340000000000003</v>
      </c>
      <c r="T366" s="4">
        <v>0.1217</v>
      </c>
      <c r="U366" s="4">
        <f>IF(Bases_annexes!$F$5=0,16.6587111018772,0.77*Bases_annexes!$F$5/(IF(OR(ISBLANK('Données_d''entrée'!$E$44),'Données_d''entrée'!$E$44=0),35,'Données_d''entrée'!$E$44)*52))</f>
        <v>16.658711101877199</v>
      </c>
      <c r="V366" s="4">
        <v>21.5</v>
      </c>
      <c r="W3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6" s="4">
        <v>234.5</v>
      </c>
      <c r="Y366" s="4">
        <f>(Base[[#This Row],['[Maladies']Coûts_évités_par_salarié]]+Base[[#This Row],['[Travail']Coûts_évités_par_salarié]])/Base[[#This Row],[Budget_santé_salarié]]</f>
        <v>0.11340616353499251</v>
      </c>
      <c r="Z366" s="4">
        <v>0.8</v>
      </c>
      <c r="AA366" s="4">
        <f>Base[[#This Row],[Coût]]*Base[[#This Row],[Part_société_dépenses_santé]]</f>
        <v>5.8236480000000004</v>
      </c>
      <c r="AB366" s="4">
        <v>67635124</v>
      </c>
      <c r="AC366" s="4">
        <v>82.297079063317852</v>
      </c>
      <c r="AD366" s="4">
        <v>0.1217</v>
      </c>
      <c r="AE366" s="4">
        <f>Base[[#This Row],['[SC']Prévalence_travail]]*Base[[#This Row],[Population_emploi]]</f>
        <v>3371090</v>
      </c>
      <c r="AF366" s="4">
        <f>Base[[#This Row],[Risque]]*Base[[#This Row],['[SC']Patients_en_emploi]]</f>
        <v>1261469.454200722</v>
      </c>
      <c r="AG366" s="4">
        <v>0</v>
      </c>
      <c r="AH366" s="4">
        <f>IFERROR(Base[[#This Row],['[SC']Prestations]]/Base[[#This Row],['[SC']Patients_en_emploi]],0)</f>
        <v>0</v>
      </c>
      <c r="AI366" s="4">
        <v>51.7</v>
      </c>
      <c r="AJ3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6" s="4">
        <f>Base[[#This Row],['[SC']'[Travail']Coûts_évités]]/Base[[#This Row],[Population_emploi]]</f>
        <v>43.557128500732155</v>
      </c>
      <c r="AL366" s="4">
        <f>Base[[#This Row],[Coût_société]]*10^9*Base[[#This Row],[Risque]]*Base[[#This Row],[Prévalence]]*Base[[#This Row],[Part_coûts_salarié]]/Base[[#This Row],[Population_emploi]]</f>
        <v>9.5744165361429534</v>
      </c>
      <c r="AM366" s="4">
        <f>IF(Base[[#This Row],[Pathologie]]&lt;&gt;"Dépendance",0,14909.24243952)</f>
        <v>0</v>
      </c>
      <c r="AN366" s="4">
        <f>IF(Base[[#This Row],[Pathologie]]&lt;&gt;"Dépendance",0,1316000)</f>
        <v>0</v>
      </c>
      <c r="AO366" s="4">
        <f>IF(Base[[#This Row],[Pathologie]]&lt;&gt;"Dépendance",0,Base[[#This Row],['[SC']Coût_personne_dépendante]]*Base[[#This Row],['[SC']Nb_personnes_dépendantes]])</f>
        <v>0</v>
      </c>
      <c r="AP366" s="4">
        <f>IF(Base[[#This Row],[Pathologie]]&lt;&gt;"Dépendance",0,Base[[#This Row],['[SC']Coût_total_dépendance]]/Base[[#This Row],[Population_totale]])</f>
        <v>0</v>
      </c>
      <c r="AQ366" s="4">
        <f>IF(Base[[#This Row],[Pathologie]]&lt;&gt;"Dépendance",0,4.5)</f>
        <v>0</v>
      </c>
      <c r="AR366" s="4">
        <v>0.83987615528424797</v>
      </c>
      <c r="AS366" s="4">
        <f>Base[[#This Row],[Espérance_vie]]+Base[[#This Row],['[SC']Hausse_esp_de_vie]]-Base[[#This Row],['[SC']Durée_moyenne_dépendance_avt]]+Base[[#This Row],[Risque]]</f>
        <v>83.511157466005969</v>
      </c>
      <c r="AT3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6" s="4">
        <v>62.9</v>
      </c>
      <c r="AW366" s="4">
        <f t="shared" si="6"/>
        <v>336905600000</v>
      </c>
      <c r="AX366" s="4">
        <v>15049171</v>
      </c>
      <c r="AY366" s="4">
        <f>Base[[#This Row],['[SC']Budget_total_retraites]]/Base[[#This Row],['[SC']Nombre_de_retraités]]</f>
        <v>22386.987296509556</v>
      </c>
      <c r="AZ366" s="4">
        <f>Base[[#This Row],['[SC']Budget_par_retraité]]*Base[[#This Row],['[SC']Nb_personnes_dépendantes]]</f>
        <v>0</v>
      </c>
      <c r="BA366" s="4">
        <f>Base[[#This Row],['[SC']'[Dépendance']Coût_retraite_personnes_dépendantes]]/Base[[#This Row],[Population_totale]]</f>
        <v>0</v>
      </c>
      <c r="BB3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6" s="4">
        <f>Base[[#This Row],['[SC']'[Dépendance']Gains]]-Base[[#This Row],['[SC']'[Dépendance']Coûts]]</f>
        <v>0</v>
      </c>
      <c r="BD366" s="4">
        <f>IF(Base[[#This Row],[Pathologie]]&lt;&gt;"Mort prématurée",0,Base[[#This Row],[Risque]]*Base[[#This Row],[Prévalence]]*Base[[#This Row],[Population_totale]])</f>
        <v>0</v>
      </c>
      <c r="BE366" s="4">
        <v>52.74</v>
      </c>
      <c r="BF366" s="4">
        <f>Base[[#This Row],['[SC']Âge_moyen_retraite]]-Base[[#This Row],['[SC']'[Mort_prématurée']Âge_moyen_mort précoce]]</f>
        <v>10.159999999999997</v>
      </c>
      <c r="BG366" s="4">
        <f>Base[[#This Row],[Espérance_vie]]+Base[[#This Row],['[SC']Hausse_esp_de_vie]]-Base[[#This Row],['[SC']Âge_moyen_retraite]]</f>
        <v>20.236955218602098</v>
      </c>
      <c r="BH366" s="4">
        <v>106583.42676924677</v>
      </c>
      <c r="BI366" s="4">
        <v>97601.789429271477</v>
      </c>
      <c r="BJ366" s="4">
        <v>302038.31496633729</v>
      </c>
      <c r="BK366" s="4">
        <v>117293.58934859755</v>
      </c>
      <c r="BL366" s="4">
        <v>1523999.9999999995</v>
      </c>
      <c r="BM3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6" s="4">
        <v>294804.96027377353</v>
      </c>
      <c r="BO3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6" s="4">
        <f>(Base[[#This Row],['[SC']'[Mort_prématurée']Gains]]-Base[[#This Row],['[SC']'[Mort_prématurée']Coûts]])/Base[[#This Row],[Population_totale]]</f>
        <v>0</v>
      </c>
      <c r="BQ366" s="4">
        <f>IF(Base[[#This Row],[Pathologie]]&lt;&gt;"Mort prématurée",0,Base[[#This Row],[Risque]])</f>
        <v>0</v>
      </c>
      <c r="BR366" s="4">
        <v>2680</v>
      </c>
      <c r="BS3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6" s="4">
        <f>Base[[#This Row],[Prévalence_prod]]*(1-Base[[#This Row],[Risque]])*Base[[#This Row],[Durée_arrêt]]*Base[[#This Row],[Population_emploi]]</f>
        <v>45356841.734684482</v>
      </c>
      <c r="BV366" s="4">
        <f>Base[[#This Row],['[Prod']'[Absentéisme']Total_jours_absence_avant]]-Base[[#This Row],['[Prod']'[Absentéisme']Total_jours_absence_après]]</f>
        <v>27121593.265315518</v>
      </c>
      <c r="BW366" s="4">
        <f>IF(AND(Base[[#This Row],[Pathologie]]&lt;&gt;"Dépendance",Base[[#This Row],[Pathologie]]&lt;&gt;"Mort prématurée",Base[[#This Row],[Pathologie]]&lt;&gt;"Migraine"),0.0619,0)</f>
        <v>6.1899999999999997E-2</v>
      </c>
      <c r="BX366" s="4">
        <v>254</v>
      </c>
      <c r="BY36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6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6" s="4">
        <f>Base[[#This Row],[Prévalence_prod]]*Base[[#This Row],[Présentéisme]]*Base[[#This Row],['[Prod']Jours_ouvrés]]</f>
        <v>2.8438856000000001</v>
      </c>
      <c r="CB366" s="4">
        <f>Base[[#This Row],[Prévalence_prod]]*(1-Base[[#This Row],[Risque]])*Base[[#This Row],[Présentéisme]]*Base[[#This Row],['[Prod']Jours_ouvrés]]</f>
        <v>1.7796972171204886</v>
      </c>
      <c r="CC366" s="4">
        <f>Base[[#This Row],['[Prod']'[Présentéisme']Jours_avant]]-Base[[#This Row],['[Prod']'[Présentéisme']Jours_après]]</f>
        <v>1.0641883828795116</v>
      </c>
      <c r="CD366" s="4">
        <f>Base[[#This Row],['[Prod']'[Présentéisme']Jours_gagnés]]/Base[[#This Row],['[Prod']Jours_ouvrés]]</f>
        <v>4.1897180428327229E-3</v>
      </c>
      <c r="CE366">
        <v>7.5880726467531134E-2</v>
      </c>
      <c r="CF366">
        <v>1.989821358241517E-2</v>
      </c>
      <c r="CG366" s="4">
        <v>11</v>
      </c>
      <c r="CH366" s="4">
        <v>1.6219398392978641</v>
      </c>
      <c r="CI366" s="4">
        <v>9.628527536862988E-2</v>
      </c>
      <c r="CJ366" s="4">
        <f>IF(Base[[#This Row],[Secteur]]&lt;&gt;"Moyenne",Base[[#This Row],['[Prod']'[Turnover']DMC_initiale]]*(1+Base[[#This Row],['[Prod']'[Turnover']Ecart_accidents]]*Base[[#This Row],['[Prod']Impact_motifs_turnover]]),CJ349*CI349+CJ350*CI350+CJ351*CI351+CJ352*CI352+CJ353*CI353+CJ354*CI354+CJ355*CI355+CJ356*CI356+CJ357*CI357+CJ358*CI358+CJ359*CI359+CJ360*CI360+CJ361*CI361+CJ362*CI362+CJ363*CI363+CJ364*CI364+CJ365*CI365)</f>
        <v>11.355010758741946</v>
      </c>
      <c r="CK366" s="4">
        <f>1/Base[[#This Row],['[Prod']'[Turnover']DMC_initiale]]</f>
        <v>9.0909090909090912E-2</v>
      </c>
      <c r="CL366" s="4">
        <f>1/Base[[#This Row],['[Prod']'[Turnover']DMC_finale]]</f>
        <v>8.8066847425056327E-2</v>
      </c>
    </row>
    <row r="367" spans="2:90" x14ac:dyDescent="0.25">
      <c r="B367" s="4" t="s">
        <v>323</v>
      </c>
      <c r="C367">
        <v>15</v>
      </c>
      <c r="D367" t="s">
        <v>83</v>
      </c>
      <c r="E367" t="s">
        <v>7</v>
      </c>
      <c r="F367" s="3">
        <v>0.37420224740387292</v>
      </c>
      <c r="G367" s="3">
        <v>0.1217</v>
      </c>
      <c r="H367" s="3">
        <v>0.1217</v>
      </c>
      <c r="I367" s="3">
        <v>9.1999999999999998E-2</v>
      </c>
      <c r="J367" s="3">
        <v>7.27956</v>
      </c>
      <c r="K367" s="3">
        <v>7.0000000000000007E-2</v>
      </c>
      <c r="L367" s="2">
        <f>Base[[#This Row],[Coût]]*Base[[#This Row],[Part_ménages_dépenses_santé]]</f>
        <v>0.50956920000000006</v>
      </c>
      <c r="M367" s="2">
        <v>1</v>
      </c>
      <c r="N367" s="6">
        <v>27700000</v>
      </c>
      <c r="O367" s="7">
        <f>Base[[#This Row],[Coût_salarié]]*10^9*Base[[#This Row],[Risque]]*Base[[#This Row],[Prévalence]]*Base[[#This Row],[Part_coûts_salarié]]/Base[[#This Row],[Population_emploi]]</f>
        <v>0.83776144691250853</v>
      </c>
      <c r="P367">
        <v>50</v>
      </c>
      <c r="Q367">
        <v>50</v>
      </c>
      <c r="R367" s="2">
        <v>9.9999999999999978E-2</v>
      </c>
      <c r="S367" s="2">
        <v>0.33340000000000003</v>
      </c>
      <c r="T367" s="4">
        <v>0.1217</v>
      </c>
      <c r="U367" s="4">
        <f>IF(Bases_annexes!$F$5=0,16.6587111018772,0.77*Bases_annexes!$F$5/(IF(OR(ISBLANK('Données_d''entrée'!$E$44),'Données_d''entrée'!$E$44=0),35,'Données_d''entrée'!$E$44)*52))</f>
        <v>16.658711101877199</v>
      </c>
      <c r="V367" s="4">
        <v>21.5</v>
      </c>
      <c r="W3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7" s="4">
        <v>234.5</v>
      </c>
      <c r="Y367" s="4">
        <f>(Base[[#This Row],['[Maladies']Coûts_évités_par_salarié]]+Base[[#This Row],['[Travail']Coûts_évités_par_salarié]])/Base[[#This Row],[Budget_santé_salarié]]</f>
        <v>0.11340616353499251</v>
      </c>
      <c r="Z367" s="4">
        <v>0.8</v>
      </c>
      <c r="AA367" s="4">
        <f>Base[[#This Row],[Coût]]*Base[[#This Row],[Part_société_dépenses_santé]]</f>
        <v>5.8236480000000004</v>
      </c>
      <c r="AB367" s="4">
        <v>67635124</v>
      </c>
      <c r="AC367" s="4">
        <v>82.297079063317852</v>
      </c>
      <c r="AD367" s="4">
        <v>0.1217</v>
      </c>
      <c r="AE367" s="4">
        <f>Base[[#This Row],['[SC']Prévalence_travail]]*Base[[#This Row],[Population_emploi]]</f>
        <v>3371090</v>
      </c>
      <c r="AF367" s="4">
        <f>Base[[#This Row],[Risque]]*Base[[#This Row],['[SC']Patients_en_emploi]]</f>
        <v>1261469.454200722</v>
      </c>
      <c r="AG367" s="4">
        <v>0</v>
      </c>
      <c r="AH367" s="4">
        <f>IFERROR(Base[[#This Row],['[SC']Prestations]]/Base[[#This Row],['[SC']Patients_en_emploi]],0)</f>
        <v>0</v>
      </c>
      <c r="AI367" s="4">
        <v>51.7</v>
      </c>
      <c r="AJ3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7" s="4">
        <f>Base[[#This Row],['[SC']'[Travail']Coûts_évités]]/Base[[#This Row],[Population_emploi]]</f>
        <v>43.557128500732155</v>
      </c>
      <c r="AL367" s="4">
        <f>Base[[#This Row],[Coût_société]]*10^9*Base[[#This Row],[Risque]]*Base[[#This Row],[Prévalence]]*Base[[#This Row],[Part_coûts_salarié]]/Base[[#This Row],[Population_emploi]]</f>
        <v>9.5744165361429534</v>
      </c>
      <c r="AM367" s="4">
        <f>IF(Base[[#This Row],[Pathologie]]&lt;&gt;"Dépendance",0,14909.24243952)</f>
        <v>0</v>
      </c>
      <c r="AN367" s="4">
        <f>IF(Base[[#This Row],[Pathologie]]&lt;&gt;"Dépendance",0,1316000)</f>
        <v>0</v>
      </c>
      <c r="AO367" s="4">
        <f>IF(Base[[#This Row],[Pathologie]]&lt;&gt;"Dépendance",0,Base[[#This Row],['[SC']Coût_personne_dépendante]]*Base[[#This Row],['[SC']Nb_personnes_dépendantes]])</f>
        <v>0</v>
      </c>
      <c r="AP367" s="4">
        <f>IF(Base[[#This Row],[Pathologie]]&lt;&gt;"Dépendance",0,Base[[#This Row],['[SC']Coût_total_dépendance]]/Base[[#This Row],[Population_totale]])</f>
        <v>0</v>
      </c>
      <c r="AQ367" s="4">
        <f>IF(Base[[#This Row],[Pathologie]]&lt;&gt;"Dépendance",0,4.5)</f>
        <v>0</v>
      </c>
      <c r="AR367" s="4">
        <v>0.83987615528424797</v>
      </c>
      <c r="AS367" s="4">
        <f>Base[[#This Row],[Espérance_vie]]+Base[[#This Row],['[SC']Hausse_esp_de_vie]]-Base[[#This Row],['[SC']Durée_moyenne_dépendance_avt]]+Base[[#This Row],[Risque]]</f>
        <v>83.511157466005969</v>
      </c>
      <c r="AT3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7" s="4">
        <v>62.9</v>
      </c>
      <c r="AW367" s="4">
        <f t="shared" si="6"/>
        <v>336905600000</v>
      </c>
      <c r="AX367" s="4">
        <v>15049171</v>
      </c>
      <c r="AY367" s="4">
        <f>Base[[#This Row],['[SC']Budget_total_retraites]]/Base[[#This Row],['[SC']Nombre_de_retraités]]</f>
        <v>22386.987296509556</v>
      </c>
      <c r="AZ367" s="4">
        <f>Base[[#This Row],['[SC']Budget_par_retraité]]*Base[[#This Row],['[SC']Nb_personnes_dépendantes]]</f>
        <v>0</v>
      </c>
      <c r="BA367" s="4">
        <f>Base[[#This Row],['[SC']'[Dépendance']Coût_retraite_personnes_dépendantes]]/Base[[#This Row],[Population_totale]]</f>
        <v>0</v>
      </c>
      <c r="BB3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7" s="4">
        <f>Base[[#This Row],['[SC']'[Dépendance']Gains]]-Base[[#This Row],['[SC']'[Dépendance']Coûts]]</f>
        <v>0</v>
      </c>
      <c r="BD367" s="4">
        <f>IF(Base[[#This Row],[Pathologie]]&lt;&gt;"Mort prématurée",0,Base[[#This Row],[Risque]]*Base[[#This Row],[Prévalence]]*Base[[#This Row],[Population_totale]])</f>
        <v>0</v>
      </c>
      <c r="BE367" s="4">
        <v>52.74</v>
      </c>
      <c r="BF367" s="4">
        <f>Base[[#This Row],['[SC']Âge_moyen_retraite]]-Base[[#This Row],['[SC']'[Mort_prématurée']Âge_moyen_mort précoce]]</f>
        <v>10.159999999999997</v>
      </c>
      <c r="BG367" s="4">
        <f>Base[[#This Row],[Espérance_vie]]+Base[[#This Row],['[SC']Hausse_esp_de_vie]]-Base[[#This Row],['[SC']Âge_moyen_retraite]]</f>
        <v>20.236955218602098</v>
      </c>
      <c r="BH367" s="4">
        <v>106583.42676924677</v>
      </c>
      <c r="BI367" s="4">
        <v>97601.789429271477</v>
      </c>
      <c r="BJ367" s="4">
        <v>302038.31496633729</v>
      </c>
      <c r="BK367" s="4">
        <v>117293.58934859755</v>
      </c>
      <c r="BL367" s="4">
        <v>1523999.9999999995</v>
      </c>
      <c r="BM3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7" s="4">
        <v>294804.96027377353</v>
      </c>
      <c r="BO3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7" s="4">
        <f>(Base[[#This Row],['[SC']'[Mort_prématurée']Gains]]-Base[[#This Row],['[SC']'[Mort_prématurée']Coûts]])/Base[[#This Row],[Population_totale]]</f>
        <v>0</v>
      </c>
      <c r="BQ367" s="4">
        <f>IF(Base[[#This Row],[Pathologie]]&lt;&gt;"Mort prématurée",0,Base[[#This Row],[Risque]])</f>
        <v>0</v>
      </c>
      <c r="BR367" s="4">
        <v>2680</v>
      </c>
      <c r="BS3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7" s="4">
        <f>Base[[#This Row],[Prévalence_prod]]*(1-Base[[#This Row],[Risque]])*Base[[#This Row],[Durée_arrêt]]*Base[[#This Row],[Population_emploi]]</f>
        <v>45356841.734684482</v>
      </c>
      <c r="BV367" s="4">
        <f>Base[[#This Row],['[Prod']'[Absentéisme']Total_jours_absence_avant]]-Base[[#This Row],['[Prod']'[Absentéisme']Total_jours_absence_après]]</f>
        <v>27121593.265315518</v>
      </c>
      <c r="BW367" s="4">
        <f>IF(AND(Base[[#This Row],[Pathologie]]&lt;&gt;"Dépendance",Base[[#This Row],[Pathologie]]&lt;&gt;"Mort prématurée",Base[[#This Row],[Pathologie]]&lt;&gt;"Migraine"),0.0619,0)</f>
        <v>6.1899999999999997E-2</v>
      </c>
      <c r="BX367" s="4">
        <v>254</v>
      </c>
      <c r="BY367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7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7" s="4">
        <f>Base[[#This Row],[Prévalence_prod]]*Base[[#This Row],[Présentéisme]]*Base[[#This Row],['[Prod']Jours_ouvrés]]</f>
        <v>2.8438856000000001</v>
      </c>
      <c r="CB367" s="4">
        <f>Base[[#This Row],[Prévalence_prod]]*(1-Base[[#This Row],[Risque]])*Base[[#This Row],[Présentéisme]]*Base[[#This Row],['[Prod']Jours_ouvrés]]</f>
        <v>1.7796972171204886</v>
      </c>
      <c r="CC367" s="4">
        <f>Base[[#This Row],['[Prod']'[Présentéisme']Jours_avant]]-Base[[#This Row],['[Prod']'[Présentéisme']Jours_après]]</f>
        <v>1.0641883828795116</v>
      </c>
      <c r="CD367" s="4">
        <f>Base[[#This Row],['[Prod']'[Présentéisme']Jours_gagnés]]/Base[[#This Row],['[Prod']Jours_ouvrés]]</f>
        <v>4.1897180428327229E-3</v>
      </c>
      <c r="CE367">
        <v>7.5880726467531134E-2</v>
      </c>
      <c r="CF367">
        <v>1.989821358241517E-2</v>
      </c>
      <c r="CG367" s="4">
        <v>11</v>
      </c>
      <c r="CH367" s="4">
        <v>0.96913802401210614</v>
      </c>
      <c r="CI367" s="4">
        <v>0.10293966445307301</v>
      </c>
      <c r="CJ367" s="4">
        <f>IF(Base[[#This Row],[Secteur]]&lt;&gt;"Moyenne",Base[[#This Row],['[Prod']'[Turnover']DMC_initiale]]*(1+Base[[#This Row],['[Prod']'[Turnover']Ecart_accidents]]*Base[[#This Row],['[Prod']Impact_motifs_turnover]]),CJ350*CI350+CJ351*CI351+CJ352*CI352+CJ353*CI353+CJ354*CI354+CJ355*CI355+CJ356*CI356+CJ357*CI357+CJ358*CI358+CJ359*CI359+CJ360*CI360+CJ361*CI361+CJ362*CI362+CJ363*CI363+CJ364*CI364+CJ365*CI365+CJ366*CI366)</f>
        <v>11.212125269318959</v>
      </c>
      <c r="CK367" s="4">
        <f>1/Base[[#This Row],['[Prod']'[Turnover']DMC_initiale]]</f>
        <v>9.0909090909090912E-2</v>
      </c>
      <c r="CL367" s="4">
        <f>1/Base[[#This Row],['[Prod']'[Turnover']DMC_finale]]</f>
        <v>8.9189156915363429E-2</v>
      </c>
    </row>
    <row r="368" spans="2:90" x14ac:dyDescent="0.25">
      <c r="B368" s="4" t="s">
        <v>324</v>
      </c>
      <c r="C368">
        <v>15</v>
      </c>
      <c r="D368" t="s">
        <v>83</v>
      </c>
      <c r="E368" t="s">
        <v>7</v>
      </c>
      <c r="F368" s="3">
        <v>0.37420224740387292</v>
      </c>
      <c r="G368" s="3">
        <v>0.1217</v>
      </c>
      <c r="H368" s="3">
        <v>0.1217</v>
      </c>
      <c r="I368" s="3">
        <v>9.1999999999999998E-2</v>
      </c>
      <c r="J368" s="3">
        <v>7.27956</v>
      </c>
      <c r="K368" s="3">
        <v>7.0000000000000007E-2</v>
      </c>
      <c r="L368" s="2">
        <f>Base[[#This Row],[Coût]]*Base[[#This Row],[Part_ménages_dépenses_santé]]</f>
        <v>0.50956920000000006</v>
      </c>
      <c r="M368" s="2">
        <v>1</v>
      </c>
      <c r="N368" s="6">
        <v>27700000</v>
      </c>
      <c r="O368" s="7">
        <f>Base[[#This Row],[Coût_salarié]]*10^9*Base[[#This Row],[Risque]]*Base[[#This Row],[Prévalence]]*Base[[#This Row],[Part_coûts_salarié]]/Base[[#This Row],[Population_emploi]]</f>
        <v>0.83776144691250853</v>
      </c>
      <c r="P368">
        <v>50</v>
      </c>
      <c r="Q368">
        <v>50</v>
      </c>
      <c r="R368" s="2">
        <v>9.9999999999999978E-2</v>
      </c>
      <c r="S368" s="2">
        <v>0.33340000000000003</v>
      </c>
      <c r="T368" s="4">
        <v>0.1217</v>
      </c>
      <c r="U368" s="4">
        <f>IF(Bases_annexes!$F$5=0,16.6587111018772,0.77*Bases_annexes!$F$5/(IF(OR(ISBLANK('Données_d''entrée'!$E$44),'Données_d''entrée'!$E$44=0),35,'Données_d''entrée'!$E$44)*52))</f>
        <v>16.658711101877199</v>
      </c>
      <c r="V368" s="4">
        <v>21.5</v>
      </c>
      <c r="W3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8" s="4">
        <v>234.5</v>
      </c>
      <c r="Y368" s="4">
        <f>(Base[[#This Row],['[Maladies']Coûts_évités_par_salarié]]+Base[[#This Row],['[Travail']Coûts_évités_par_salarié]])/Base[[#This Row],[Budget_santé_salarié]]</f>
        <v>0.11340616353499251</v>
      </c>
      <c r="Z368" s="4">
        <v>0.8</v>
      </c>
      <c r="AA368" s="4">
        <f>Base[[#This Row],[Coût]]*Base[[#This Row],[Part_société_dépenses_santé]]</f>
        <v>5.8236480000000004</v>
      </c>
      <c r="AB368" s="4">
        <v>67635124</v>
      </c>
      <c r="AC368" s="4">
        <v>82.297079063317852</v>
      </c>
      <c r="AD368" s="4">
        <v>0.1217</v>
      </c>
      <c r="AE368" s="4">
        <f>Base[[#This Row],['[SC']Prévalence_travail]]*Base[[#This Row],[Population_emploi]]</f>
        <v>3371090</v>
      </c>
      <c r="AF368" s="4">
        <f>Base[[#This Row],[Risque]]*Base[[#This Row],['[SC']Patients_en_emploi]]</f>
        <v>1261469.454200722</v>
      </c>
      <c r="AG368" s="4">
        <v>0</v>
      </c>
      <c r="AH368" s="4">
        <f>IFERROR(Base[[#This Row],['[SC']Prestations]]/Base[[#This Row],['[SC']Patients_en_emploi]],0)</f>
        <v>0</v>
      </c>
      <c r="AI368" s="4">
        <v>51.7</v>
      </c>
      <c r="AJ3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8" s="4">
        <f>Base[[#This Row],['[SC']'[Travail']Coûts_évités]]/Base[[#This Row],[Population_emploi]]</f>
        <v>43.557128500732155</v>
      </c>
      <c r="AL368" s="4">
        <f>Base[[#This Row],[Coût_société]]*10^9*Base[[#This Row],[Risque]]*Base[[#This Row],[Prévalence]]*Base[[#This Row],[Part_coûts_salarié]]/Base[[#This Row],[Population_emploi]]</f>
        <v>9.5744165361429534</v>
      </c>
      <c r="AM368" s="4">
        <f>IF(Base[[#This Row],[Pathologie]]&lt;&gt;"Dépendance",0,14909.24243952)</f>
        <v>0</v>
      </c>
      <c r="AN368" s="4">
        <f>IF(Base[[#This Row],[Pathologie]]&lt;&gt;"Dépendance",0,1316000)</f>
        <v>0</v>
      </c>
      <c r="AO368" s="4">
        <f>IF(Base[[#This Row],[Pathologie]]&lt;&gt;"Dépendance",0,Base[[#This Row],['[SC']Coût_personne_dépendante]]*Base[[#This Row],['[SC']Nb_personnes_dépendantes]])</f>
        <v>0</v>
      </c>
      <c r="AP368" s="4">
        <f>IF(Base[[#This Row],[Pathologie]]&lt;&gt;"Dépendance",0,Base[[#This Row],['[SC']Coût_total_dépendance]]/Base[[#This Row],[Population_totale]])</f>
        <v>0</v>
      </c>
      <c r="AQ368" s="4">
        <f>IF(Base[[#This Row],[Pathologie]]&lt;&gt;"Dépendance",0,4.5)</f>
        <v>0</v>
      </c>
      <c r="AR368" s="4">
        <v>0.83987615528424797</v>
      </c>
      <c r="AS368" s="4">
        <f>Base[[#This Row],[Espérance_vie]]+Base[[#This Row],['[SC']Hausse_esp_de_vie]]-Base[[#This Row],['[SC']Durée_moyenne_dépendance_avt]]+Base[[#This Row],[Risque]]</f>
        <v>83.511157466005969</v>
      </c>
      <c r="AT3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8" s="4">
        <v>62.9</v>
      </c>
      <c r="AW368" s="4">
        <f t="shared" si="6"/>
        <v>336905600000</v>
      </c>
      <c r="AX368" s="4">
        <v>15049171</v>
      </c>
      <c r="AY368" s="4">
        <f>Base[[#This Row],['[SC']Budget_total_retraites]]/Base[[#This Row],['[SC']Nombre_de_retraités]]</f>
        <v>22386.987296509556</v>
      </c>
      <c r="AZ368" s="4">
        <f>Base[[#This Row],['[SC']Budget_par_retraité]]*Base[[#This Row],['[SC']Nb_personnes_dépendantes]]</f>
        <v>0</v>
      </c>
      <c r="BA368" s="4">
        <f>Base[[#This Row],['[SC']'[Dépendance']Coût_retraite_personnes_dépendantes]]/Base[[#This Row],[Population_totale]]</f>
        <v>0</v>
      </c>
      <c r="BB3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8" s="4">
        <f>Base[[#This Row],['[SC']'[Dépendance']Gains]]-Base[[#This Row],['[SC']'[Dépendance']Coûts]]</f>
        <v>0</v>
      </c>
      <c r="BD368" s="4">
        <f>IF(Base[[#This Row],[Pathologie]]&lt;&gt;"Mort prématurée",0,Base[[#This Row],[Risque]]*Base[[#This Row],[Prévalence]]*Base[[#This Row],[Population_totale]])</f>
        <v>0</v>
      </c>
      <c r="BE368" s="4">
        <v>52.74</v>
      </c>
      <c r="BF368" s="4">
        <f>Base[[#This Row],['[SC']Âge_moyen_retraite]]-Base[[#This Row],['[SC']'[Mort_prématurée']Âge_moyen_mort précoce]]</f>
        <v>10.159999999999997</v>
      </c>
      <c r="BG368" s="4">
        <f>Base[[#This Row],[Espérance_vie]]+Base[[#This Row],['[SC']Hausse_esp_de_vie]]-Base[[#This Row],['[SC']Âge_moyen_retraite]]</f>
        <v>20.236955218602098</v>
      </c>
      <c r="BH368" s="4">
        <v>106583.42676924677</v>
      </c>
      <c r="BI368" s="4">
        <v>97601.789429271477</v>
      </c>
      <c r="BJ368" s="4">
        <v>302038.31496633729</v>
      </c>
      <c r="BK368" s="4">
        <v>117293.58934859755</v>
      </c>
      <c r="BL368" s="4">
        <v>1523999.9999999995</v>
      </c>
      <c r="BM3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8" s="4">
        <v>294804.96027377353</v>
      </c>
      <c r="BO3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8" s="4">
        <f>(Base[[#This Row],['[SC']'[Mort_prématurée']Gains]]-Base[[#This Row],['[SC']'[Mort_prématurée']Coûts]])/Base[[#This Row],[Population_totale]]</f>
        <v>0</v>
      </c>
      <c r="BQ368" s="4">
        <f>IF(Base[[#This Row],[Pathologie]]&lt;&gt;"Mort prématurée",0,Base[[#This Row],[Risque]])</f>
        <v>0</v>
      </c>
      <c r="BR368" s="4">
        <v>2680</v>
      </c>
      <c r="BS3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8" s="4">
        <f>Base[[#This Row],[Prévalence_prod]]*(1-Base[[#This Row],[Risque]])*Base[[#This Row],[Durée_arrêt]]*Base[[#This Row],[Population_emploi]]</f>
        <v>45356841.734684482</v>
      </c>
      <c r="BV368" s="4">
        <f>Base[[#This Row],['[Prod']'[Absentéisme']Total_jours_absence_avant]]-Base[[#This Row],['[Prod']'[Absentéisme']Total_jours_absence_après]]</f>
        <v>27121593.265315518</v>
      </c>
      <c r="BW368" s="4">
        <f>IF(AND(Base[[#This Row],[Pathologie]]&lt;&gt;"Dépendance",Base[[#This Row],[Pathologie]]&lt;&gt;"Mort prématurée",Base[[#This Row],[Pathologie]]&lt;&gt;"Migraine"),0.0619,0)</f>
        <v>6.1899999999999997E-2</v>
      </c>
      <c r="BX368" s="4">
        <v>254</v>
      </c>
      <c r="BY368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8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8" s="4">
        <f>Base[[#This Row],[Prévalence_prod]]*Base[[#This Row],[Présentéisme]]*Base[[#This Row],['[Prod']Jours_ouvrés]]</f>
        <v>2.8438856000000001</v>
      </c>
      <c r="CB368" s="4">
        <f>Base[[#This Row],[Prévalence_prod]]*(1-Base[[#This Row],[Risque]])*Base[[#This Row],[Présentéisme]]*Base[[#This Row],['[Prod']Jours_ouvrés]]</f>
        <v>1.7796972171204886</v>
      </c>
      <c r="CC368" s="4">
        <f>Base[[#This Row],['[Prod']'[Présentéisme']Jours_avant]]-Base[[#This Row],['[Prod']'[Présentéisme']Jours_après]]</f>
        <v>1.0641883828795116</v>
      </c>
      <c r="CD368" s="4">
        <f>Base[[#This Row],['[Prod']'[Présentéisme']Jours_gagnés]]/Base[[#This Row],['[Prod']Jours_ouvrés]]</f>
        <v>4.1897180428327229E-3</v>
      </c>
      <c r="CE368">
        <v>7.5880726467531134E-2</v>
      </c>
      <c r="CF368">
        <v>1.989821358241517E-2</v>
      </c>
      <c r="CG368" s="4">
        <v>11</v>
      </c>
      <c r="CH368" s="4">
        <v>1.3987208237662601</v>
      </c>
      <c r="CI368" s="4">
        <v>2.1768516166491274E-2</v>
      </c>
      <c r="CJ368" s="4">
        <f>IF(Base[[#This Row],[Secteur]]&lt;&gt;"Moyenne",Base[[#This Row],['[Prod']'[Turnover']DMC_initiale]]*(1+Base[[#This Row],['[Prod']'[Turnover']Ecart_accidents]]*Base[[#This Row],['[Prod']Impact_motifs_turnover]]),CJ351*CI351+CJ352*CI352+CJ353*CI353+CJ354*CI354+CJ355*CI355+CJ356*CI356+CJ357*CI357+CJ358*CI358+CJ359*CI359+CJ360*CI360+CJ361*CI361+CJ362*CI362+CJ363*CI363+CJ364*CI364+CJ365*CI365+CJ366*CI366+CJ367*CI367)</f>
        <v>11.306152502628199</v>
      </c>
      <c r="CK368" s="4">
        <f>1/Base[[#This Row],['[Prod']'[Turnover']DMC_initiale]]</f>
        <v>9.0909090909090912E-2</v>
      </c>
      <c r="CL368" s="4">
        <f>1/Base[[#This Row],['[Prod']'[Turnover']DMC_finale]]</f>
        <v>8.8447418320913546E-2</v>
      </c>
    </row>
    <row r="369" spans="2:90" x14ac:dyDescent="0.25">
      <c r="B369" s="4" t="s">
        <v>325</v>
      </c>
      <c r="C369">
        <v>15</v>
      </c>
      <c r="D369" t="s">
        <v>83</v>
      </c>
      <c r="E369" t="s">
        <v>7</v>
      </c>
      <c r="F369" s="3">
        <v>0.37420224740387292</v>
      </c>
      <c r="G369" s="3">
        <v>0.1217</v>
      </c>
      <c r="H369" s="3">
        <v>0.1217</v>
      </c>
      <c r="I369" s="3">
        <v>9.1999999999999998E-2</v>
      </c>
      <c r="J369" s="3">
        <v>7.27956</v>
      </c>
      <c r="K369" s="3">
        <v>7.0000000000000007E-2</v>
      </c>
      <c r="L369" s="2">
        <f>Base[[#This Row],[Coût]]*Base[[#This Row],[Part_ménages_dépenses_santé]]</f>
        <v>0.50956920000000006</v>
      </c>
      <c r="M369" s="2">
        <v>1</v>
      </c>
      <c r="N369" s="6">
        <v>27700000</v>
      </c>
      <c r="O369" s="7">
        <f>Base[[#This Row],[Coût_salarié]]*10^9*Base[[#This Row],[Risque]]*Base[[#This Row],[Prévalence]]*Base[[#This Row],[Part_coûts_salarié]]/Base[[#This Row],[Population_emploi]]</f>
        <v>0.83776144691250853</v>
      </c>
      <c r="P369">
        <v>50</v>
      </c>
      <c r="Q369">
        <v>50</v>
      </c>
      <c r="R369" s="2">
        <v>9.9999999999999978E-2</v>
      </c>
      <c r="S369" s="2">
        <v>0.33340000000000003</v>
      </c>
      <c r="T369" s="4">
        <v>0.1217</v>
      </c>
      <c r="U369" s="4">
        <f>IF(Bases_annexes!$F$5=0,16.6587111018772,0.77*Bases_annexes!$F$5/(IF(OR(ISBLANK('Données_d''entrée'!$E$44),'Données_d''entrée'!$E$44=0),35,'Données_d''entrée'!$E$44)*52))</f>
        <v>16.658711101877199</v>
      </c>
      <c r="V369" s="4">
        <v>21.5</v>
      </c>
      <c r="W3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69" s="4">
        <v>234.5</v>
      </c>
      <c r="Y369" s="4">
        <f>(Base[[#This Row],['[Maladies']Coûts_évités_par_salarié]]+Base[[#This Row],['[Travail']Coûts_évités_par_salarié]])/Base[[#This Row],[Budget_santé_salarié]]</f>
        <v>0.11340616353499251</v>
      </c>
      <c r="Z369" s="4">
        <v>0.8</v>
      </c>
      <c r="AA369" s="4">
        <f>Base[[#This Row],[Coût]]*Base[[#This Row],[Part_société_dépenses_santé]]</f>
        <v>5.8236480000000004</v>
      </c>
      <c r="AB369" s="4">
        <v>67635124</v>
      </c>
      <c r="AC369" s="4">
        <v>82.297079063317852</v>
      </c>
      <c r="AD369" s="4">
        <v>0.1217</v>
      </c>
      <c r="AE369" s="4">
        <f>Base[[#This Row],['[SC']Prévalence_travail]]*Base[[#This Row],[Population_emploi]]</f>
        <v>3371090</v>
      </c>
      <c r="AF369" s="4">
        <f>Base[[#This Row],[Risque]]*Base[[#This Row],['[SC']Patients_en_emploi]]</f>
        <v>1261469.454200722</v>
      </c>
      <c r="AG369" s="4">
        <v>0</v>
      </c>
      <c r="AH369" s="4">
        <f>IFERROR(Base[[#This Row],['[SC']Prestations]]/Base[[#This Row],['[SC']Patients_en_emploi]],0)</f>
        <v>0</v>
      </c>
      <c r="AI369" s="4">
        <v>51.7</v>
      </c>
      <c r="AJ3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69" s="4">
        <f>Base[[#This Row],['[SC']'[Travail']Coûts_évités]]/Base[[#This Row],[Population_emploi]]</f>
        <v>43.557128500732155</v>
      </c>
      <c r="AL369" s="4">
        <f>Base[[#This Row],[Coût_société]]*10^9*Base[[#This Row],[Risque]]*Base[[#This Row],[Prévalence]]*Base[[#This Row],[Part_coûts_salarié]]/Base[[#This Row],[Population_emploi]]</f>
        <v>9.5744165361429534</v>
      </c>
      <c r="AM369" s="4">
        <f>IF(Base[[#This Row],[Pathologie]]&lt;&gt;"Dépendance",0,14909.24243952)</f>
        <v>0</v>
      </c>
      <c r="AN369" s="4">
        <f>IF(Base[[#This Row],[Pathologie]]&lt;&gt;"Dépendance",0,1316000)</f>
        <v>0</v>
      </c>
      <c r="AO369" s="4">
        <f>IF(Base[[#This Row],[Pathologie]]&lt;&gt;"Dépendance",0,Base[[#This Row],['[SC']Coût_personne_dépendante]]*Base[[#This Row],['[SC']Nb_personnes_dépendantes]])</f>
        <v>0</v>
      </c>
      <c r="AP369" s="4">
        <f>IF(Base[[#This Row],[Pathologie]]&lt;&gt;"Dépendance",0,Base[[#This Row],['[SC']Coût_total_dépendance]]/Base[[#This Row],[Population_totale]])</f>
        <v>0</v>
      </c>
      <c r="AQ369" s="4">
        <f>IF(Base[[#This Row],[Pathologie]]&lt;&gt;"Dépendance",0,4.5)</f>
        <v>0</v>
      </c>
      <c r="AR369" s="4">
        <v>0.83987615528424797</v>
      </c>
      <c r="AS369" s="4">
        <f>Base[[#This Row],[Espérance_vie]]+Base[[#This Row],['[SC']Hausse_esp_de_vie]]-Base[[#This Row],['[SC']Durée_moyenne_dépendance_avt]]+Base[[#This Row],[Risque]]</f>
        <v>83.511157466005969</v>
      </c>
      <c r="AT3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69" s="4">
        <v>62.9</v>
      </c>
      <c r="AW369" s="4">
        <f t="shared" si="6"/>
        <v>336905600000</v>
      </c>
      <c r="AX369" s="4">
        <v>15049171</v>
      </c>
      <c r="AY369" s="4">
        <f>Base[[#This Row],['[SC']Budget_total_retraites]]/Base[[#This Row],['[SC']Nombre_de_retraités]]</f>
        <v>22386.987296509556</v>
      </c>
      <c r="AZ369" s="4">
        <f>Base[[#This Row],['[SC']Budget_par_retraité]]*Base[[#This Row],['[SC']Nb_personnes_dépendantes]]</f>
        <v>0</v>
      </c>
      <c r="BA369" s="4">
        <f>Base[[#This Row],['[SC']'[Dépendance']Coût_retraite_personnes_dépendantes]]/Base[[#This Row],[Population_totale]]</f>
        <v>0</v>
      </c>
      <c r="BB3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69" s="4">
        <f>Base[[#This Row],['[SC']'[Dépendance']Gains]]-Base[[#This Row],['[SC']'[Dépendance']Coûts]]</f>
        <v>0</v>
      </c>
      <c r="BD369" s="4">
        <f>IF(Base[[#This Row],[Pathologie]]&lt;&gt;"Mort prématurée",0,Base[[#This Row],[Risque]]*Base[[#This Row],[Prévalence]]*Base[[#This Row],[Population_totale]])</f>
        <v>0</v>
      </c>
      <c r="BE369" s="4">
        <v>52.74</v>
      </c>
      <c r="BF369" s="4">
        <f>Base[[#This Row],['[SC']Âge_moyen_retraite]]-Base[[#This Row],['[SC']'[Mort_prématurée']Âge_moyen_mort précoce]]</f>
        <v>10.159999999999997</v>
      </c>
      <c r="BG369" s="4">
        <f>Base[[#This Row],[Espérance_vie]]+Base[[#This Row],['[SC']Hausse_esp_de_vie]]-Base[[#This Row],['[SC']Âge_moyen_retraite]]</f>
        <v>20.236955218602098</v>
      </c>
      <c r="BH369" s="4">
        <v>106583.42676924677</v>
      </c>
      <c r="BI369" s="4">
        <v>97601.789429271477</v>
      </c>
      <c r="BJ369" s="4">
        <v>302038.31496633729</v>
      </c>
      <c r="BK369" s="4">
        <v>117293.58934859755</v>
      </c>
      <c r="BL369" s="4">
        <v>1523999.9999999995</v>
      </c>
      <c r="BM3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69" s="4">
        <v>294804.96027377353</v>
      </c>
      <c r="BO3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69" s="4">
        <f>(Base[[#This Row],['[SC']'[Mort_prématurée']Gains]]-Base[[#This Row],['[SC']'[Mort_prématurée']Coûts]])/Base[[#This Row],[Population_totale]]</f>
        <v>0</v>
      </c>
      <c r="BQ369" s="4">
        <f>IF(Base[[#This Row],[Pathologie]]&lt;&gt;"Mort prématurée",0,Base[[#This Row],[Risque]])</f>
        <v>0</v>
      </c>
      <c r="BR369" s="4">
        <v>2680</v>
      </c>
      <c r="BS3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69" s="4">
        <f>Base[[#This Row],[Prévalence_prod]]*(1-Base[[#This Row],[Risque]])*Base[[#This Row],[Durée_arrêt]]*Base[[#This Row],[Population_emploi]]</f>
        <v>45356841.734684482</v>
      </c>
      <c r="BV369" s="4">
        <f>Base[[#This Row],['[Prod']'[Absentéisme']Total_jours_absence_avant]]-Base[[#This Row],['[Prod']'[Absentéisme']Total_jours_absence_après]]</f>
        <v>27121593.265315518</v>
      </c>
      <c r="BW369" s="4">
        <f>IF(AND(Base[[#This Row],[Pathologie]]&lt;&gt;"Dépendance",Base[[#This Row],[Pathologie]]&lt;&gt;"Mort prématurée",Base[[#This Row],[Pathologie]]&lt;&gt;"Migraine"),0.0619,0)</f>
        <v>6.1899999999999997E-2</v>
      </c>
      <c r="BX369" s="4">
        <v>254</v>
      </c>
      <c r="BY36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69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69" s="4">
        <f>Base[[#This Row],[Prévalence_prod]]*Base[[#This Row],[Présentéisme]]*Base[[#This Row],['[Prod']Jours_ouvrés]]</f>
        <v>2.8438856000000001</v>
      </c>
      <c r="CB369" s="4">
        <f>Base[[#This Row],[Prévalence_prod]]*(1-Base[[#This Row],[Risque]])*Base[[#This Row],[Présentéisme]]*Base[[#This Row],['[Prod']Jours_ouvrés]]</f>
        <v>1.7796972171204886</v>
      </c>
      <c r="CC369" s="4">
        <f>Base[[#This Row],['[Prod']'[Présentéisme']Jours_avant]]-Base[[#This Row],['[Prod']'[Présentéisme']Jours_après]]</f>
        <v>1.0641883828795116</v>
      </c>
      <c r="CD369" s="4">
        <f>Base[[#This Row],['[Prod']'[Présentéisme']Jours_gagnés]]/Base[[#This Row],['[Prod']Jours_ouvrés]]</f>
        <v>4.1897180428327229E-3</v>
      </c>
      <c r="CE369">
        <v>7.5880726467531134E-2</v>
      </c>
      <c r="CF369">
        <v>1.989821358241517E-2</v>
      </c>
      <c r="CG369" s="4">
        <v>11</v>
      </c>
      <c r="CH369" s="4">
        <v>1.1624525375985588</v>
      </c>
      <c r="CI369" s="4">
        <v>3.7953151649308701E-2</v>
      </c>
      <c r="CJ369" s="4">
        <f>IF(Base[[#This Row],[Secteur]]&lt;&gt;"Moyenne",Base[[#This Row],['[Prod']'[Turnover']DMC_initiale]]*(1+Base[[#This Row],['[Prod']'[Turnover']Ecart_accidents]]*Base[[#This Row],['[Prod']Impact_motifs_turnover]]),CJ352*CI352+CJ353*CI353+CJ354*CI354+CJ355*CI355+CJ356*CI356+CJ357*CI357+CJ358*CI358+CJ359*CI359+CJ360*CI360+CJ361*CI361+CJ362*CI362+CJ363*CI363+CJ364*CI364+CJ365*CI365+CJ366*CI366+CJ367*CI367+CJ368*CI368)</f>
        <v>11.254438017598122</v>
      </c>
      <c r="CK369" s="4">
        <f>1/Base[[#This Row],['[Prod']'[Turnover']DMC_initiale]]</f>
        <v>9.0909090909090912E-2</v>
      </c>
      <c r="CL369" s="4">
        <f>1/Base[[#This Row],['[Prod']'[Turnover']DMC_finale]]</f>
        <v>8.885383689850522E-2</v>
      </c>
    </row>
    <row r="370" spans="2:90" x14ac:dyDescent="0.25">
      <c r="B370" s="4" t="s">
        <v>326</v>
      </c>
      <c r="C370">
        <v>15</v>
      </c>
      <c r="D370" t="s">
        <v>83</v>
      </c>
      <c r="E370" t="s">
        <v>7</v>
      </c>
      <c r="F370" s="3">
        <v>0.37420224740387292</v>
      </c>
      <c r="G370" s="3">
        <v>0.1217</v>
      </c>
      <c r="H370" s="3">
        <v>0.1217</v>
      </c>
      <c r="I370" s="3">
        <v>9.1999999999999998E-2</v>
      </c>
      <c r="J370" s="3">
        <v>7.27956</v>
      </c>
      <c r="K370" s="3">
        <v>7.0000000000000007E-2</v>
      </c>
      <c r="L370" s="2">
        <f>Base[[#This Row],[Coût]]*Base[[#This Row],[Part_ménages_dépenses_santé]]</f>
        <v>0.50956920000000006</v>
      </c>
      <c r="M370" s="2">
        <v>1</v>
      </c>
      <c r="N370" s="6">
        <v>27700000</v>
      </c>
      <c r="O370" s="7">
        <f>Base[[#This Row],[Coût_salarié]]*10^9*Base[[#This Row],[Risque]]*Base[[#This Row],[Prévalence]]*Base[[#This Row],[Part_coûts_salarié]]/Base[[#This Row],[Population_emploi]]</f>
        <v>0.83776144691250853</v>
      </c>
      <c r="P370">
        <v>50</v>
      </c>
      <c r="Q370">
        <v>50</v>
      </c>
      <c r="R370" s="2">
        <v>9.9999999999999978E-2</v>
      </c>
      <c r="S370" s="2">
        <v>0.33340000000000003</v>
      </c>
      <c r="T370" s="4">
        <v>0.1217</v>
      </c>
      <c r="U370" s="4">
        <f>IF(Bases_annexes!$F$5=0,16.6587111018772,0.77*Bases_annexes!$F$5/(IF(OR(ISBLANK('Données_d''entrée'!$E$44),'Données_d''entrée'!$E$44=0),35,'Données_d''entrée'!$E$44)*52))</f>
        <v>16.658711101877199</v>
      </c>
      <c r="V370" s="4">
        <v>21.5</v>
      </c>
      <c r="W3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0" s="4">
        <v>234.5</v>
      </c>
      <c r="Y370" s="4">
        <f>(Base[[#This Row],['[Maladies']Coûts_évités_par_salarié]]+Base[[#This Row],['[Travail']Coûts_évités_par_salarié]])/Base[[#This Row],[Budget_santé_salarié]]</f>
        <v>0.11340616353499251</v>
      </c>
      <c r="Z370" s="4">
        <v>0.8</v>
      </c>
      <c r="AA370" s="4">
        <f>Base[[#This Row],[Coût]]*Base[[#This Row],[Part_société_dépenses_santé]]</f>
        <v>5.8236480000000004</v>
      </c>
      <c r="AB370" s="4">
        <v>67635124</v>
      </c>
      <c r="AC370" s="4">
        <v>82.297079063317852</v>
      </c>
      <c r="AD370" s="4">
        <v>0.1217</v>
      </c>
      <c r="AE370" s="4">
        <f>Base[[#This Row],['[SC']Prévalence_travail]]*Base[[#This Row],[Population_emploi]]</f>
        <v>3371090</v>
      </c>
      <c r="AF370" s="4">
        <f>Base[[#This Row],[Risque]]*Base[[#This Row],['[SC']Patients_en_emploi]]</f>
        <v>1261469.454200722</v>
      </c>
      <c r="AG370" s="4">
        <v>0</v>
      </c>
      <c r="AH370" s="4">
        <f>IFERROR(Base[[#This Row],['[SC']Prestations]]/Base[[#This Row],['[SC']Patients_en_emploi]],0)</f>
        <v>0</v>
      </c>
      <c r="AI370" s="4">
        <v>51.7</v>
      </c>
      <c r="AJ3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0" s="4">
        <f>Base[[#This Row],['[SC']'[Travail']Coûts_évités]]/Base[[#This Row],[Population_emploi]]</f>
        <v>43.557128500732155</v>
      </c>
      <c r="AL370" s="4">
        <f>Base[[#This Row],[Coût_société]]*10^9*Base[[#This Row],[Risque]]*Base[[#This Row],[Prévalence]]*Base[[#This Row],[Part_coûts_salarié]]/Base[[#This Row],[Population_emploi]]</f>
        <v>9.5744165361429534</v>
      </c>
      <c r="AM370" s="4">
        <f>IF(Base[[#This Row],[Pathologie]]&lt;&gt;"Dépendance",0,14909.24243952)</f>
        <v>0</v>
      </c>
      <c r="AN370" s="4">
        <f>IF(Base[[#This Row],[Pathologie]]&lt;&gt;"Dépendance",0,1316000)</f>
        <v>0</v>
      </c>
      <c r="AO370" s="4">
        <f>IF(Base[[#This Row],[Pathologie]]&lt;&gt;"Dépendance",0,Base[[#This Row],['[SC']Coût_personne_dépendante]]*Base[[#This Row],['[SC']Nb_personnes_dépendantes]])</f>
        <v>0</v>
      </c>
      <c r="AP370" s="4">
        <f>IF(Base[[#This Row],[Pathologie]]&lt;&gt;"Dépendance",0,Base[[#This Row],['[SC']Coût_total_dépendance]]/Base[[#This Row],[Population_totale]])</f>
        <v>0</v>
      </c>
      <c r="AQ370" s="4">
        <f>IF(Base[[#This Row],[Pathologie]]&lt;&gt;"Dépendance",0,4.5)</f>
        <v>0</v>
      </c>
      <c r="AR370" s="4">
        <v>0.83987615528424797</v>
      </c>
      <c r="AS370" s="4">
        <f>Base[[#This Row],[Espérance_vie]]+Base[[#This Row],['[SC']Hausse_esp_de_vie]]-Base[[#This Row],['[SC']Durée_moyenne_dépendance_avt]]+Base[[#This Row],[Risque]]</f>
        <v>83.511157466005969</v>
      </c>
      <c r="AT3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0" s="4">
        <v>62.9</v>
      </c>
      <c r="AW370" s="4">
        <f t="shared" si="6"/>
        <v>336905600000</v>
      </c>
      <c r="AX370" s="4">
        <v>15049171</v>
      </c>
      <c r="AY370" s="4">
        <f>Base[[#This Row],['[SC']Budget_total_retraites]]/Base[[#This Row],['[SC']Nombre_de_retraités]]</f>
        <v>22386.987296509556</v>
      </c>
      <c r="AZ370" s="4">
        <f>Base[[#This Row],['[SC']Budget_par_retraité]]*Base[[#This Row],['[SC']Nb_personnes_dépendantes]]</f>
        <v>0</v>
      </c>
      <c r="BA370" s="4">
        <f>Base[[#This Row],['[SC']'[Dépendance']Coût_retraite_personnes_dépendantes]]/Base[[#This Row],[Population_totale]]</f>
        <v>0</v>
      </c>
      <c r="BB3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0" s="4">
        <f>Base[[#This Row],['[SC']'[Dépendance']Gains]]-Base[[#This Row],['[SC']'[Dépendance']Coûts]]</f>
        <v>0</v>
      </c>
      <c r="BD370" s="4">
        <f>IF(Base[[#This Row],[Pathologie]]&lt;&gt;"Mort prématurée",0,Base[[#This Row],[Risque]]*Base[[#This Row],[Prévalence]]*Base[[#This Row],[Population_totale]])</f>
        <v>0</v>
      </c>
      <c r="BE370" s="4">
        <v>52.74</v>
      </c>
      <c r="BF370" s="4">
        <f>Base[[#This Row],['[SC']Âge_moyen_retraite]]-Base[[#This Row],['[SC']'[Mort_prématurée']Âge_moyen_mort précoce]]</f>
        <v>10.159999999999997</v>
      </c>
      <c r="BG370" s="4">
        <f>Base[[#This Row],[Espérance_vie]]+Base[[#This Row],['[SC']Hausse_esp_de_vie]]-Base[[#This Row],['[SC']Âge_moyen_retraite]]</f>
        <v>20.236955218602098</v>
      </c>
      <c r="BH370" s="4">
        <v>106583.42676924677</v>
      </c>
      <c r="BI370" s="4">
        <v>97601.789429271477</v>
      </c>
      <c r="BJ370" s="4">
        <v>302038.31496633729</v>
      </c>
      <c r="BK370" s="4">
        <v>117293.58934859755</v>
      </c>
      <c r="BL370" s="4">
        <v>1523999.9999999995</v>
      </c>
      <c r="BM3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0" s="4">
        <v>294804.96027377353</v>
      </c>
      <c r="BO3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0" s="4">
        <f>(Base[[#This Row],['[SC']'[Mort_prématurée']Gains]]-Base[[#This Row],['[SC']'[Mort_prématurée']Coûts]])/Base[[#This Row],[Population_totale]]</f>
        <v>0</v>
      </c>
      <c r="BQ370" s="4">
        <f>IF(Base[[#This Row],[Pathologie]]&lt;&gt;"Mort prématurée",0,Base[[#This Row],[Risque]])</f>
        <v>0</v>
      </c>
      <c r="BR370" s="4">
        <v>2680</v>
      </c>
      <c r="BS3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0" s="4">
        <f>Base[[#This Row],[Prévalence_prod]]*(1-Base[[#This Row],[Risque]])*Base[[#This Row],[Durée_arrêt]]*Base[[#This Row],[Population_emploi]]</f>
        <v>45356841.734684482</v>
      </c>
      <c r="BV370" s="4">
        <f>Base[[#This Row],['[Prod']'[Absentéisme']Total_jours_absence_avant]]-Base[[#This Row],['[Prod']'[Absentéisme']Total_jours_absence_après]]</f>
        <v>27121593.265315518</v>
      </c>
      <c r="BW370" s="4">
        <f>IF(AND(Base[[#This Row],[Pathologie]]&lt;&gt;"Dépendance",Base[[#This Row],[Pathologie]]&lt;&gt;"Mort prématurée",Base[[#This Row],[Pathologie]]&lt;&gt;"Migraine"),0.0619,0)</f>
        <v>6.1899999999999997E-2</v>
      </c>
      <c r="BX370" s="4">
        <v>254</v>
      </c>
      <c r="BY37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0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0" s="4">
        <f>Base[[#This Row],[Prévalence_prod]]*Base[[#This Row],[Présentéisme]]*Base[[#This Row],['[Prod']Jours_ouvrés]]</f>
        <v>2.8438856000000001</v>
      </c>
      <c r="CB370" s="4">
        <f>Base[[#This Row],[Prévalence_prod]]*(1-Base[[#This Row],[Risque]])*Base[[#This Row],[Présentéisme]]*Base[[#This Row],['[Prod']Jours_ouvrés]]</f>
        <v>1.7796972171204886</v>
      </c>
      <c r="CC370" s="4">
        <f>Base[[#This Row],['[Prod']'[Présentéisme']Jours_avant]]-Base[[#This Row],['[Prod']'[Présentéisme']Jours_après]]</f>
        <v>1.0641883828795116</v>
      </c>
      <c r="CD370" s="4">
        <f>Base[[#This Row],['[Prod']'[Présentéisme']Jours_gagnés]]/Base[[#This Row],['[Prod']Jours_ouvrés]]</f>
        <v>4.1897180428327229E-3</v>
      </c>
      <c r="CE370">
        <v>7.5880726467531134E-2</v>
      </c>
      <c r="CF370">
        <v>1.989821358241517E-2</v>
      </c>
      <c r="CG370" s="4">
        <v>11</v>
      </c>
      <c r="CH370" s="4">
        <v>0.19346787829229528</v>
      </c>
      <c r="CI370" s="4">
        <v>2.8126549817953091E-2</v>
      </c>
      <c r="CJ370" s="4">
        <f>IF(Base[[#This Row],[Secteur]]&lt;&gt;"Moyenne",Base[[#This Row],['[Prod']'[Turnover']DMC_initiale]]*(1+Base[[#This Row],['[Prod']'[Turnover']Ecart_accidents]]*Base[[#This Row],['[Prod']Impact_motifs_turnover]]),CJ353*CI353+CJ354*CI354+CJ355*CI355+CJ356*CI356+CJ357*CI357+CJ358*CI358+CJ359*CI359+CJ360*CI360+CJ361*CI361+CJ362*CI362+CJ363*CI363+CJ364*CI364+CJ365*CI365+CJ366*CI366+CJ367*CI367+CJ368*CI368+CJ369*CI369)</f>
        <v>11.042346316799566</v>
      </c>
      <c r="CK370" s="4">
        <f>1/Base[[#This Row],['[Prod']'[Turnover']DMC_initiale]]</f>
        <v>9.0909090909090912E-2</v>
      </c>
      <c r="CL370" s="4">
        <f>1/Base[[#This Row],['[Prod']'[Turnover']DMC_finale]]</f>
        <v>9.0560463447756881E-2</v>
      </c>
    </row>
    <row r="371" spans="2:90" x14ac:dyDescent="0.25">
      <c r="B371" s="4" t="s">
        <v>327</v>
      </c>
      <c r="C371">
        <v>15</v>
      </c>
      <c r="D371" t="s">
        <v>83</v>
      </c>
      <c r="E371" t="s">
        <v>7</v>
      </c>
      <c r="F371" s="3">
        <v>0.37420224740387292</v>
      </c>
      <c r="G371" s="3">
        <v>0.1217</v>
      </c>
      <c r="H371" s="3">
        <v>0.1217</v>
      </c>
      <c r="I371" s="3">
        <v>9.1999999999999998E-2</v>
      </c>
      <c r="J371" s="3">
        <v>7.27956</v>
      </c>
      <c r="K371" s="3">
        <v>7.0000000000000007E-2</v>
      </c>
      <c r="L371" s="2">
        <f>Base[[#This Row],[Coût]]*Base[[#This Row],[Part_ménages_dépenses_santé]]</f>
        <v>0.50956920000000006</v>
      </c>
      <c r="M371" s="2">
        <v>1</v>
      </c>
      <c r="N371" s="6">
        <v>27700000</v>
      </c>
      <c r="O371" s="7">
        <f>Base[[#This Row],[Coût_salarié]]*10^9*Base[[#This Row],[Risque]]*Base[[#This Row],[Prévalence]]*Base[[#This Row],[Part_coûts_salarié]]/Base[[#This Row],[Population_emploi]]</f>
        <v>0.83776144691250853</v>
      </c>
      <c r="P371">
        <v>50</v>
      </c>
      <c r="Q371">
        <v>50</v>
      </c>
      <c r="R371" s="2">
        <v>9.9999999999999978E-2</v>
      </c>
      <c r="S371" s="2">
        <v>0.33340000000000003</v>
      </c>
      <c r="T371" s="4">
        <v>0.1217</v>
      </c>
      <c r="U371" s="4">
        <f>IF(Bases_annexes!$F$5=0,16.6587111018772,0.77*Bases_annexes!$F$5/(IF(OR(ISBLANK('Données_d''entrée'!$E$44),'Données_d''entrée'!$E$44=0),35,'Données_d''entrée'!$E$44)*52))</f>
        <v>16.658711101877199</v>
      </c>
      <c r="V371" s="4">
        <v>21.5</v>
      </c>
      <c r="W3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1" s="4">
        <v>234.5</v>
      </c>
      <c r="Y371" s="4">
        <f>(Base[[#This Row],['[Maladies']Coûts_évités_par_salarié]]+Base[[#This Row],['[Travail']Coûts_évités_par_salarié]])/Base[[#This Row],[Budget_santé_salarié]]</f>
        <v>0.11340616353499251</v>
      </c>
      <c r="Z371" s="4">
        <v>0.8</v>
      </c>
      <c r="AA371" s="4">
        <f>Base[[#This Row],[Coût]]*Base[[#This Row],[Part_société_dépenses_santé]]</f>
        <v>5.8236480000000004</v>
      </c>
      <c r="AB371" s="4">
        <v>67635124</v>
      </c>
      <c r="AC371" s="4">
        <v>82.297079063317852</v>
      </c>
      <c r="AD371" s="4">
        <v>0.1217</v>
      </c>
      <c r="AE371" s="4">
        <f>Base[[#This Row],['[SC']Prévalence_travail]]*Base[[#This Row],[Population_emploi]]</f>
        <v>3371090</v>
      </c>
      <c r="AF371" s="4">
        <f>Base[[#This Row],[Risque]]*Base[[#This Row],['[SC']Patients_en_emploi]]</f>
        <v>1261469.454200722</v>
      </c>
      <c r="AG371" s="4">
        <v>0</v>
      </c>
      <c r="AH371" s="4">
        <f>IFERROR(Base[[#This Row],['[SC']Prestations]]/Base[[#This Row],['[SC']Patients_en_emploi]],0)</f>
        <v>0</v>
      </c>
      <c r="AI371" s="4">
        <v>51.7</v>
      </c>
      <c r="AJ3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1" s="4">
        <f>Base[[#This Row],['[SC']'[Travail']Coûts_évités]]/Base[[#This Row],[Population_emploi]]</f>
        <v>43.557128500732155</v>
      </c>
      <c r="AL371" s="4">
        <f>Base[[#This Row],[Coût_société]]*10^9*Base[[#This Row],[Risque]]*Base[[#This Row],[Prévalence]]*Base[[#This Row],[Part_coûts_salarié]]/Base[[#This Row],[Population_emploi]]</f>
        <v>9.5744165361429534</v>
      </c>
      <c r="AM371" s="4">
        <f>IF(Base[[#This Row],[Pathologie]]&lt;&gt;"Dépendance",0,14909.24243952)</f>
        <v>0</v>
      </c>
      <c r="AN371" s="4">
        <f>IF(Base[[#This Row],[Pathologie]]&lt;&gt;"Dépendance",0,1316000)</f>
        <v>0</v>
      </c>
      <c r="AO371" s="4">
        <f>IF(Base[[#This Row],[Pathologie]]&lt;&gt;"Dépendance",0,Base[[#This Row],['[SC']Coût_personne_dépendante]]*Base[[#This Row],['[SC']Nb_personnes_dépendantes]])</f>
        <v>0</v>
      </c>
      <c r="AP371" s="4">
        <f>IF(Base[[#This Row],[Pathologie]]&lt;&gt;"Dépendance",0,Base[[#This Row],['[SC']Coût_total_dépendance]]/Base[[#This Row],[Population_totale]])</f>
        <v>0</v>
      </c>
      <c r="AQ371" s="4">
        <f>IF(Base[[#This Row],[Pathologie]]&lt;&gt;"Dépendance",0,4.5)</f>
        <v>0</v>
      </c>
      <c r="AR371" s="4">
        <v>0.83987615528424797</v>
      </c>
      <c r="AS371" s="4">
        <f>Base[[#This Row],[Espérance_vie]]+Base[[#This Row],['[SC']Hausse_esp_de_vie]]-Base[[#This Row],['[SC']Durée_moyenne_dépendance_avt]]+Base[[#This Row],[Risque]]</f>
        <v>83.511157466005969</v>
      </c>
      <c r="AT3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1" s="4">
        <v>62.9</v>
      </c>
      <c r="AW371" s="4">
        <f t="shared" si="6"/>
        <v>336905600000</v>
      </c>
      <c r="AX371" s="4">
        <v>15049171</v>
      </c>
      <c r="AY371" s="4">
        <f>Base[[#This Row],['[SC']Budget_total_retraites]]/Base[[#This Row],['[SC']Nombre_de_retraités]]</f>
        <v>22386.987296509556</v>
      </c>
      <c r="AZ371" s="4">
        <f>Base[[#This Row],['[SC']Budget_par_retraité]]*Base[[#This Row],['[SC']Nb_personnes_dépendantes]]</f>
        <v>0</v>
      </c>
      <c r="BA371" s="4">
        <f>Base[[#This Row],['[SC']'[Dépendance']Coût_retraite_personnes_dépendantes]]/Base[[#This Row],[Population_totale]]</f>
        <v>0</v>
      </c>
      <c r="BB3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1" s="4">
        <f>Base[[#This Row],['[SC']'[Dépendance']Gains]]-Base[[#This Row],['[SC']'[Dépendance']Coûts]]</f>
        <v>0</v>
      </c>
      <c r="BD371" s="4">
        <f>IF(Base[[#This Row],[Pathologie]]&lt;&gt;"Mort prématurée",0,Base[[#This Row],[Risque]]*Base[[#This Row],[Prévalence]]*Base[[#This Row],[Population_totale]])</f>
        <v>0</v>
      </c>
      <c r="BE371" s="4">
        <v>52.74</v>
      </c>
      <c r="BF371" s="4">
        <f>Base[[#This Row],['[SC']Âge_moyen_retraite]]-Base[[#This Row],['[SC']'[Mort_prématurée']Âge_moyen_mort précoce]]</f>
        <v>10.159999999999997</v>
      </c>
      <c r="BG371" s="4">
        <f>Base[[#This Row],[Espérance_vie]]+Base[[#This Row],['[SC']Hausse_esp_de_vie]]-Base[[#This Row],['[SC']Âge_moyen_retraite]]</f>
        <v>20.236955218602098</v>
      </c>
      <c r="BH371" s="4">
        <v>106583.42676924677</v>
      </c>
      <c r="BI371" s="4">
        <v>97601.789429271477</v>
      </c>
      <c r="BJ371" s="4">
        <v>302038.31496633729</v>
      </c>
      <c r="BK371" s="4">
        <v>117293.58934859755</v>
      </c>
      <c r="BL371" s="4">
        <v>1523999.9999999995</v>
      </c>
      <c r="BM3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1" s="4">
        <v>294804.96027377353</v>
      </c>
      <c r="BO3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1" s="4">
        <f>(Base[[#This Row],['[SC']'[Mort_prématurée']Gains]]-Base[[#This Row],['[SC']'[Mort_prématurée']Coûts]])/Base[[#This Row],[Population_totale]]</f>
        <v>0</v>
      </c>
      <c r="BQ371" s="4">
        <f>IF(Base[[#This Row],[Pathologie]]&lt;&gt;"Mort prématurée",0,Base[[#This Row],[Risque]])</f>
        <v>0</v>
      </c>
      <c r="BR371" s="4">
        <v>2680</v>
      </c>
      <c r="BS3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1" s="4">
        <f>Base[[#This Row],[Prévalence_prod]]*(1-Base[[#This Row],[Risque]])*Base[[#This Row],[Durée_arrêt]]*Base[[#This Row],[Population_emploi]]</f>
        <v>45356841.734684482</v>
      </c>
      <c r="BV371" s="4">
        <f>Base[[#This Row],['[Prod']'[Absentéisme']Total_jours_absence_avant]]-Base[[#This Row],['[Prod']'[Absentéisme']Total_jours_absence_après]]</f>
        <v>27121593.265315518</v>
      </c>
      <c r="BW371" s="4">
        <f>IF(AND(Base[[#This Row],[Pathologie]]&lt;&gt;"Dépendance",Base[[#This Row],[Pathologie]]&lt;&gt;"Mort prématurée",Base[[#This Row],[Pathologie]]&lt;&gt;"Migraine"),0.0619,0)</f>
        <v>6.1899999999999997E-2</v>
      </c>
      <c r="BX371" s="4">
        <v>254</v>
      </c>
      <c r="BY371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1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1" s="4">
        <f>Base[[#This Row],[Prévalence_prod]]*Base[[#This Row],[Présentéisme]]*Base[[#This Row],['[Prod']Jours_ouvrés]]</f>
        <v>2.8438856000000001</v>
      </c>
      <c r="CB371" s="4">
        <f>Base[[#This Row],[Prévalence_prod]]*(1-Base[[#This Row],[Risque]])*Base[[#This Row],[Présentéisme]]*Base[[#This Row],['[Prod']Jours_ouvrés]]</f>
        <v>1.7796972171204886</v>
      </c>
      <c r="CC371" s="4">
        <f>Base[[#This Row],['[Prod']'[Présentéisme']Jours_avant]]-Base[[#This Row],['[Prod']'[Présentéisme']Jours_après]]</f>
        <v>1.0641883828795116</v>
      </c>
      <c r="CD371" s="4">
        <f>Base[[#This Row],['[Prod']'[Présentéisme']Jours_gagnés]]/Base[[#This Row],['[Prod']Jours_ouvrés]]</f>
        <v>4.1897180428327229E-3</v>
      </c>
      <c r="CE371">
        <v>7.5880726467531134E-2</v>
      </c>
      <c r="CF371">
        <v>1.989821358241517E-2</v>
      </c>
      <c r="CG371" s="4">
        <v>11</v>
      </c>
      <c r="CH371" s="4">
        <v>0.13729577077682142</v>
      </c>
      <c r="CI371" s="4">
        <v>1.373516710817578E-2</v>
      </c>
      <c r="CJ371" s="4">
        <f>IF(Base[[#This Row],[Secteur]]&lt;&gt;"Moyenne",Base[[#This Row],['[Prod']'[Turnover']DMC_initiale]]*(1+Base[[#This Row],['[Prod']'[Turnover']Ecart_accidents]]*Base[[#This Row],['[Prod']Impact_motifs_turnover]]),CJ354*CI354+CJ355*CI355+CJ356*CI356+CJ357*CI357+CJ358*CI358+CJ359*CI359+CJ360*CI360+CJ361*CI361+CJ362*CI362+CJ363*CI363+CJ364*CI364+CJ365*CI365+CJ366*CI366+CJ367*CI367+CJ368*CI368+CJ369*CI369+CJ370*CI370)</f>
        <v>11.030051346279674</v>
      </c>
      <c r="CK371" s="4">
        <f>1/Base[[#This Row],['[Prod']'[Turnover']DMC_initiale]]</f>
        <v>9.0909090909090912E-2</v>
      </c>
      <c r="CL371" s="4">
        <f>1/Base[[#This Row],['[Prod']'[Turnover']DMC_finale]]</f>
        <v>9.0661409326738093E-2</v>
      </c>
    </row>
    <row r="372" spans="2:90" x14ac:dyDescent="0.25">
      <c r="B372" s="4" t="s">
        <v>328</v>
      </c>
      <c r="C372">
        <v>15</v>
      </c>
      <c r="D372" t="s">
        <v>83</v>
      </c>
      <c r="E372" t="s">
        <v>7</v>
      </c>
      <c r="F372" s="3">
        <v>0.37420224740387292</v>
      </c>
      <c r="G372" s="3">
        <v>0.1217</v>
      </c>
      <c r="H372" s="3">
        <v>0.1217</v>
      </c>
      <c r="I372" s="3">
        <v>9.1999999999999998E-2</v>
      </c>
      <c r="J372" s="3">
        <v>7.27956</v>
      </c>
      <c r="K372" s="3">
        <v>7.0000000000000007E-2</v>
      </c>
      <c r="L372" s="2">
        <f>Base[[#This Row],[Coût]]*Base[[#This Row],[Part_ménages_dépenses_santé]]</f>
        <v>0.50956920000000006</v>
      </c>
      <c r="M372" s="2">
        <v>1</v>
      </c>
      <c r="N372" s="6">
        <v>27700000</v>
      </c>
      <c r="O372" s="7">
        <f>Base[[#This Row],[Coût_salarié]]*10^9*Base[[#This Row],[Risque]]*Base[[#This Row],[Prévalence]]*Base[[#This Row],[Part_coûts_salarié]]/Base[[#This Row],[Population_emploi]]</f>
        <v>0.83776144691250853</v>
      </c>
      <c r="P372">
        <v>50</v>
      </c>
      <c r="Q372">
        <v>50</v>
      </c>
      <c r="R372" s="2">
        <v>9.9999999999999978E-2</v>
      </c>
      <c r="S372" s="2">
        <v>0.33340000000000003</v>
      </c>
      <c r="T372" s="4">
        <v>0.1217</v>
      </c>
      <c r="U372" s="4">
        <f>IF(Bases_annexes!$F$5=0,16.6587111018772,0.77*Bases_annexes!$F$5/(IF(OR(ISBLANK('Données_d''entrée'!$E$44),'Données_d''entrée'!$E$44=0),35,'Données_d''entrée'!$E$44)*52))</f>
        <v>16.658711101877199</v>
      </c>
      <c r="V372" s="4">
        <v>21.5</v>
      </c>
      <c r="W3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2" s="4">
        <v>234.5</v>
      </c>
      <c r="Y372" s="4">
        <f>(Base[[#This Row],['[Maladies']Coûts_évités_par_salarié]]+Base[[#This Row],['[Travail']Coûts_évités_par_salarié]])/Base[[#This Row],[Budget_santé_salarié]]</f>
        <v>0.11340616353499251</v>
      </c>
      <c r="Z372" s="4">
        <v>0.8</v>
      </c>
      <c r="AA372" s="4">
        <f>Base[[#This Row],[Coût]]*Base[[#This Row],[Part_société_dépenses_santé]]</f>
        <v>5.8236480000000004</v>
      </c>
      <c r="AB372" s="4">
        <v>67635124</v>
      </c>
      <c r="AC372" s="4">
        <v>82.297079063317852</v>
      </c>
      <c r="AD372" s="4">
        <v>0.1217</v>
      </c>
      <c r="AE372" s="4">
        <f>Base[[#This Row],['[SC']Prévalence_travail]]*Base[[#This Row],[Population_emploi]]</f>
        <v>3371090</v>
      </c>
      <c r="AF372" s="4">
        <f>Base[[#This Row],[Risque]]*Base[[#This Row],['[SC']Patients_en_emploi]]</f>
        <v>1261469.454200722</v>
      </c>
      <c r="AG372" s="4">
        <v>0</v>
      </c>
      <c r="AH372" s="4">
        <f>IFERROR(Base[[#This Row],['[SC']Prestations]]/Base[[#This Row],['[SC']Patients_en_emploi]],0)</f>
        <v>0</v>
      </c>
      <c r="AI372" s="4">
        <v>51.7</v>
      </c>
      <c r="AJ3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2" s="4">
        <f>Base[[#This Row],['[SC']'[Travail']Coûts_évités]]/Base[[#This Row],[Population_emploi]]</f>
        <v>43.557128500732155</v>
      </c>
      <c r="AL372" s="4">
        <f>Base[[#This Row],[Coût_société]]*10^9*Base[[#This Row],[Risque]]*Base[[#This Row],[Prévalence]]*Base[[#This Row],[Part_coûts_salarié]]/Base[[#This Row],[Population_emploi]]</f>
        <v>9.5744165361429534</v>
      </c>
      <c r="AM372" s="4">
        <f>IF(Base[[#This Row],[Pathologie]]&lt;&gt;"Dépendance",0,14909.24243952)</f>
        <v>0</v>
      </c>
      <c r="AN372" s="4">
        <f>IF(Base[[#This Row],[Pathologie]]&lt;&gt;"Dépendance",0,1316000)</f>
        <v>0</v>
      </c>
      <c r="AO372" s="4">
        <f>IF(Base[[#This Row],[Pathologie]]&lt;&gt;"Dépendance",0,Base[[#This Row],['[SC']Coût_personne_dépendante]]*Base[[#This Row],['[SC']Nb_personnes_dépendantes]])</f>
        <v>0</v>
      </c>
      <c r="AP372" s="4">
        <f>IF(Base[[#This Row],[Pathologie]]&lt;&gt;"Dépendance",0,Base[[#This Row],['[SC']Coût_total_dépendance]]/Base[[#This Row],[Population_totale]])</f>
        <v>0</v>
      </c>
      <c r="AQ372" s="4">
        <f>IF(Base[[#This Row],[Pathologie]]&lt;&gt;"Dépendance",0,4.5)</f>
        <v>0</v>
      </c>
      <c r="AR372" s="4">
        <v>0.83987615528424797</v>
      </c>
      <c r="AS372" s="4">
        <f>Base[[#This Row],[Espérance_vie]]+Base[[#This Row],['[SC']Hausse_esp_de_vie]]-Base[[#This Row],['[SC']Durée_moyenne_dépendance_avt]]+Base[[#This Row],[Risque]]</f>
        <v>83.511157466005969</v>
      </c>
      <c r="AT3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2" s="4">
        <v>62.9</v>
      </c>
      <c r="AW372" s="4">
        <f t="shared" si="6"/>
        <v>336905600000</v>
      </c>
      <c r="AX372" s="4">
        <v>15049171</v>
      </c>
      <c r="AY372" s="4">
        <f>Base[[#This Row],['[SC']Budget_total_retraites]]/Base[[#This Row],['[SC']Nombre_de_retraités]]</f>
        <v>22386.987296509556</v>
      </c>
      <c r="AZ372" s="4">
        <f>Base[[#This Row],['[SC']Budget_par_retraité]]*Base[[#This Row],['[SC']Nb_personnes_dépendantes]]</f>
        <v>0</v>
      </c>
      <c r="BA372" s="4">
        <f>Base[[#This Row],['[SC']'[Dépendance']Coût_retraite_personnes_dépendantes]]/Base[[#This Row],[Population_totale]]</f>
        <v>0</v>
      </c>
      <c r="BB3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2" s="4">
        <f>Base[[#This Row],['[SC']'[Dépendance']Gains]]-Base[[#This Row],['[SC']'[Dépendance']Coûts]]</f>
        <v>0</v>
      </c>
      <c r="BD372" s="4">
        <f>IF(Base[[#This Row],[Pathologie]]&lt;&gt;"Mort prématurée",0,Base[[#This Row],[Risque]]*Base[[#This Row],[Prévalence]]*Base[[#This Row],[Population_totale]])</f>
        <v>0</v>
      </c>
      <c r="BE372" s="4">
        <v>52.74</v>
      </c>
      <c r="BF372" s="4">
        <f>Base[[#This Row],['[SC']Âge_moyen_retraite]]-Base[[#This Row],['[SC']'[Mort_prématurée']Âge_moyen_mort précoce]]</f>
        <v>10.159999999999997</v>
      </c>
      <c r="BG372" s="4">
        <f>Base[[#This Row],[Espérance_vie]]+Base[[#This Row],['[SC']Hausse_esp_de_vie]]-Base[[#This Row],['[SC']Âge_moyen_retraite]]</f>
        <v>20.236955218602098</v>
      </c>
      <c r="BH372" s="4">
        <v>106583.42676924677</v>
      </c>
      <c r="BI372" s="4">
        <v>97601.789429271477</v>
      </c>
      <c r="BJ372" s="4">
        <v>302038.31496633729</v>
      </c>
      <c r="BK372" s="4">
        <v>117293.58934859755</v>
      </c>
      <c r="BL372" s="4">
        <v>1523999.9999999995</v>
      </c>
      <c r="BM3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2" s="4">
        <v>294804.96027377353</v>
      </c>
      <c r="BO3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2" s="4">
        <f>(Base[[#This Row],['[SC']'[Mort_prématurée']Gains]]-Base[[#This Row],['[SC']'[Mort_prématurée']Coûts]])/Base[[#This Row],[Population_totale]]</f>
        <v>0</v>
      </c>
      <c r="BQ372" s="4">
        <f>IF(Base[[#This Row],[Pathologie]]&lt;&gt;"Mort prématurée",0,Base[[#This Row],[Risque]])</f>
        <v>0</v>
      </c>
      <c r="BR372" s="4">
        <v>2680</v>
      </c>
      <c r="BS3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2" s="4">
        <f>Base[[#This Row],[Prévalence_prod]]*(1-Base[[#This Row],[Risque]])*Base[[#This Row],[Durée_arrêt]]*Base[[#This Row],[Population_emploi]]</f>
        <v>45356841.734684482</v>
      </c>
      <c r="BV372" s="4">
        <f>Base[[#This Row],['[Prod']'[Absentéisme']Total_jours_absence_avant]]-Base[[#This Row],['[Prod']'[Absentéisme']Total_jours_absence_après]]</f>
        <v>27121593.265315518</v>
      </c>
      <c r="BW372" s="4">
        <f>IF(AND(Base[[#This Row],[Pathologie]]&lt;&gt;"Dépendance",Base[[#This Row],[Pathologie]]&lt;&gt;"Mort prématurée",Base[[#This Row],[Pathologie]]&lt;&gt;"Migraine"),0.0619,0)</f>
        <v>6.1899999999999997E-2</v>
      </c>
      <c r="BX372" s="4">
        <v>254</v>
      </c>
      <c r="BY372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2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2" s="4">
        <f>Base[[#This Row],[Prévalence_prod]]*Base[[#This Row],[Présentéisme]]*Base[[#This Row],['[Prod']Jours_ouvrés]]</f>
        <v>2.8438856000000001</v>
      </c>
      <c r="CB372" s="4">
        <f>Base[[#This Row],[Prévalence_prod]]*(1-Base[[#This Row],[Risque]])*Base[[#This Row],[Présentéisme]]*Base[[#This Row],['[Prod']Jours_ouvrés]]</f>
        <v>1.7796972171204886</v>
      </c>
      <c r="CC372" s="4">
        <f>Base[[#This Row],['[Prod']'[Présentéisme']Jours_avant]]-Base[[#This Row],['[Prod']'[Présentéisme']Jours_après]]</f>
        <v>1.0641883828795116</v>
      </c>
      <c r="CD372" s="4">
        <f>Base[[#This Row],['[Prod']'[Présentéisme']Jours_gagnés]]/Base[[#This Row],['[Prod']Jours_ouvrés]]</f>
        <v>4.1897180428327229E-3</v>
      </c>
      <c r="CE372">
        <v>7.5880726467531134E-2</v>
      </c>
      <c r="CF372">
        <v>1.989821358241517E-2</v>
      </c>
      <c r="CG372" s="4">
        <v>11</v>
      </c>
      <c r="CH372" s="4">
        <v>0.60922528771817497</v>
      </c>
      <c r="CI372" s="4">
        <v>3.8601807163334179E-3</v>
      </c>
      <c r="CJ372" s="4">
        <f>IF(Base[[#This Row],[Secteur]]&lt;&gt;"Moyenne",Base[[#This Row],['[Prod']'[Turnover']DMC_initiale]]*(1+Base[[#This Row],['[Prod']'[Turnover']Ecart_accidents]]*Base[[#This Row],['[Prod']Impact_motifs_turnover]]),CJ355*CI355+CJ356*CI356+CJ357*CI357+CJ358*CI358+CJ359*CI359+CJ360*CI360+CJ361*CI361+CJ362*CI362+CJ363*CI363+CJ364*CI364+CJ365*CI365+CJ366*CI366+CJ367*CI367+CJ368*CI368+CJ369*CI369+CJ370*CI370+CJ371*CI371)</f>
        <v>11.133347443843071</v>
      </c>
      <c r="CK372" s="4">
        <f>1/Base[[#This Row],['[Prod']'[Turnover']DMC_initiale]]</f>
        <v>9.0909090909090912E-2</v>
      </c>
      <c r="CL372" s="4">
        <f>1/Base[[#This Row],['[Prod']'[Turnover']DMC_finale]]</f>
        <v>8.9820245442265148E-2</v>
      </c>
    </row>
    <row r="373" spans="2:90" x14ac:dyDescent="0.25">
      <c r="B373" s="4" t="s">
        <v>329</v>
      </c>
      <c r="C373">
        <v>15</v>
      </c>
      <c r="D373" t="s">
        <v>83</v>
      </c>
      <c r="E373" t="s">
        <v>7</v>
      </c>
      <c r="F373" s="3">
        <v>0.37420224740387292</v>
      </c>
      <c r="G373" s="3">
        <v>0.1217</v>
      </c>
      <c r="H373" s="3">
        <v>0.1217</v>
      </c>
      <c r="I373" s="3">
        <v>9.1999999999999998E-2</v>
      </c>
      <c r="J373" s="3">
        <v>7.27956</v>
      </c>
      <c r="K373" s="3">
        <v>7.0000000000000007E-2</v>
      </c>
      <c r="L373" s="2">
        <f>Base[[#This Row],[Coût]]*Base[[#This Row],[Part_ménages_dépenses_santé]]</f>
        <v>0.50956920000000006</v>
      </c>
      <c r="M373" s="2">
        <v>1</v>
      </c>
      <c r="N373" s="6">
        <v>27700000</v>
      </c>
      <c r="O373" s="7">
        <f>Base[[#This Row],[Coût_salarié]]*10^9*Base[[#This Row],[Risque]]*Base[[#This Row],[Prévalence]]*Base[[#This Row],[Part_coûts_salarié]]/Base[[#This Row],[Population_emploi]]</f>
        <v>0.83776144691250853</v>
      </c>
      <c r="P373">
        <v>50</v>
      </c>
      <c r="Q373">
        <v>50</v>
      </c>
      <c r="R373" s="2">
        <v>9.9999999999999978E-2</v>
      </c>
      <c r="S373" s="2">
        <v>0.33340000000000003</v>
      </c>
      <c r="T373" s="4">
        <v>0.1217</v>
      </c>
      <c r="U373" s="4">
        <f>IF(Bases_annexes!$F$5=0,16.6587111018772,0.77*Bases_annexes!$F$5/(IF(OR(ISBLANK('Données_d''entrée'!$E$44),'Données_d''entrée'!$E$44=0),35,'Données_d''entrée'!$E$44)*52))</f>
        <v>16.658711101877199</v>
      </c>
      <c r="V373" s="4">
        <v>21.5</v>
      </c>
      <c r="W3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3" s="4">
        <v>234.5</v>
      </c>
      <c r="Y373" s="4">
        <f>(Base[[#This Row],['[Maladies']Coûts_évités_par_salarié]]+Base[[#This Row],['[Travail']Coûts_évités_par_salarié]])/Base[[#This Row],[Budget_santé_salarié]]</f>
        <v>0.11340616353499251</v>
      </c>
      <c r="Z373" s="4">
        <v>0.8</v>
      </c>
      <c r="AA373" s="4">
        <f>Base[[#This Row],[Coût]]*Base[[#This Row],[Part_société_dépenses_santé]]</f>
        <v>5.8236480000000004</v>
      </c>
      <c r="AB373" s="4">
        <v>67635124</v>
      </c>
      <c r="AC373" s="4">
        <v>82.297079063317852</v>
      </c>
      <c r="AD373" s="4">
        <v>0.1217</v>
      </c>
      <c r="AE373" s="4">
        <f>Base[[#This Row],['[SC']Prévalence_travail]]*Base[[#This Row],[Population_emploi]]</f>
        <v>3371090</v>
      </c>
      <c r="AF373" s="4">
        <f>Base[[#This Row],[Risque]]*Base[[#This Row],['[SC']Patients_en_emploi]]</f>
        <v>1261469.454200722</v>
      </c>
      <c r="AG373" s="4">
        <v>0</v>
      </c>
      <c r="AH373" s="4">
        <f>IFERROR(Base[[#This Row],['[SC']Prestations]]/Base[[#This Row],['[SC']Patients_en_emploi]],0)</f>
        <v>0</v>
      </c>
      <c r="AI373" s="4">
        <v>51.7</v>
      </c>
      <c r="AJ3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3" s="4">
        <f>Base[[#This Row],['[SC']'[Travail']Coûts_évités]]/Base[[#This Row],[Population_emploi]]</f>
        <v>43.557128500732155</v>
      </c>
      <c r="AL373" s="4">
        <f>Base[[#This Row],[Coût_société]]*10^9*Base[[#This Row],[Risque]]*Base[[#This Row],[Prévalence]]*Base[[#This Row],[Part_coûts_salarié]]/Base[[#This Row],[Population_emploi]]</f>
        <v>9.5744165361429534</v>
      </c>
      <c r="AM373" s="4">
        <f>IF(Base[[#This Row],[Pathologie]]&lt;&gt;"Dépendance",0,14909.24243952)</f>
        <v>0</v>
      </c>
      <c r="AN373" s="4">
        <f>IF(Base[[#This Row],[Pathologie]]&lt;&gt;"Dépendance",0,1316000)</f>
        <v>0</v>
      </c>
      <c r="AO373" s="4">
        <f>IF(Base[[#This Row],[Pathologie]]&lt;&gt;"Dépendance",0,Base[[#This Row],['[SC']Coût_personne_dépendante]]*Base[[#This Row],['[SC']Nb_personnes_dépendantes]])</f>
        <v>0</v>
      </c>
      <c r="AP373" s="4">
        <f>IF(Base[[#This Row],[Pathologie]]&lt;&gt;"Dépendance",0,Base[[#This Row],['[SC']Coût_total_dépendance]]/Base[[#This Row],[Population_totale]])</f>
        <v>0</v>
      </c>
      <c r="AQ373" s="4">
        <f>IF(Base[[#This Row],[Pathologie]]&lt;&gt;"Dépendance",0,4.5)</f>
        <v>0</v>
      </c>
      <c r="AR373" s="4">
        <v>0.83987615528424797</v>
      </c>
      <c r="AS373" s="4">
        <f>Base[[#This Row],[Espérance_vie]]+Base[[#This Row],['[SC']Hausse_esp_de_vie]]-Base[[#This Row],['[SC']Durée_moyenne_dépendance_avt]]+Base[[#This Row],[Risque]]</f>
        <v>83.511157466005969</v>
      </c>
      <c r="AT3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3" s="4">
        <v>62.9</v>
      </c>
      <c r="AW373" s="4">
        <f t="shared" si="6"/>
        <v>336905600000</v>
      </c>
      <c r="AX373" s="4">
        <v>15049171</v>
      </c>
      <c r="AY373" s="4">
        <f>Base[[#This Row],['[SC']Budget_total_retraites]]/Base[[#This Row],['[SC']Nombre_de_retraités]]</f>
        <v>22386.987296509556</v>
      </c>
      <c r="AZ373" s="4">
        <f>Base[[#This Row],['[SC']Budget_par_retraité]]*Base[[#This Row],['[SC']Nb_personnes_dépendantes]]</f>
        <v>0</v>
      </c>
      <c r="BA373" s="4">
        <f>Base[[#This Row],['[SC']'[Dépendance']Coût_retraite_personnes_dépendantes]]/Base[[#This Row],[Population_totale]]</f>
        <v>0</v>
      </c>
      <c r="BB3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3" s="4">
        <f>Base[[#This Row],['[SC']'[Dépendance']Gains]]-Base[[#This Row],['[SC']'[Dépendance']Coûts]]</f>
        <v>0</v>
      </c>
      <c r="BD373" s="4">
        <f>IF(Base[[#This Row],[Pathologie]]&lt;&gt;"Mort prématurée",0,Base[[#This Row],[Risque]]*Base[[#This Row],[Prévalence]]*Base[[#This Row],[Population_totale]])</f>
        <v>0</v>
      </c>
      <c r="BE373" s="4">
        <v>52.74</v>
      </c>
      <c r="BF373" s="4">
        <f>Base[[#This Row],['[SC']Âge_moyen_retraite]]-Base[[#This Row],['[SC']'[Mort_prématurée']Âge_moyen_mort précoce]]</f>
        <v>10.159999999999997</v>
      </c>
      <c r="BG373" s="4">
        <f>Base[[#This Row],[Espérance_vie]]+Base[[#This Row],['[SC']Hausse_esp_de_vie]]-Base[[#This Row],['[SC']Âge_moyen_retraite]]</f>
        <v>20.236955218602098</v>
      </c>
      <c r="BH373" s="4">
        <v>106583.42676924677</v>
      </c>
      <c r="BI373" s="4">
        <v>97601.789429271477</v>
      </c>
      <c r="BJ373" s="4">
        <v>302038.31496633729</v>
      </c>
      <c r="BK373" s="4">
        <v>117293.58934859755</v>
      </c>
      <c r="BL373" s="4">
        <v>1523999.9999999995</v>
      </c>
      <c r="BM3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3" s="4">
        <v>294804.96027377353</v>
      </c>
      <c r="BO3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3" s="4">
        <f>(Base[[#This Row],['[SC']'[Mort_prématurée']Gains]]-Base[[#This Row],['[SC']'[Mort_prématurée']Coûts]])/Base[[#This Row],[Population_totale]]</f>
        <v>0</v>
      </c>
      <c r="BQ373" s="4">
        <f>IF(Base[[#This Row],[Pathologie]]&lt;&gt;"Mort prématurée",0,Base[[#This Row],[Risque]])</f>
        <v>0</v>
      </c>
      <c r="BR373" s="4">
        <v>2680</v>
      </c>
      <c r="BS3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3" s="4">
        <f>Base[[#This Row],[Prévalence_prod]]*(1-Base[[#This Row],[Risque]])*Base[[#This Row],[Durée_arrêt]]*Base[[#This Row],[Population_emploi]]</f>
        <v>45356841.734684482</v>
      </c>
      <c r="BV373" s="4">
        <f>Base[[#This Row],['[Prod']'[Absentéisme']Total_jours_absence_avant]]-Base[[#This Row],['[Prod']'[Absentéisme']Total_jours_absence_après]]</f>
        <v>27121593.265315518</v>
      </c>
      <c r="BW373" s="4">
        <f>IF(AND(Base[[#This Row],[Pathologie]]&lt;&gt;"Dépendance",Base[[#This Row],[Pathologie]]&lt;&gt;"Mort prématurée",Base[[#This Row],[Pathologie]]&lt;&gt;"Migraine"),0.0619,0)</f>
        <v>6.1899999999999997E-2</v>
      </c>
      <c r="BX373" s="4">
        <v>254</v>
      </c>
      <c r="BY373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3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3" s="4">
        <f>Base[[#This Row],[Prévalence_prod]]*Base[[#This Row],[Présentéisme]]*Base[[#This Row],['[Prod']Jours_ouvrés]]</f>
        <v>2.8438856000000001</v>
      </c>
      <c r="CB373" s="4">
        <f>Base[[#This Row],[Prévalence_prod]]*(1-Base[[#This Row],[Risque]])*Base[[#This Row],[Présentéisme]]*Base[[#This Row],['[Prod']Jours_ouvrés]]</f>
        <v>1.7796972171204886</v>
      </c>
      <c r="CC373" s="4">
        <f>Base[[#This Row],['[Prod']'[Présentéisme']Jours_avant]]-Base[[#This Row],['[Prod']'[Présentéisme']Jours_après]]</f>
        <v>1.0641883828795116</v>
      </c>
      <c r="CD373" s="4">
        <f>Base[[#This Row],['[Prod']'[Présentéisme']Jours_gagnés]]/Base[[#This Row],['[Prod']Jours_ouvrés]]</f>
        <v>4.1897180428327229E-3</v>
      </c>
      <c r="CE373">
        <v>7.5880726467531134E-2</v>
      </c>
      <c r="CF373">
        <v>1.989821358241517E-2</v>
      </c>
      <c r="CG373" s="4">
        <v>11</v>
      </c>
      <c r="CH373" s="4">
        <v>0.78414927716175975</v>
      </c>
      <c r="CI373" s="4">
        <v>0.12835819090128339</v>
      </c>
      <c r="CJ373" s="4">
        <f>IF(Base[[#This Row],[Secteur]]&lt;&gt;"Moyenne",Base[[#This Row],['[Prod']'[Turnover']DMC_initiale]]*(1+Base[[#This Row],['[Prod']'[Turnover']Ecart_accidents]]*Base[[#This Row],['[Prod']Impact_motifs_turnover]]),CJ356*CI356+CJ357*CI357+CJ358*CI358+CJ359*CI359+CJ360*CI360+CJ361*CI361+CJ362*CI362+CJ363*CI363+CJ364*CI364+CJ365*CI365+CJ366*CI366+CJ367*CI367+CJ368*CI368+CJ369*CI369+CJ370*CI370+CJ371*CI371+CJ372*CI372)</f>
        <v>11.171634867772074</v>
      </c>
      <c r="CK373" s="4">
        <f>1/Base[[#This Row],['[Prod']'[Turnover']DMC_initiale]]</f>
        <v>9.0909090909090912E-2</v>
      </c>
      <c r="CL373" s="4">
        <f>1/Base[[#This Row],['[Prod']'[Turnover']DMC_finale]]</f>
        <v>8.9512413521927708E-2</v>
      </c>
    </row>
    <row r="374" spans="2:90" x14ac:dyDescent="0.25">
      <c r="B374" s="4" t="s">
        <v>330</v>
      </c>
      <c r="C374">
        <v>15</v>
      </c>
      <c r="D374" t="s">
        <v>83</v>
      </c>
      <c r="E374" t="s">
        <v>7</v>
      </c>
      <c r="F374" s="3">
        <v>0.37420224740387292</v>
      </c>
      <c r="G374" s="3">
        <v>0.1217</v>
      </c>
      <c r="H374" s="3">
        <v>0.1217</v>
      </c>
      <c r="I374" s="3">
        <v>9.1999999999999998E-2</v>
      </c>
      <c r="J374" s="3">
        <v>7.27956</v>
      </c>
      <c r="K374" s="3">
        <v>7.0000000000000007E-2</v>
      </c>
      <c r="L374" s="2">
        <f>Base[[#This Row],[Coût]]*Base[[#This Row],[Part_ménages_dépenses_santé]]</f>
        <v>0.50956920000000006</v>
      </c>
      <c r="M374" s="2">
        <v>1</v>
      </c>
      <c r="N374" s="6">
        <v>27700000</v>
      </c>
      <c r="O374" s="7">
        <f>Base[[#This Row],[Coût_salarié]]*10^9*Base[[#This Row],[Risque]]*Base[[#This Row],[Prévalence]]*Base[[#This Row],[Part_coûts_salarié]]/Base[[#This Row],[Population_emploi]]</f>
        <v>0.83776144691250853</v>
      </c>
      <c r="P374">
        <v>50</v>
      </c>
      <c r="Q374">
        <v>50</v>
      </c>
      <c r="R374" s="2">
        <v>9.9999999999999978E-2</v>
      </c>
      <c r="S374" s="2">
        <v>0.33340000000000003</v>
      </c>
      <c r="T374" s="4">
        <v>0.1217</v>
      </c>
      <c r="U374" s="4">
        <f>IF(Bases_annexes!$F$5=0,16.6587111018772,0.77*Bases_annexes!$F$5/(IF(OR(ISBLANK('Données_d''entrée'!$E$44),'Données_d''entrée'!$E$44=0),35,'Données_d''entrée'!$E$44)*52))</f>
        <v>16.658711101877199</v>
      </c>
      <c r="V374" s="4">
        <v>21.5</v>
      </c>
      <c r="W3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4" s="4">
        <v>234.5</v>
      </c>
      <c r="Y374" s="4">
        <f>(Base[[#This Row],['[Maladies']Coûts_évités_par_salarié]]+Base[[#This Row],['[Travail']Coûts_évités_par_salarié]])/Base[[#This Row],[Budget_santé_salarié]]</f>
        <v>0.11340616353499251</v>
      </c>
      <c r="Z374" s="4">
        <v>0.8</v>
      </c>
      <c r="AA374" s="4">
        <f>Base[[#This Row],[Coût]]*Base[[#This Row],[Part_société_dépenses_santé]]</f>
        <v>5.8236480000000004</v>
      </c>
      <c r="AB374" s="4">
        <v>67635124</v>
      </c>
      <c r="AC374" s="4">
        <v>82.297079063317852</v>
      </c>
      <c r="AD374" s="4">
        <v>0.1217</v>
      </c>
      <c r="AE374" s="4">
        <f>Base[[#This Row],['[SC']Prévalence_travail]]*Base[[#This Row],[Population_emploi]]</f>
        <v>3371090</v>
      </c>
      <c r="AF374" s="4">
        <f>Base[[#This Row],[Risque]]*Base[[#This Row],['[SC']Patients_en_emploi]]</f>
        <v>1261469.454200722</v>
      </c>
      <c r="AG374" s="4">
        <v>0</v>
      </c>
      <c r="AH374" s="4">
        <f>IFERROR(Base[[#This Row],['[SC']Prestations]]/Base[[#This Row],['[SC']Patients_en_emploi]],0)</f>
        <v>0</v>
      </c>
      <c r="AI374" s="4">
        <v>51.7</v>
      </c>
      <c r="AJ3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4" s="4">
        <f>Base[[#This Row],['[SC']'[Travail']Coûts_évités]]/Base[[#This Row],[Population_emploi]]</f>
        <v>43.557128500732155</v>
      </c>
      <c r="AL374" s="4">
        <f>Base[[#This Row],[Coût_société]]*10^9*Base[[#This Row],[Risque]]*Base[[#This Row],[Prévalence]]*Base[[#This Row],[Part_coûts_salarié]]/Base[[#This Row],[Population_emploi]]</f>
        <v>9.5744165361429534</v>
      </c>
      <c r="AM374" s="4">
        <f>IF(Base[[#This Row],[Pathologie]]&lt;&gt;"Dépendance",0,14909.24243952)</f>
        <v>0</v>
      </c>
      <c r="AN374" s="4">
        <f>IF(Base[[#This Row],[Pathologie]]&lt;&gt;"Dépendance",0,1316000)</f>
        <v>0</v>
      </c>
      <c r="AO374" s="4">
        <f>IF(Base[[#This Row],[Pathologie]]&lt;&gt;"Dépendance",0,Base[[#This Row],['[SC']Coût_personne_dépendante]]*Base[[#This Row],['[SC']Nb_personnes_dépendantes]])</f>
        <v>0</v>
      </c>
      <c r="AP374" s="4">
        <f>IF(Base[[#This Row],[Pathologie]]&lt;&gt;"Dépendance",0,Base[[#This Row],['[SC']Coût_total_dépendance]]/Base[[#This Row],[Population_totale]])</f>
        <v>0</v>
      </c>
      <c r="AQ374" s="4">
        <f>IF(Base[[#This Row],[Pathologie]]&lt;&gt;"Dépendance",0,4.5)</f>
        <v>0</v>
      </c>
      <c r="AR374" s="4">
        <v>0.83987615528424797</v>
      </c>
      <c r="AS374" s="4">
        <f>Base[[#This Row],[Espérance_vie]]+Base[[#This Row],['[SC']Hausse_esp_de_vie]]-Base[[#This Row],['[SC']Durée_moyenne_dépendance_avt]]+Base[[#This Row],[Risque]]</f>
        <v>83.511157466005969</v>
      </c>
      <c r="AT3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4" s="4">
        <v>62.9</v>
      </c>
      <c r="AW374" s="4">
        <f t="shared" si="6"/>
        <v>336905600000</v>
      </c>
      <c r="AX374" s="4">
        <v>15049171</v>
      </c>
      <c r="AY374" s="4">
        <f>Base[[#This Row],['[SC']Budget_total_retraites]]/Base[[#This Row],['[SC']Nombre_de_retraités]]</f>
        <v>22386.987296509556</v>
      </c>
      <c r="AZ374" s="4">
        <f>Base[[#This Row],['[SC']Budget_par_retraité]]*Base[[#This Row],['[SC']Nb_personnes_dépendantes]]</f>
        <v>0</v>
      </c>
      <c r="BA374" s="4">
        <f>Base[[#This Row],['[SC']'[Dépendance']Coût_retraite_personnes_dépendantes]]/Base[[#This Row],[Population_totale]]</f>
        <v>0</v>
      </c>
      <c r="BB3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4" s="4">
        <f>Base[[#This Row],['[SC']'[Dépendance']Gains]]-Base[[#This Row],['[SC']'[Dépendance']Coûts]]</f>
        <v>0</v>
      </c>
      <c r="BD374" s="4">
        <f>IF(Base[[#This Row],[Pathologie]]&lt;&gt;"Mort prématurée",0,Base[[#This Row],[Risque]]*Base[[#This Row],[Prévalence]]*Base[[#This Row],[Population_totale]])</f>
        <v>0</v>
      </c>
      <c r="BE374" s="4">
        <v>52.74</v>
      </c>
      <c r="BF374" s="4">
        <f>Base[[#This Row],['[SC']Âge_moyen_retraite]]-Base[[#This Row],['[SC']'[Mort_prématurée']Âge_moyen_mort précoce]]</f>
        <v>10.159999999999997</v>
      </c>
      <c r="BG374" s="4">
        <f>Base[[#This Row],[Espérance_vie]]+Base[[#This Row],['[SC']Hausse_esp_de_vie]]-Base[[#This Row],['[SC']Âge_moyen_retraite]]</f>
        <v>20.236955218602098</v>
      </c>
      <c r="BH374" s="4">
        <v>106583.42676924677</v>
      </c>
      <c r="BI374" s="4">
        <v>97601.789429271477</v>
      </c>
      <c r="BJ374" s="4">
        <v>302038.31496633729</v>
      </c>
      <c r="BK374" s="4">
        <v>117293.58934859755</v>
      </c>
      <c r="BL374" s="4">
        <v>1523999.9999999995</v>
      </c>
      <c r="BM3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4" s="4">
        <v>294804.96027377353</v>
      </c>
      <c r="BO3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4" s="4">
        <f>(Base[[#This Row],['[SC']'[Mort_prématurée']Gains]]-Base[[#This Row],['[SC']'[Mort_prématurée']Coûts]])/Base[[#This Row],[Population_totale]]</f>
        <v>0</v>
      </c>
      <c r="BQ374" s="4">
        <f>IF(Base[[#This Row],[Pathologie]]&lt;&gt;"Mort prématurée",0,Base[[#This Row],[Risque]])</f>
        <v>0</v>
      </c>
      <c r="BR374" s="4">
        <v>2680</v>
      </c>
      <c r="BS3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4" s="4">
        <f>Base[[#This Row],[Prévalence_prod]]*(1-Base[[#This Row],[Risque]])*Base[[#This Row],[Durée_arrêt]]*Base[[#This Row],[Population_emploi]]</f>
        <v>45356841.734684482</v>
      </c>
      <c r="BV374" s="4">
        <f>Base[[#This Row],['[Prod']'[Absentéisme']Total_jours_absence_avant]]-Base[[#This Row],['[Prod']'[Absentéisme']Total_jours_absence_après]]</f>
        <v>27121593.265315518</v>
      </c>
      <c r="BW374" s="4">
        <f>IF(AND(Base[[#This Row],[Pathologie]]&lt;&gt;"Dépendance",Base[[#This Row],[Pathologie]]&lt;&gt;"Mort prématurée",Base[[#This Row],[Pathologie]]&lt;&gt;"Migraine"),0.0619,0)</f>
        <v>6.1899999999999997E-2</v>
      </c>
      <c r="BX374" s="4">
        <v>254</v>
      </c>
      <c r="BY374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4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4" s="4">
        <f>Base[[#This Row],[Prévalence_prod]]*Base[[#This Row],[Présentéisme]]*Base[[#This Row],['[Prod']Jours_ouvrés]]</f>
        <v>2.8438856000000001</v>
      </c>
      <c r="CB374" s="4">
        <f>Base[[#This Row],[Prévalence_prod]]*(1-Base[[#This Row],[Risque]])*Base[[#This Row],[Présentéisme]]*Base[[#This Row],['[Prod']Jours_ouvrés]]</f>
        <v>1.7796972171204886</v>
      </c>
      <c r="CC374" s="4">
        <f>Base[[#This Row],['[Prod']'[Présentéisme']Jours_avant]]-Base[[#This Row],['[Prod']'[Présentéisme']Jours_après]]</f>
        <v>1.0641883828795116</v>
      </c>
      <c r="CD374" s="4">
        <f>Base[[#This Row],['[Prod']'[Présentéisme']Jours_gagnés]]/Base[[#This Row],['[Prod']Jours_ouvrés]]</f>
        <v>4.1897180428327229E-3</v>
      </c>
      <c r="CE374">
        <v>7.5880726467531134E-2</v>
      </c>
      <c r="CF374">
        <v>1.989821358241517E-2</v>
      </c>
      <c r="CG374" s="4">
        <v>11</v>
      </c>
      <c r="CH374" s="4">
        <v>0.99648427619813984</v>
      </c>
      <c r="CI374" s="4">
        <v>0.42377466100567313</v>
      </c>
      <c r="CJ374" s="4">
        <f>IF(Base[[#This Row],[Secteur]]&lt;&gt;"Moyenne",Base[[#This Row],['[Prod']'[Turnover']DMC_initiale]]*(1+Base[[#This Row],['[Prod']'[Turnover']Ecart_accidents]]*Base[[#This Row],['[Prod']Impact_motifs_turnover]]),CJ357*CI357+CJ358*CI358+CJ359*CI359+CJ360*CI360+CJ361*CI361+CJ362*CI362+CJ363*CI363+CJ364*CI364+CJ365*CI365+CJ366*CI366+CJ367*CI367+CJ368*CI368+CJ369*CI369+CJ370*CI370+CJ371*CI371+CJ372*CI372+CJ373*CI373)</f>
        <v>11.218110826552397</v>
      </c>
      <c r="CK374" s="4">
        <f>1/Base[[#This Row],['[Prod']'[Turnover']DMC_initiale]]</f>
        <v>9.0909090909090912E-2</v>
      </c>
      <c r="CL374" s="4">
        <f>1/Base[[#This Row],['[Prod']'[Turnover']DMC_finale]]</f>
        <v>8.9141568973723953E-2</v>
      </c>
    </row>
    <row r="375" spans="2:90" x14ac:dyDescent="0.25">
      <c r="B375" s="4" t="s">
        <v>331</v>
      </c>
      <c r="C375">
        <v>15</v>
      </c>
      <c r="D375" t="s">
        <v>83</v>
      </c>
      <c r="E375" t="s">
        <v>7</v>
      </c>
      <c r="F375" s="3">
        <v>0.37420224740387292</v>
      </c>
      <c r="G375" s="3">
        <v>0.1217</v>
      </c>
      <c r="H375" s="3">
        <v>0.1217</v>
      </c>
      <c r="I375" s="3">
        <v>9.1999999999999998E-2</v>
      </c>
      <c r="J375" s="3">
        <v>7.27956</v>
      </c>
      <c r="K375" s="3">
        <v>7.0000000000000007E-2</v>
      </c>
      <c r="L375" s="2">
        <f>Base[[#This Row],[Coût]]*Base[[#This Row],[Part_ménages_dépenses_santé]]</f>
        <v>0.50956920000000006</v>
      </c>
      <c r="M375" s="2">
        <v>1</v>
      </c>
      <c r="N375" s="6">
        <v>27700000</v>
      </c>
      <c r="O375" s="7">
        <f>Base[[#This Row],[Coût_salarié]]*10^9*Base[[#This Row],[Risque]]*Base[[#This Row],[Prévalence]]*Base[[#This Row],[Part_coûts_salarié]]/Base[[#This Row],[Population_emploi]]</f>
        <v>0.83776144691250853</v>
      </c>
      <c r="P375">
        <v>50</v>
      </c>
      <c r="Q375">
        <v>50</v>
      </c>
      <c r="R375" s="2">
        <v>9.9999999999999978E-2</v>
      </c>
      <c r="S375" s="2">
        <v>0.33340000000000003</v>
      </c>
      <c r="T375" s="4">
        <v>0.1217</v>
      </c>
      <c r="U375" s="4">
        <f>IF(Bases_annexes!$F$5=0,16.6587111018772,0.77*Bases_annexes!$F$5/(IF(OR(ISBLANK('Données_d''entrée'!$E$44),'Données_d''entrée'!$E$44=0),35,'Données_d''entrée'!$E$44)*52))</f>
        <v>16.658711101877199</v>
      </c>
      <c r="V375" s="4">
        <v>21.5</v>
      </c>
      <c r="W3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5" s="4">
        <v>234.5</v>
      </c>
      <c r="Y375" s="4">
        <f>(Base[[#This Row],['[Maladies']Coûts_évités_par_salarié]]+Base[[#This Row],['[Travail']Coûts_évités_par_salarié]])/Base[[#This Row],[Budget_santé_salarié]]</f>
        <v>0.11340616353499251</v>
      </c>
      <c r="Z375" s="4">
        <v>0.8</v>
      </c>
      <c r="AA375" s="4">
        <f>Base[[#This Row],[Coût]]*Base[[#This Row],[Part_société_dépenses_santé]]</f>
        <v>5.8236480000000004</v>
      </c>
      <c r="AB375" s="4">
        <v>67635124</v>
      </c>
      <c r="AC375" s="4">
        <v>82.297079063317852</v>
      </c>
      <c r="AD375" s="4">
        <v>0.1217</v>
      </c>
      <c r="AE375" s="4">
        <f>Base[[#This Row],['[SC']Prévalence_travail]]*Base[[#This Row],[Population_emploi]]</f>
        <v>3371090</v>
      </c>
      <c r="AF375" s="4">
        <f>Base[[#This Row],[Risque]]*Base[[#This Row],['[SC']Patients_en_emploi]]</f>
        <v>1261469.454200722</v>
      </c>
      <c r="AG375" s="4">
        <v>0</v>
      </c>
      <c r="AH375" s="4">
        <f>IFERROR(Base[[#This Row],['[SC']Prestations]]/Base[[#This Row],['[SC']Patients_en_emploi]],0)</f>
        <v>0</v>
      </c>
      <c r="AI375" s="4">
        <v>51.7</v>
      </c>
      <c r="AJ3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5" s="4">
        <f>Base[[#This Row],['[SC']'[Travail']Coûts_évités]]/Base[[#This Row],[Population_emploi]]</f>
        <v>43.557128500732155</v>
      </c>
      <c r="AL375" s="4">
        <f>Base[[#This Row],[Coût_société]]*10^9*Base[[#This Row],[Risque]]*Base[[#This Row],[Prévalence]]*Base[[#This Row],[Part_coûts_salarié]]/Base[[#This Row],[Population_emploi]]</f>
        <v>9.5744165361429534</v>
      </c>
      <c r="AM375" s="4">
        <f>IF(Base[[#This Row],[Pathologie]]&lt;&gt;"Dépendance",0,14909.24243952)</f>
        <v>0</v>
      </c>
      <c r="AN375" s="4">
        <f>IF(Base[[#This Row],[Pathologie]]&lt;&gt;"Dépendance",0,1316000)</f>
        <v>0</v>
      </c>
      <c r="AO375" s="4">
        <f>IF(Base[[#This Row],[Pathologie]]&lt;&gt;"Dépendance",0,Base[[#This Row],['[SC']Coût_personne_dépendante]]*Base[[#This Row],['[SC']Nb_personnes_dépendantes]])</f>
        <v>0</v>
      </c>
      <c r="AP375" s="4">
        <f>IF(Base[[#This Row],[Pathologie]]&lt;&gt;"Dépendance",0,Base[[#This Row],['[SC']Coût_total_dépendance]]/Base[[#This Row],[Population_totale]])</f>
        <v>0</v>
      </c>
      <c r="AQ375" s="4">
        <f>IF(Base[[#This Row],[Pathologie]]&lt;&gt;"Dépendance",0,4.5)</f>
        <v>0</v>
      </c>
      <c r="AR375" s="4">
        <v>0.83987615528424797</v>
      </c>
      <c r="AS375" s="4">
        <f>Base[[#This Row],[Espérance_vie]]+Base[[#This Row],['[SC']Hausse_esp_de_vie]]-Base[[#This Row],['[SC']Durée_moyenne_dépendance_avt]]+Base[[#This Row],[Risque]]</f>
        <v>83.511157466005969</v>
      </c>
      <c r="AT3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5" s="4">
        <v>62.9</v>
      </c>
      <c r="AW375" s="4">
        <f t="shared" si="6"/>
        <v>336905600000</v>
      </c>
      <c r="AX375" s="4">
        <v>15049171</v>
      </c>
      <c r="AY375" s="4">
        <f>Base[[#This Row],['[SC']Budget_total_retraites]]/Base[[#This Row],['[SC']Nombre_de_retraités]]</f>
        <v>22386.987296509556</v>
      </c>
      <c r="AZ375" s="4">
        <f>Base[[#This Row],['[SC']Budget_par_retraité]]*Base[[#This Row],['[SC']Nb_personnes_dépendantes]]</f>
        <v>0</v>
      </c>
      <c r="BA375" s="4">
        <f>Base[[#This Row],['[SC']'[Dépendance']Coût_retraite_personnes_dépendantes]]/Base[[#This Row],[Population_totale]]</f>
        <v>0</v>
      </c>
      <c r="BB3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5" s="4">
        <f>Base[[#This Row],['[SC']'[Dépendance']Gains]]-Base[[#This Row],['[SC']'[Dépendance']Coûts]]</f>
        <v>0</v>
      </c>
      <c r="BD375" s="4">
        <f>IF(Base[[#This Row],[Pathologie]]&lt;&gt;"Mort prématurée",0,Base[[#This Row],[Risque]]*Base[[#This Row],[Prévalence]]*Base[[#This Row],[Population_totale]])</f>
        <v>0</v>
      </c>
      <c r="BE375" s="4">
        <v>52.74</v>
      </c>
      <c r="BF375" s="4">
        <f>Base[[#This Row],['[SC']Âge_moyen_retraite]]-Base[[#This Row],['[SC']'[Mort_prématurée']Âge_moyen_mort précoce]]</f>
        <v>10.159999999999997</v>
      </c>
      <c r="BG375" s="4">
        <f>Base[[#This Row],[Espérance_vie]]+Base[[#This Row],['[SC']Hausse_esp_de_vie]]-Base[[#This Row],['[SC']Âge_moyen_retraite]]</f>
        <v>20.236955218602098</v>
      </c>
      <c r="BH375" s="4">
        <v>106583.42676924677</v>
      </c>
      <c r="BI375" s="4">
        <v>97601.789429271477</v>
      </c>
      <c r="BJ375" s="4">
        <v>302038.31496633729</v>
      </c>
      <c r="BK375" s="4">
        <v>117293.58934859755</v>
      </c>
      <c r="BL375" s="4">
        <v>1523999.9999999995</v>
      </c>
      <c r="BM3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5" s="4">
        <v>294804.96027377353</v>
      </c>
      <c r="BO3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5" s="4">
        <f>(Base[[#This Row],['[SC']'[Mort_prématurée']Gains]]-Base[[#This Row],['[SC']'[Mort_prématurée']Coûts]])/Base[[#This Row],[Population_totale]]</f>
        <v>0</v>
      </c>
      <c r="BQ375" s="4">
        <f>IF(Base[[#This Row],[Pathologie]]&lt;&gt;"Mort prématurée",0,Base[[#This Row],[Risque]])</f>
        <v>0</v>
      </c>
      <c r="BR375" s="4">
        <v>2680</v>
      </c>
      <c r="BS3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5" s="4">
        <f>Base[[#This Row],[Prévalence_prod]]*(1-Base[[#This Row],[Risque]])*Base[[#This Row],[Durée_arrêt]]*Base[[#This Row],[Population_emploi]]</f>
        <v>45356841.734684482</v>
      </c>
      <c r="BV375" s="4">
        <f>Base[[#This Row],['[Prod']'[Absentéisme']Total_jours_absence_avant]]-Base[[#This Row],['[Prod']'[Absentéisme']Total_jours_absence_après]]</f>
        <v>27121593.265315518</v>
      </c>
      <c r="BW375" s="4">
        <f>IF(AND(Base[[#This Row],[Pathologie]]&lt;&gt;"Dépendance",Base[[#This Row],[Pathologie]]&lt;&gt;"Mort prématurée",Base[[#This Row],[Pathologie]]&lt;&gt;"Migraine"),0.0619,0)</f>
        <v>6.1899999999999997E-2</v>
      </c>
      <c r="BX375" s="4">
        <v>254</v>
      </c>
      <c r="BY37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5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5" s="4">
        <f>Base[[#This Row],[Prévalence_prod]]*Base[[#This Row],[Présentéisme]]*Base[[#This Row],['[Prod']Jours_ouvrés]]</f>
        <v>2.8438856000000001</v>
      </c>
      <c r="CB375" s="4">
        <f>Base[[#This Row],[Prévalence_prod]]*(1-Base[[#This Row],[Risque]])*Base[[#This Row],[Présentéisme]]*Base[[#This Row],['[Prod']Jours_ouvrés]]</f>
        <v>1.7796972171204886</v>
      </c>
      <c r="CC375" s="4">
        <f>Base[[#This Row],['[Prod']'[Présentéisme']Jours_avant]]-Base[[#This Row],['[Prod']'[Présentéisme']Jours_après]]</f>
        <v>1.0641883828795116</v>
      </c>
      <c r="CD375" s="4">
        <f>Base[[#This Row],['[Prod']'[Présentéisme']Jours_gagnés]]/Base[[#This Row],['[Prod']Jours_ouvrés]]</f>
        <v>4.1897180428327229E-3</v>
      </c>
      <c r="CE375">
        <v>7.5880726467531134E-2</v>
      </c>
      <c r="CF375">
        <v>1.989821358241517E-2</v>
      </c>
      <c r="CG375" s="4">
        <v>11</v>
      </c>
      <c r="CH375" s="4">
        <v>1.1593596509901765</v>
      </c>
      <c r="CI375" s="4">
        <v>4.0741311947357597E-2</v>
      </c>
      <c r="CJ375" s="4">
        <f>IF(Base[[#This Row],[Secteur]]&lt;&gt;"Moyenne",Base[[#This Row],['[Prod']'[Turnover']DMC_initiale]]*(1+Base[[#This Row],['[Prod']'[Turnover']Ecart_accidents]]*Base[[#This Row],['[Prod']Impact_motifs_turnover]]),CJ358*CI358+CJ359*CI359+CJ360*CI360+CJ361*CI361+CJ362*CI362+CJ363*CI363+CJ364*CI364+CJ365*CI365+CJ366*CI366+CJ367*CI367+CJ368*CI368+CJ369*CI369+CJ370*CI370+CJ371*CI371+CJ372*CI372+CJ373*CI373+CJ374*CI374)</f>
        <v>11.253761045496606</v>
      </c>
      <c r="CK375" s="4">
        <f>1/Base[[#This Row],['[Prod']'[Turnover']DMC_initiale]]</f>
        <v>9.0909090909090912E-2</v>
      </c>
      <c r="CL375" s="4">
        <f>1/Base[[#This Row],['[Prod']'[Turnover']DMC_finale]]</f>
        <v>8.8859181917690336E-2</v>
      </c>
    </row>
    <row r="376" spans="2:90" x14ac:dyDescent="0.25">
      <c r="B376" s="4" t="s">
        <v>332</v>
      </c>
      <c r="C376">
        <v>15</v>
      </c>
      <c r="D376" t="s">
        <v>83</v>
      </c>
      <c r="E376" t="s">
        <v>7</v>
      </c>
      <c r="F376" s="3">
        <v>0.37420224740387292</v>
      </c>
      <c r="G376" s="3">
        <v>0.1217</v>
      </c>
      <c r="H376" s="3">
        <v>0.1217</v>
      </c>
      <c r="I376" s="3">
        <v>9.1999999999999998E-2</v>
      </c>
      <c r="J376" s="3">
        <v>7.27956</v>
      </c>
      <c r="K376" s="3">
        <v>7.0000000000000007E-2</v>
      </c>
      <c r="L376" s="2">
        <f>Base[[#This Row],[Coût]]*Base[[#This Row],[Part_ménages_dépenses_santé]]</f>
        <v>0.50956920000000006</v>
      </c>
      <c r="M376" s="2">
        <v>1</v>
      </c>
      <c r="N376" s="6">
        <v>27700000</v>
      </c>
      <c r="O376" s="7">
        <f>Base[[#This Row],[Coût_salarié]]*10^9*Base[[#This Row],[Risque]]*Base[[#This Row],[Prévalence]]*Base[[#This Row],[Part_coûts_salarié]]/Base[[#This Row],[Population_emploi]]</f>
        <v>0.83776144691250853</v>
      </c>
      <c r="P376">
        <v>50</v>
      </c>
      <c r="Q376">
        <v>50</v>
      </c>
      <c r="R376" s="2">
        <v>9.9999999999999978E-2</v>
      </c>
      <c r="S376" s="2">
        <v>0.33340000000000003</v>
      </c>
      <c r="T376" s="4">
        <v>0.1217</v>
      </c>
      <c r="U376" s="4">
        <f>IF(Bases_annexes!$F$5=0,16.6587111018772,0.77*Bases_annexes!$F$5/(IF(OR(ISBLANK('Données_d''entrée'!$E$44),'Données_d''entrée'!$E$44=0),35,'Données_d''entrée'!$E$44)*52))</f>
        <v>16.658711101877199</v>
      </c>
      <c r="V376" s="4">
        <v>21.5</v>
      </c>
      <c r="W3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25.755983902043234</v>
      </c>
      <c r="X376" s="4">
        <v>234.5</v>
      </c>
      <c r="Y376" s="4">
        <f>(Base[[#This Row],['[Maladies']Coûts_évités_par_salarié]]+Base[[#This Row],['[Travail']Coûts_évités_par_salarié]])/Base[[#This Row],[Budget_santé_salarié]]</f>
        <v>0.11340616353499251</v>
      </c>
      <c r="Z376" s="4">
        <v>0.8</v>
      </c>
      <c r="AA376" s="4">
        <f>Base[[#This Row],[Coût]]*Base[[#This Row],[Part_société_dépenses_santé]]</f>
        <v>5.8236480000000004</v>
      </c>
      <c r="AB376" s="4">
        <v>67635124</v>
      </c>
      <c r="AC376" s="4">
        <v>82.297079063317852</v>
      </c>
      <c r="AD376" s="4">
        <v>0.1217</v>
      </c>
      <c r="AE376" s="4">
        <f>Base[[#This Row],['[SC']Prévalence_travail]]*Base[[#This Row],[Population_emploi]]</f>
        <v>3371090</v>
      </c>
      <c r="AF376" s="4">
        <f>Base[[#This Row],[Risque]]*Base[[#This Row],['[SC']Patients_en_emploi]]</f>
        <v>1261469.454200722</v>
      </c>
      <c r="AG376" s="4">
        <v>0</v>
      </c>
      <c r="AH376" s="4">
        <f>IFERROR(Base[[#This Row],['[SC']Prestations]]/Base[[#This Row],['[SC']Patients_en_emploi]],0)</f>
        <v>0</v>
      </c>
      <c r="AI376" s="4">
        <v>51.7</v>
      </c>
      <c r="AJ3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1206532459.4702806</v>
      </c>
      <c r="AK376" s="4">
        <f>Base[[#This Row],['[SC']'[Travail']Coûts_évités]]/Base[[#This Row],[Population_emploi]]</f>
        <v>43.557128500732155</v>
      </c>
      <c r="AL376" s="4">
        <f>Base[[#This Row],[Coût_société]]*10^9*Base[[#This Row],[Risque]]*Base[[#This Row],[Prévalence]]*Base[[#This Row],[Part_coûts_salarié]]/Base[[#This Row],[Population_emploi]]</f>
        <v>9.5744165361429534</v>
      </c>
      <c r="AM376" s="4">
        <f>IF(Base[[#This Row],[Pathologie]]&lt;&gt;"Dépendance",0,14909.24243952)</f>
        <v>0</v>
      </c>
      <c r="AN376" s="4">
        <f>IF(Base[[#This Row],[Pathologie]]&lt;&gt;"Dépendance",0,1316000)</f>
        <v>0</v>
      </c>
      <c r="AO376" s="4">
        <f>IF(Base[[#This Row],[Pathologie]]&lt;&gt;"Dépendance",0,Base[[#This Row],['[SC']Coût_personne_dépendante]]*Base[[#This Row],['[SC']Nb_personnes_dépendantes]])</f>
        <v>0</v>
      </c>
      <c r="AP376" s="4">
        <f>IF(Base[[#This Row],[Pathologie]]&lt;&gt;"Dépendance",0,Base[[#This Row],['[SC']Coût_total_dépendance]]/Base[[#This Row],[Population_totale]])</f>
        <v>0</v>
      </c>
      <c r="AQ376" s="4">
        <f>IF(Base[[#This Row],[Pathologie]]&lt;&gt;"Dépendance",0,4.5)</f>
        <v>0</v>
      </c>
      <c r="AR376" s="4">
        <v>0.83987615528424797</v>
      </c>
      <c r="AS376" s="4">
        <f>Base[[#This Row],[Espérance_vie]]+Base[[#This Row],['[SC']Hausse_esp_de_vie]]-Base[[#This Row],['[SC']Durée_moyenne_dépendance_avt]]+Base[[#This Row],[Risque]]</f>
        <v>83.511157466005969</v>
      </c>
      <c r="AT3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6" s="4">
        <v>62.9</v>
      </c>
      <c r="AW376" s="4">
        <f t="shared" si="6"/>
        <v>336905600000</v>
      </c>
      <c r="AX376" s="4">
        <v>15049171</v>
      </c>
      <c r="AY376" s="4">
        <f>Base[[#This Row],['[SC']Budget_total_retraites]]/Base[[#This Row],['[SC']Nombre_de_retraités]]</f>
        <v>22386.987296509556</v>
      </c>
      <c r="AZ376" s="4">
        <f>Base[[#This Row],['[SC']Budget_par_retraité]]*Base[[#This Row],['[SC']Nb_personnes_dépendantes]]</f>
        <v>0</v>
      </c>
      <c r="BA376" s="4">
        <f>Base[[#This Row],['[SC']'[Dépendance']Coût_retraite_personnes_dépendantes]]/Base[[#This Row],[Population_totale]]</f>
        <v>0</v>
      </c>
      <c r="BB3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6" s="4">
        <f>Base[[#This Row],['[SC']'[Dépendance']Gains]]-Base[[#This Row],['[SC']'[Dépendance']Coûts]]</f>
        <v>0</v>
      </c>
      <c r="BD376" s="4">
        <f>IF(Base[[#This Row],[Pathologie]]&lt;&gt;"Mort prématurée",0,Base[[#This Row],[Risque]]*Base[[#This Row],[Prévalence]]*Base[[#This Row],[Population_totale]])</f>
        <v>0</v>
      </c>
      <c r="BE376" s="4">
        <v>52.74</v>
      </c>
      <c r="BF376" s="4">
        <f>Base[[#This Row],['[SC']Âge_moyen_retraite]]-Base[[#This Row],['[SC']'[Mort_prématurée']Âge_moyen_mort précoce]]</f>
        <v>10.159999999999997</v>
      </c>
      <c r="BG376" s="4">
        <f>Base[[#This Row],[Espérance_vie]]+Base[[#This Row],['[SC']Hausse_esp_de_vie]]-Base[[#This Row],['[SC']Âge_moyen_retraite]]</f>
        <v>20.236955218602098</v>
      </c>
      <c r="BH376" s="4">
        <v>106583.42676924677</v>
      </c>
      <c r="BI376" s="4">
        <v>97601.789429271477</v>
      </c>
      <c r="BJ376" s="4">
        <v>302038.31496633729</v>
      </c>
      <c r="BK376" s="4">
        <v>117293.58934859755</v>
      </c>
      <c r="BL376" s="4">
        <v>1523999.9999999995</v>
      </c>
      <c r="BM3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6" s="4">
        <v>294804.96027377353</v>
      </c>
      <c r="BO3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6" s="4">
        <f>(Base[[#This Row],['[SC']'[Mort_prématurée']Gains]]-Base[[#This Row],['[SC']'[Mort_prématurée']Coûts]])/Base[[#This Row],[Population_totale]]</f>
        <v>0</v>
      </c>
      <c r="BQ376" s="4">
        <f>IF(Base[[#This Row],[Pathologie]]&lt;&gt;"Mort prématurée",0,Base[[#This Row],[Risque]])</f>
        <v>0</v>
      </c>
      <c r="BR376" s="4">
        <v>2680</v>
      </c>
      <c r="BS3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1.9825203371968324E-2</v>
      </c>
      <c r="BT3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376" s="4">
        <f>Base[[#This Row],[Prévalence_prod]]*(1-Base[[#This Row],[Risque]])*Base[[#This Row],[Durée_arrêt]]*Base[[#This Row],[Population_emploi]]</f>
        <v>45356841.734684482</v>
      </c>
      <c r="BV376" s="4">
        <f>Base[[#This Row],['[Prod']'[Absentéisme']Total_jours_absence_avant]]-Base[[#This Row],['[Prod']'[Absentéisme']Total_jours_absence_après]]</f>
        <v>27121593.265315518</v>
      </c>
      <c r="BW376" s="4">
        <f>IF(AND(Base[[#This Row],[Pathologie]]&lt;&gt;"Dépendance",Base[[#This Row],[Pathologie]]&lt;&gt;"Mort prématurée",Base[[#This Row],[Pathologie]]&lt;&gt;"Migraine"),0.0619,0)</f>
        <v>6.1899999999999997E-2</v>
      </c>
      <c r="BX376" s="4">
        <v>254</v>
      </c>
      <c r="BY37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376" s="4">
        <f>(Base[[#This Row],['[Prod']'[Absentéisme']Jours_théoriques]]-Base[[#This Row],['[Prod']'[Absentéisme']Total_jours_absence_évités]])/(Base[[#This Row],[Population_emploi]]*Base[[#This Row],['[Prod']Jours_ouvrés]])</f>
        <v>1.7402684086195642E-2</v>
      </c>
      <c r="CA376" s="4">
        <f>Base[[#This Row],[Prévalence_prod]]*Base[[#This Row],[Présentéisme]]*Base[[#This Row],['[Prod']Jours_ouvrés]]</f>
        <v>2.8438856000000001</v>
      </c>
      <c r="CB376" s="4">
        <f>Base[[#This Row],[Prévalence_prod]]*(1-Base[[#This Row],[Risque]])*Base[[#This Row],[Présentéisme]]*Base[[#This Row],['[Prod']Jours_ouvrés]]</f>
        <v>1.7796972171204886</v>
      </c>
      <c r="CC376" s="4">
        <f>Base[[#This Row],['[Prod']'[Présentéisme']Jours_avant]]-Base[[#This Row],['[Prod']'[Présentéisme']Jours_après]]</f>
        <v>1.0641883828795116</v>
      </c>
      <c r="CD376" s="4">
        <f>Base[[#This Row],['[Prod']'[Présentéisme']Jours_gagnés]]/Base[[#This Row],['[Prod']Jours_ouvrés]]</f>
        <v>4.1897180428327229E-3</v>
      </c>
      <c r="CE376">
        <v>7.5880726467531134E-2</v>
      </c>
      <c r="CF376">
        <v>1.989821358241517E-2</v>
      </c>
      <c r="CG376" s="4">
        <v>11</v>
      </c>
      <c r="CH376" s="4">
        <v>0.85076983926913452</v>
      </c>
      <c r="CI376" s="4">
        <v>0</v>
      </c>
      <c r="CJ376" s="4">
        <f>IF(Base[[#This Row],[Secteur]]&lt;&gt;"Moyenne",Base[[#This Row],['[Prod']'[Turnover']DMC_initiale]]*(1+Base[[#This Row],['[Prod']'[Turnover']Ecart_accidents]]*Base[[#This Row],['[Prod']Impact_motifs_turnover]]),CJ359*CI359+CJ360*CI360+CJ361*CI361+CJ362*CI362+CJ363*CI363+CJ364*CI364+CJ365*CI365+CJ366*CI366+CJ367*CI367+CJ368*CI368+CJ369*CI369+CJ370*CI370+CJ371*CI371+CJ372*CI372+CJ373*CI373+CJ374*CI374+CJ375*CI375)</f>
        <v>11.186216799683796</v>
      </c>
      <c r="CK376" s="4">
        <f>1/Base[[#This Row],['[Prod']'[Turnover']DMC_initiale]]</f>
        <v>9.0909090909090912E-2</v>
      </c>
      <c r="CL376" s="4">
        <f>1/Base[[#This Row],['[Prod']'[Turnover']DMC_finale]]</f>
        <v>8.9395728502979416E-2</v>
      </c>
    </row>
    <row r="377" spans="2:90" x14ac:dyDescent="0.25">
      <c r="B377" s="4" t="s">
        <v>315</v>
      </c>
      <c r="C377">
        <v>15</v>
      </c>
      <c r="D377" t="s">
        <v>83</v>
      </c>
      <c r="E377" t="s">
        <v>10</v>
      </c>
      <c r="F377" s="3">
        <v>0.20789013744659607</v>
      </c>
      <c r="G377" s="3">
        <v>0.17849999999999999</v>
      </c>
      <c r="H377" s="3">
        <v>8.4823104693140794E-4</v>
      </c>
      <c r="I377" s="3">
        <v>0</v>
      </c>
      <c r="J377" s="3">
        <v>1.82</v>
      </c>
      <c r="K377" s="3">
        <v>7.0000000000000007E-2</v>
      </c>
      <c r="L377" s="2">
        <f>Base[[#This Row],[Coût]]*Base[[#This Row],[Part_ménages_dépenses_santé]]</f>
        <v>0.12740000000000001</v>
      </c>
      <c r="M377" s="2">
        <v>0.82690611956969029</v>
      </c>
      <c r="N377" s="6">
        <v>27700000</v>
      </c>
      <c r="O377" s="7">
        <f>Base[[#This Row],[Coût_salarié]]*10^9*Base[[#This Row],[Risque]]*Base[[#This Row],[Prévalence]]*Base[[#This Row],[Part_coûts_salarié]]/Base[[#This Row],[Population_emploi]]</f>
        <v>0.1411295548626807</v>
      </c>
      <c r="P377">
        <v>50</v>
      </c>
      <c r="Q377">
        <v>50</v>
      </c>
      <c r="R377" s="2">
        <v>9.9999999999999978E-2</v>
      </c>
      <c r="S377" s="2">
        <v>0.33340000000000003</v>
      </c>
      <c r="T377" s="4">
        <v>8.4823104693140805E-4</v>
      </c>
      <c r="U377" s="4">
        <f>IF(Bases_annexes!$F$5=0,16.6587111018772,0.77*Bases_annexes!$F$5/(IF(OR(ISBLANK('Données_d''entrée'!$E$44),'Données_d''entrée'!$E$44=0),35,'Données_d''entrée'!$E$44)*52))</f>
        <v>16.658711101877199</v>
      </c>
      <c r="V377" s="4">
        <v>20.125</v>
      </c>
      <c r="W3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77" s="4">
        <v>234.5</v>
      </c>
      <c r="Y377" s="4">
        <f>(Base[[#This Row],['[Maladies']Coûts_évités_par_salarié]]+Base[[#This Row],['[Travail']Coûts_évités_par_salarié]])/Base[[#This Row],[Budget_santé_salarié]]</f>
        <v>1.0150657490944225E-3</v>
      </c>
      <c r="Z377" s="4">
        <v>0.8</v>
      </c>
      <c r="AA377" s="4">
        <f>Base[[#This Row],[Coût]]*Base[[#This Row],[Part_société_dépenses_santé]]</f>
        <v>1.4560000000000002</v>
      </c>
      <c r="AB377" s="4">
        <v>67635124</v>
      </c>
      <c r="AC377" s="4">
        <v>82.297079063317852</v>
      </c>
      <c r="AD377" s="4">
        <v>8.4823104693140805E-4</v>
      </c>
      <c r="AE377" s="4">
        <f>Base[[#This Row],['[SC']Prévalence_travail]]*Base[[#This Row],[Population_emploi]]</f>
        <v>23496.000000000004</v>
      </c>
      <c r="AF377" s="4">
        <f>Base[[#This Row],[Risque]]*Base[[#This Row],['[SC']Patients_en_emploi]]</f>
        <v>4884.5866694452216</v>
      </c>
      <c r="AG377" s="4">
        <v>0</v>
      </c>
      <c r="AH377" s="4">
        <f>IFERROR(Base[[#This Row],['[SC']Prestations]]/Base[[#This Row],['[SC']Patients_en_emploi]],0)</f>
        <v>0</v>
      </c>
      <c r="AI377" s="4">
        <v>51.7</v>
      </c>
      <c r="AJ3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77" s="4">
        <f>Base[[#This Row],['[SC']'[Travail']Coûts_évités]]/Base[[#This Row],[Population_emploi]]</f>
        <v>0.15612382184572907</v>
      </c>
      <c r="AL377" s="4">
        <f>Base[[#This Row],[Coût_société]]*10^9*Base[[#This Row],[Risque]]*Base[[#This Row],[Prévalence]]*Base[[#This Row],[Part_coûts_salarié]]/Base[[#This Row],[Population_emploi]]</f>
        <v>1.6129091984306367</v>
      </c>
      <c r="AM377" s="4">
        <f>IF(Base[[#This Row],[Pathologie]]&lt;&gt;"Dépendance",0,14909.24243952)</f>
        <v>0</v>
      </c>
      <c r="AN377" s="4">
        <f>IF(Base[[#This Row],[Pathologie]]&lt;&gt;"Dépendance",0,1316000)</f>
        <v>0</v>
      </c>
      <c r="AO377" s="4">
        <f>IF(Base[[#This Row],[Pathologie]]&lt;&gt;"Dépendance",0,Base[[#This Row],['[SC']Coût_personne_dépendante]]*Base[[#This Row],['[SC']Nb_personnes_dépendantes]])</f>
        <v>0</v>
      </c>
      <c r="AP377" s="4">
        <f>IF(Base[[#This Row],[Pathologie]]&lt;&gt;"Dépendance",0,Base[[#This Row],['[SC']Coût_total_dépendance]]/Base[[#This Row],[Population_totale]])</f>
        <v>0</v>
      </c>
      <c r="AQ377" s="4">
        <f>IF(Base[[#This Row],[Pathologie]]&lt;&gt;"Dépendance",0,4.5)</f>
        <v>0</v>
      </c>
      <c r="AR377" s="4">
        <v>0.83987615528424797</v>
      </c>
      <c r="AS377" s="4">
        <f>Base[[#This Row],[Espérance_vie]]+Base[[#This Row],['[SC']Hausse_esp_de_vie]]-Base[[#This Row],['[SC']Durée_moyenne_dépendance_avt]]+Base[[#This Row],[Risque]]</f>
        <v>83.344845356048694</v>
      </c>
      <c r="AT3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7" s="4">
        <v>62.9</v>
      </c>
      <c r="AW377" s="4">
        <f t="shared" si="0"/>
        <v>336905600000</v>
      </c>
      <c r="AX377" s="4">
        <v>15049171</v>
      </c>
      <c r="AY377" s="4">
        <f>Base[[#This Row],['[SC']Budget_total_retraites]]/Base[[#This Row],['[SC']Nombre_de_retraités]]</f>
        <v>22386.987296509556</v>
      </c>
      <c r="AZ377" s="4">
        <f>Base[[#This Row],['[SC']Budget_par_retraité]]*Base[[#This Row],['[SC']Nb_personnes_dépendantes]]</f>
        <v>0</v>
      </c>
      <c r="BA377" s="4">
        <f>Base[[#This Row],['[SC']'[Dépendance']Coût_retraite_personnes_dépendantes]]/Base[[#This Row],[Population_totale]]</f>
        <v>0</v>
      </c>
      <c r="BB3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7" s="4">
        <f>Base[[#This Row],['[SC']'[Dépendance']Gains]]-Base[[#This Row],['[SC']'[Dépendance']Coûts]]</f>
        <v>0</v>
      </c>
      <c r="BD377" s="4">
        <f>IF(Base[[#This Row],[Pathologie]]&lt;&gt;"Mort prématurée",0,Base[[#This Row],[Risque]]*Base[[#This Row],[Prévalence]]*Base[[#This Row],[Population_totale]])</f>
        <v>0</v>
      </c>
      <c r="BE377" s="4">
        <v>52.74</v>
      </c>
      <c r="BF377" s="4">
        <f>Base[[#This Row],['[SC']Âge_moyen_retraite]]-Base[[#This Row],['[SC']'[Mort_prématurée']Âge_moyen_mort précoce]]</f>
        <v>10.159999999999997</v>
      </c>
      <c r="BG377" s="4">
        <f>Base[[#This Row],[Espérance_vie]]+Base[[#This Row],['[SC']Hausse_esp_de_vie]]-Base[[#This Row],['[SC']Âge_moyen_retraite]]</f>
        <v>20.236955218602098</v>
      </c>
      <c r="BH377" s="4">
        <v>106583.42676924677</v>
      </c>
      <c r="BI377" s="4">
        <v>97601.789429271477</v>
      </c>
      <c r="BJ377" s="4">
        <v>302038.31496633729</v>
      </c>
      <c r="BK377" s="4">
        <v>117293.58934859755</v>
      </c>
      <c r="BL377" s="4">
        <v>1523999.9999999995</v>
      </c>
      <c r="BM3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7" s="4">
        <v>294804.96027377353</v>
      </c>
      <c r="BO3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7" s="4">
        <f>(Base[[#This Row],['[SC']'[Mort_prématurée']Gains]]-Base[[#This Row],['[SC']'[Mort_prématurée']Coûts]])/Base[[#This Row],[Population_totale]]</f>
        <v>0</v>
      </c>
      <c r="BQ377" s="4">
        <f>IF(Base[[#This Row],[Pathologie]]&lt;&gt;"Mort prématurée",0,Base[[#This Row],[Risque]])</f>
        <v>0</v>
      </c>
      <c r="BR377" s="4">
        <v>2680</v>
      </c>
      <c r="BS3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77" s="4">
        <f>Base[[#This Row],[Prévalence_prod]]*(1-Base[[#This Row],[Risque]])*Base[[#This Row],[Durée_arrêt]]*Base[[#This Row],[Population_emploi]]</f>
        <v>374554.69327741495</v>
      </c>
      <c r="BV377" s="4">
        <f>Base[[#This Row],['[Prod']'[Absentéisme']Total_jours_absence_avant]]-Base[[#This Row],['[Prod']'[Absentéisme']Total_jours_absence_après]]</f>
        <v>98302.306722584995</v>
      </c>
      <c r="BW377" s="4">
        <f>IF(AND(Base[[#This Row],[Pathologie]]&lt;&gt;"Dépendance",Base[[#This Row],[Pathologie]]&lt;&gt;"Mort prématurée",Base[[#This Row],[Pathologie]]&lt;&gt;"Migraine"),0.0619,0)</f>
        <v>6.1899999999999997E-2</v>
      </c>
      <c r="BX377" s="4">
        <v>254</v>
      </c>
      <c r="BY37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77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77" s="4">
        <f>Base[[#This Row],[Prévalence_prod]]*Base[[#This Row],[Présentéisme]]*Base[[#This Row],['[Prod']Jours_ouvrés]]</f>
        <v>0</v>
      </c>
      <c r="CB377" s="4">
        <f>Base[[#This Row],[Prévalence_prod]]*(1-Base[[#This Row],[Risque]])*Base[[#This Row],[Présentéisme]]*Base[[#This Row],['[Prod']Jours_ouvrés]]</f>
        <v>0</v>
      </c>
      <c r="CC377" s="4">
        <f>Base[[#This Row],['[Prod']'[Présentéisme']Jours_avant]]-Base[[#This Row],['[Prod']'[Présentéisme']Jours_après]]</f>
        <v>0</v>
      </c>
      <c r="CD377" s="4">
        <f>Base[[#This Row],['[Prod']'[Présentéisme']Jours_gagnés]]/Base[[#This Row],['[Prod']Jours_ouvrés]]</f>
        <v>0</v>
      </c>
      <c r="CE377">
        <v>7.5880726467531134E-2</v>
      </c>
      <c r="CF377">
        <v>1.989821358241517E-2</v>
      </c>
      <c r="CG377" s="4">
        <v>11</v>
      </c>
      <c r="CH377" s="4">
        <v>1.3966184516047948</v>
      </c>
      <c r="CI377" s="4">
        <v>1.4392894727292521E-2</v>
      </c>
      <c r="CJ377" s="4">
        <f>IF(Base[[#This Row],[Secteur]]&lt;&gt;"Moyenne",Base[[#This Row],['[Prod']'[Turnover']DMC_initiale]]*(1+Base[[#This Row],['[Prod']'[Turnover']Ecart_accidents]]*Base[[#This Row],['[Prod']Impact_motifs_turnover]]),CJ360*CI360+CJ361*CI361+CJ362*CI362+CJ363*CI363+CJ364*CI364+CJ365*CI365+CJ366*CI366+CJ367*CI367+CJ368*CI368+CJ369*CI369+CJ370*CI370+CJ371*CI371+CJ372*CI372+CJ373*CI373+CJ374*CI374+CJ375*CI375+CJ376*CI376)</f>
        <v>11.305692334674916</v>
      </c>
      <c r="CK377" s="4">
        <f>1/Base[[#This Row],['[Prod']'[Turnover']DMC_initiale]]</f>
        <v>9.0909090909090912E-2</v>
      </c>
      <c r="CL377" s="4">
        <f>1/Base[[#This Row],['[Prod']'[Turnover']DMC_finale]]</f>
        <v>8.8451018336397527E-2</v>
      </c>
    </row>
    <row r="378" spans="2:90" x14ac:dyDescent="0.25">
      <c r="B378" s="4" t="s">
        <v>316</v>
      </c>
      <c r="C378">
        <v>15</v>
      </c>
      <c r="D378" t="s">
        <v>83</v>
      </c>
      <c r="E378" t="s">
        <v>10</v>
      </c>
      <c r="F378" s="3">
        <v>0.20789013744659607</v>
      </c>
      <c r="G378" s="3">
        <v>0.17849999999999999</v>
      </c>
      <c r="H378" s="3">
        <v>8.4823104693140794E-4</v>
      </c>
      <c r="I378" s="3">
        <v>0</v>
      </c>
      <c r="J378" s="3">
        <v>1.82</v>
      </c>
      <c r="K378" s="3">
        <v>7.0000000000000007E-2</v>
      </c>
      <c r="L378" s="2">
        <f>Base[[#This Row],[Coût]]*Base[[#This Row],[Part_ménages_dépenses_santé]]</f>
        <v>0.12740000000000001</v>
      </c>
      <c r="M378" s="2">
        <v>0.82690611956969029</v>
      </c>
      <c r="N378" s="6">
        <v>27700000</v>
      </c>
      <c r="O378" s="7">
        <f>Base[[#This Row],[Coût_salarié]]*10^9*Base[[#This Row],[Risque]]*Base[[#This Row],[Prévalence]]*Base[[#This Row],[Part_coûts_salarié]]/Base[[#This Row],[Population_emploi]]</f>
        <v>0.1411295548626807</v>
      </c>
      <c r="P378">
        <v>50</v>
      </c>
      <c r="Q378">
        <v>50</v>
      </c>
      <c r="R378" s="2">
        <v>9.9999999999999978E-2</v>
      </c>
      <c r="S378" s="2">
        <v>0.33340000000000003</v>
      </c>
      <c r="T378" s="4">
        <v>8.4823104693140805E-4</v>
      </c>
      <c r="U378" s="4">
        <f>IF(Bases_annexes!$F$5=0,16.6587111018772,0.77*Bases_annexes!$F$5/(IF(OR(ISBLANK('Données_d''entrée'!$E$44),'Données_d''entrée'!$E$44=0),35,'Données_d''entrée'!$E$44)*52))</f>
        <v>16.658711101877199</v>
      </c>
      <c r="V378" s="4">
        <v>20.125</v>
      </c>
      <c r="W3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78" s="4">
        <v>234.5</v>
      </c>
      <c r="Y378" s="4">
        <f>(Base[[#This Row],['[Maladies']Coûts_évités_par_salarié]]+Base[[#This Row],['[Travail']Coûts_évités_par_salarié]])/Base[[#This Row],[Budget_santé_salarié]]</f>
        <v>1.0150657490944225E-3</v>
      </c>
      <c r="Z378" s="4">
        <v>0.8</v>
      </c>
      <c r="AA378" s="4">
        <f>Base[[#This Row],[Coût]]*Base[[#This Row],[Part_société_dépenses_santé]]</f>
        <v>1.4560000000000002</v>
      </c>
      <c r="AB378" s="4">
        <v>67635124</v>
      </c>
      <c r="AC378" s="4">
        <v>82.297079063317852</v>
      </c>
      <c r="AD378" s="4">
        <v>8.4823104693140805E-4</v>
      </c>
      <c r="AE378" s="4">
        <f>Base[[#This Row],['[SC']Prévalence_travail]]*Base[[#This Row],[Population_emploi]]</f>
        <v>23496.000000000004</v>
      </c>
      <c r="AF378" s="4">
        <f>Base[[#This Row],[Risque]]*Base[[#This Row],['[SC']Patients_en_emploi]]</f>
        <v>4884.5866694452216</v>
      </c>
      <c r="AG378" s="4">
        <v>0</v>
      </c>
      <c r="AH378" s="4">
        <f>IFERROR(Base[[#This Row],['[SC']Prestations]]/Base[[#This Row],['[SC']Patients_en_emploi]],0)</f>
        <v>0</v>
      </c>
      <c r="AI378" s="4">
        <v>51.7</v>
      </c>
      <c r="AJ3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78" s="4">
        <f>Base[[#This Row],['[SC']'[Travail']Coûts_évités]]/Base[[#This Row],[Population_emploi]]</f>
        <v>0.15612382184572907</v>
      </c>
      <c r="AL378" s="4">
        <f>Base[[#This Row],[Coût_société]]*10^9*Base[[#This Row],[Risque]]*Base[[#This Row],[Prévalence]]*Base[[#This Row],[Part_coûts_salarié]]/Base[[#This Row],[Population_emploi]]</f>
        <v>1.6129091984306367</v>
      </c>
      <c r="AM378" s="4">
        <f>IF(Base[[#This Row],[Pathologie]]&lt;&gt;"Dépendance",0,14909.24243952)</f>
        <v>0</v>
      </c>
      <c r="AN378" s="4">
        <f>IF(Base[[#This Row],[Pathologie]]&lt;&gt;"Dépendance",0,1316000)</f>
        <v>0</v>
      </c>
      <c r="AO378" s="4">
        <f>IF(Base[[#This Row],[Pathologie]]&lt;&gt;"Dépendance",0,Base[[#This Row],['[SC']Coût_personne_dépendante]]*Base[[#This Row],['[SC']Nb_personnes_dépendantes]])</f>
        <v>0</v>
      </c>
      <c r="AP378" s="4">
        <f>IF(Base[[#This Row],[Pathologie]]&lt;&gt;"Dépendance",0,Base[[#This Row],['[SC']Coût_total_dépendance]]/Base[[#This Row],[Population_totale]])</f>
        <v>0</v>
      </c>
      <c r="AQ378" s="4">
        <f>IF(Base[[#This Row],[Pathologie]]&lt;&gt;"Dépendance",0,4.5)</f>
        <v>0</v>
      </c>
      <c r="AR378" s="4">
        <v>0.83987615528424797</v>
      </c>
      <c r="AS378" s="4">
        <f>Base[[#This Row],[Espérance_vie]]+Base[[#This Row],['[SC']Hausse_esp_de_vie]]-Base[[#This Row],['[SC']Durée_moyenne_dépendance_avt]]+Base[[#This Row],[Risque]]</f>
        <v>83.344845356048694</v>
      </c>
      <c r="AT3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8" s="4">
        <v>62.9</v>
      </c>
      <c r="AW378" s="4">
        <f t="shared" ref="AW378:AW394" si="7">336905600000</f>
        <v>336905600000</v>
      </c>
      <c r="AX378" s="4">
        <v>15049171</v>
      </c>
      <c r="AY378" s="4">
        <f>Base[[#This Row],['[SC']Budget_total_retraites]]/Base[[#This Row],['[SC']Nombre_de_retraités]]</f>
        <v>22386.987296509556</v>
      </c>
      <c r="AZ378" s="4">
        <f>Base[[#This Row],['[SC']Budget_par_retraité]]*Base[[#This Row],['[SC']Nb_personnes_dépendantes]]</f>
        <v>0</v>
      </c>
      <c r="BA378" s="4">
        <f>Base[[#This Row],['[SC']'[Dépendance']Coût_retraite_personnes_dépendantes]]/Base[[#This Row],[Population_totale]]</f>
        <v>0</v>
      </c>
      <c r="BB3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8" s="4">
        <f>Base[[#This Row],['[SC']'[Dépendance']Gains]]-Base[[#This Row],['[SC']'[Dépendance']Coûts]]</f>
        <v>0</v>
      </c>
      <c r="BD378" s="4">
        <f>IF(Base[[#This Row],[Pathologie]]&lt;&gt;"Mort prématurée",0,Base[[#This Row],[Risque]]*Base[[#This Row],[Prévalence]]*Base[[#This Row],[Population_totale]])</f>
        <v>0</v>
      </c>
      <c r="BE378" s="4">
        <v>52.74</v>
      </c>
      <c r="BF378" s="4">
        <f>Base[[#This Row],['[SC']Âge_moyen_retraite]]-Base[[#This Row],['[SC']'[Mort_prématurée']Âge_moyen_mort précoce]]</f>
        <v>10.159999999999997</v>
      </c>
      <c r="BG378" s="4">
        <f>Base[[#This Row],[Espérance_vie]]+Base[[#This Row],['[SC']Hausse_esp_de_vie]]-Base[[#This Row],['[SC']Âge_moyen_retraite]]</f>
        <v>20.236955218602098</v>
      </c>
      <c r="BH378" s="4">
        <v>106583.42676924677</v>
      </c>
      <c r="BI378" s="4">
        <v>97601.789429271477</v>
      </c>
      <c r="BJ378" s="4">
        <v>302038.31496633729</v>
      </c>
      <c r="BK378" s="4">
        <v>117293.58934859755</v>
      </c>
      <c r="BL378" s="4">
        <v>1523999.9999999995</v>
      </c>
      <c r="BM3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8" s="4">
        <v>294804.96027377353</v>
      </c>
      <c r="BO3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8" s="4">
        <f>(Base[[#This Row],['[SC']'[Mort_prématurée']Gains]]-Base[[#This Row],['[SC']'[Mort_prématurée']Coûts]])/Base[[#This Row],[Population_totale]]</f>
        <v>0</v>
      </c>
      <c r="BQ378" s="4">
        <f>IF(Base[[#This Row],[Pathologie]]&lt;&gt;"Mort prématurée",0,Base[[#This Row],[Risque]])</f>
        <v>0</v>
      </c>
      <c r="BR378" s="4">
        <v>2680</v>
      </c>
      <c r="BS3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78" s="4">
        <f>Base[[#This Row],[Prévalence_prod]]*(1-Base[[#This Row],[Risque]])*Base[[#This Row],[Durée_arrêt]]*Base[[#This Row],[Population_emploi]]</f>
        <v>374554.69327741495</v>
      </c>
      <c r="BV378" s="4">
        <f>Base[[#This Row],['[Prod']'[Absentéisme']Total_jours_absence_avant]]-Base[[#This Row],['[Prod']'[Absentéisme']Total_jours_absence_après]]</f>
        <v>98302.306722584995</v>
      </c>
      <c r="BW378" s="4">
        <f>IF(AND(Base[[#This Row],[Pathologie]]&lt;&gt;"Dépendance",Base[[#This Row],[Pathologie]]&lt;&gt;"Mort prématurée",Base[[#This Row],[Pathologie]]&lt;&gt;"Migraine"),0.0619,0)</f>
        <v>6.1899999999999997E-2</v>
      </c>
      <c r="BX378" s="4">
        <v>254</v>
      </c>
      <c r="BY37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78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78" s="4">
        <f>Base[[#This Row],[Prévalence_prod]]*Base[[#This Row],[Présentéisme]]*Base[[#This Row],['[Prod']Jours_ouvrés]]</f>
        <v>0</v>
      </c>
      <c r="CB378" s="4">
        <f>Base[[#This Row],[Prévalence_prod]]*(1-Base[[#This Row],[Risque]])*Base[[#This Row],[Présentéisme]]*Base[[#This Row],['[Prod']Jours_ouvrés]]</f>
        <v>0</v>
      </c>
      <c r="CC378" s="4">
        <f>Base[[#This Row],['[Prod']'[Présentéisme']Jours_avant]]-Base[[#This Row],['[Prod']'[Présentéisme']Jours_après]]</f>
        <v>0</v>
      </c>
      <c r="CD378" s="4">
        <f>Base[[#This Row],['[Prod']'[Présentéisme']Jours_gagnés]]/Base[[#This Row],['[Prod']Jours_ouvrés]]</f>
        <v>0</v>
      </c>
      <c r="CE378">
        <v>7.5880726467531134E-2</v>
      </c>
      <c r="CF378">
        <v>1.989821358241517E-2</v>
      </c>
      <c r="CG378" s="4">
        <v>11</v>
      </c>
      <c r="CH378" s="4">
        <v>0.68054183762612652</v>
      </c>
      <c r="CI378" s="4">
        <v>1.2135452577082654E-2</v>
      </c>
      <c r="CJ378" s="4">
        <f>IF(Base[[#This Row],[Secteur]]&lt;&gt;"Moyenne",Base[[#This Row],['[Prod']'[Turnover']DMC_initiale]]*(1+Base[[#This Row],['[Prod']'[Turnover']Ecart_accidents]]*Base[[#This Row],['[Prod']Impact_motifs_turnover]]),CJ361*CI361+CJ362*CI362+CJ363*CI363+CJ364*CI364+CJ365*CI365+CJ366*CI366+CJ367*CI367+CJ368*CI368+CJ369*CI369+CJ370*CI370+CJ371*CI371+CJ372*CI372+CJ373*CI373+CJ374*CI374+CJ375*CI375+CJ376*CI376+CJ377*CI377)</f>
        <v>11.148957235205394</v>
      </c>
      <c r="CK378" s="4">
        <f>1/Base[[#This Row],['[Prod']'[Turnover']DMC_initiale]]</f>
        <v>9.0909090909090912E-2</v>
      </c>
      <c r="CL378" s="4">
        <f>1/Base[[#This Row],['[Prod']'[Turnover']DMC_finale]]</f>
        <v>8.9694487018236124E-2</v>
      </c>
    </row>
    <row r="379" spans="2:90" x14ac:dyDescent="0.25">
      <c r="B379" s="4" t="s">
        <v>317</v>
      </c>
      <c r="C379">
        <v>15</v>
      </c>
      <c r="D379" t="s">
        <v>83</v>
      </c>
      <c r="E379" t="s">
        <v>10</v>
      </c>
      <c r="F379" s="3">
        <v>0.20789013744659607</v>
      </c>
      <c r="G379" s="3">
        <v>0.17849999999999999</v>
      </c>
      <c r="H379" s="3">
        <v>8.4823104693140794E-4</v>
      </c>
      <c r="I379" s="3">
        <v>0</v>
      </c>
      <c r="J379" s="3">
        <v>1.82</v>
      </c>
      <c r="K379" s="3">
        <v>7.0000000000000007E-2</v>
      </c>
      <c r="L379" s="2">
        <f>Base[[#This Row],[Coût]]*Base[[#This Row],[Part_ménages_dépenses_santé]]</f>
        <v>0.12740000000000001</v>
      </c>
      <c r="M379" s="2">
        <v>0.82690611956969029</v>
      </c>
      <c r="N379" s="6">
        <v>27700000</v>
      </c>
      <c r="O379" s="7">
        <f>Base[[#This Row],[Coût_salarié]]*10^9*Base[[#This Row],[Risque]]*Base[[#This Row],[Prévalence]]*Base[[#This Row],[Part_coûts_salarié]]/Base[[#This Row],[Population_emploi]]</f>
        <v>0.1411295548626807</v>
      </c>
      <c r="P379">
        <v>50</v>
      </c>
      <c r="Q379">
        <v>50</v>
      </c>
      <c r="R379" s="2">
        <v>9.9999999999999978E-2</v>
      </c>
      <c r="S379" s="2">
        <v>0.33340000000000003</v>
      </c>
      <c r="T379" s="4">
        <v>8.4823104693140805E-4</v>
      </c>
      <c r="U379" s="4">
        <f>IF(Bases_annexes!$F$5=0,16.6587111018772,0.77*Bases_annexes!$F$5/(IF(OR(ISBLANK('Données_d''entrée'!$E$44),'Données_d''entrée'!$E$44=0),35,'Données_d''entrée'!$E$44)*52))</f>
        <v>16.658711101877199</v>
      </c>
      <c r="V379" s="4">
        <v>20.125</v>
      </c>
      <c r="W3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79" s="4">
        <v>234.5</v>
      </c>
      <c r="Y379" s="4">
        <f>(Base[[#This Row],['[Maladies']Coûts_évités_par_salarié]]+Base[[#This Row],['[Travail']Coûts_évités_par_salarié]])/Base[[#This Row],[Budget_santé_salarié]]</f>
        <v>1.0150657490944225E-3</v>
      </c>
      <c r="Z379" s="4">
        <v>0.8</v>
      </c>
      <c r="AA379" s="4">
        <f>Base[[#This Row],[Coût]]*Base[[#This Row],[Part_société_dépenses_santé]]</f>
        <v>1.4560000000000002</v>
      </c>
      <c r="AB379" s="4">
        <v>67635124</v>
      </c>
      <c r="AC379" s="4">
        <v>82.297079063317852</v>
      </c>
      <c r="AD379" s="4">
        <v>8.4823104693140805E-4</v>
      </c>
      <c r="AE379" s="4">
        <f>Base[[#This Row],['[SC']Prévalence_travail]]*Base[[#This Row],[Population_emploi]]</f>
        <v>23496.000000000004</v>
      </c>
      <c r="AF379" s="4">
        <f>Base[[#This Row],[Risque]]*Base[[#This Row],['[SC']Patients_en_emploi]]</f>
        <v>4884.5866694452216</v>
      </c>
      <c r="AG379" s="4">
        <v>0</v>
      </c>
      <c r="AH379" s="4">
        <f>IFERROR(Base[[#This Row],['[SC']Prestations]]/Base[[#This Row],['[SC']Patients_en_emploi]],0)</f>
        <v>0</v>
      </c>
      <c r="AI379" s="4">
        <v>51.7</v>
      </c>
      <c r="AJ3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79" s="4">
        <f>Base[[#This Row],['[SC']'[Travail']Coûts_évités]]/Base[[#This Row],[Population_emploi]]</f>
        <v>0.15612382184572907</v>
      </c>
      <c r="AL379" s="4">
        <f>Base[[#This Row],[Coût_société]]*10^9*Base[[#This Row],[Risque]]*Base[[#This Row],[Prévalence]]*Base[[#This Row],[Part_coûts_salarié]]/Base[[#This Row],[Population_emploi]]</f>
        <v>1.6129091984306367</v>
      </c>
      <c r="AM379" s="4">
        <f>IF(Base[[#This Row],[Pathologie]]&lt;&gt;"Dépendance",0,14909.24243952)</f>
        <v>0</v>
      </c>
      <c r="AN379" s="4">
        <f>IF(Base[[#This Row],[Pathologie]]&lt;&gt;"Dépendance",0,1316000)</f>
        <v>0</v>
      </c>
      <c r="AO379" s="4">
        <f>IF(Base[[#This Row],[Pathologie]]&lt;&gt;"Dépendance",0,Base[[#This Row],['[SC']Coût_personne_dépendante]]*Base[[#This Row],['[SC']Nb_personnes_dépendantes]])</f>
        <v>0</v>
      </c>
      <c r="AP379" s="4">
        <f>IF(Base[[#This Row],[Pathologie]]&lt;&gt;"Dépendance",0,Base[[#This Row],['[SC']Coût_total_dépendance]]/Base[[#This Row],[Population_totale]])</f>
        <v>0</v>
      </c>
      <c r="AQ379" s="4">
        <f>IF(Base[[#This Row],[Pathologie]]&lt;&gt;"Dépendance",0,4.5)</f>
        <v>0</v>
      </c>
      <c r="AR379" s="4">
        <v>0.83987615528424797</v>
      </c>
      <c r="AS379" s="4">
        <f>Base[[#This Row],[Espérance_vie]]+Base[[#This Row],['[SC']Hausse_esp_de_vie]]-Base[[#This Row],['[SC']Durée_moyenne_dépendance_avt]]+Base[[#This Row],[Risque]]</f>
        <v>83.344845356048694</v>
      </c>
      <c r="AT3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79" s="4">
        <v>62.9</v>
      </c>
      <c r="AW379" s="4">
        <f t="shared" si="7"/>
        <v>336905600000</v>
      </c>
      <c r="AX379" s="4">
        <v>15049171</v>
      </c>
      <c r="AY379" s="4">
        <f>Base[[#This Row],['[SC']Budget_total_retraites]]/Base[[#This Row],['[SC']Nombre_de_retraités]]</f>
        <v>22386.987296509556</v>
      </c>
      <c r="AZ379" s="4">
        <f>Base[[#This Row],['[SC']Budget_par_retraité]]*Base[[#This Row],['[SC']Nb_personnes_dépendantes]]</f>
        <v>0</v>
      </c>
      <c r="BA379" s="4">
        <f>Base[[#This Row],['[SC']'[Dépendance']Coût_retraite_personnes_dépendantes]]/Base[[#This Row],[Population_totale]]</f>
        <v>0</v>
      </c>
      <c r="BB3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79" s="4">
        <f>Base[[#This Row],['[SC']'[Dépendance']Gains]]-Base[[#This Row],['[SC']'[Dépendance']Coûts]]</f>
        <v>0</v>
      </c>
      <c r="BD379" s="4">
        <f>IF(Base[[#This Row],[Pathologie]]&lt;&gt;"Mort prématurée",0,Base[[#This Row],[Risque]]*Base[[#This Row],[Prévalence]]*Base[[#This Row],[Population_totale]])</f>
        <v>0</v>
      </c>
      <c r="BE379" s="4">
        <v>52.74</v>
      </c>
      <c r="BF379" s="4">
        <f>Base[[#This Row],['[SC']Âge_moyen_retraite]]-Base[[#This Row],['[SC']'[Mort_prématurée']Âge_moyen_mort précoce]]</f>
        <v>10.159999999999997</v>
      </c>
      <c r="BG379" s="4">
        <f>Base[[#This Row],[Espérance_vie]]+Base[[#This Row],['[SC']Hausse_esp_de_vie]]-Base[[#This Row],['[SC']Âge_moyen_retraite]]</f>
        <v>20.236955218602098</v>
      </c>
      <c r="BH379" s="4">
        <v>106583.42676924677</v>
      </c>
      <c r="BI379" s="4">
        <v>97601.789429271477</v>
      </c>
      <c r="BJ379" s="4">
        <v>302038.31496633729</v>
      </c>
      <c r="BK379" s="4">
        <v>117293.58934859755</v>
      </c>
      <c r="BL379" s="4">
        <v>1523999.9999999995</v>
      </c>
      <c r="BM3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79" s="4">
        <v>294804.96027377353</v>
      </c>
      <c r="BO3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79" s="4">
        <f>(Base[[#This Row],['[SC']'[Mort_prématurée']Gains]]-Base[[#This Row],['[SC']'[Mort_prématurée']Coûts]])/Base[[#This Row],[Population_totale]]</f>
        <v>0</v>
      </c>
      <c r="BQ379" s="4">
        <f>IF(Base[[#This Row],[Pathologie]]&lt;&gt;"Mort prématurée",0,Base[[#This Row],[Risque]])</f>
        <v>0</v>
      </c>
      <c r="BR379" s="4">
        <v>2680</v>
      </c>
      <c r="BS3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79" s="4">
        <f>Base[[#This Row],[Prévalence_prod]]*(1-Base[[#This Row],[Risque]])*Base[[#This Row],[Durée_arrêt]]*Base[[#This Row],[Population_emploi]]</f>
        <v>374554.69327741495</v>
      </c>
      <c r="BV379" s="4">
        <f>Base[[#This Row],['[Prod']'[Absentéisme']Total_jours_absence_avant]]-Base[[#This Row],['[Prod']'[Absentéisme']Total_jours_absence_après]]</f>
        <v>98302.306722584995</v>
      </c>
      <c r="BW379" s="4">
        <f>IF(AND(Base[[#This Row],[Pathologie]]&lt;&gt;"Dépendance",Base[[#This Row],[Pathologie]]&lt;&gt;"Mort prématurée",Base[[#This Row],[Pathologie]]&lt;&gt;"Migraine"),0.0619,0)</f>
        <v>6.1899999999999997E-2</v>
      </c>
      <c r="BX379" s="4">
        <v>254</v>
      </c>
      <c r="BY379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79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79" s="4">
        <f>Base[[#This Row],[Prévalence_prod]]*Base[[#This Row],[Présentéisme]]*Base[[#This Row],['[Prod']Jours_ouvrés]]</f>
        <v>0</v>
      </c>
      <c r="CB379" s="4">
        <f>Base[[#This Row],[Prévalence_prod]]*(1-Base[[#This Row],[Risque]])*Base[[#This Row],[Présentéisme]]*Base[[#This Row],['[Prod']Jours_ouvrés]]</f>
        <v>0</v>
      </c>
      <c r="CC379" s="4">
        <f>Base[[#This Row],['[Prod']'[Présentéisme']Jours_avant]]-Base[[#This Row],['[Prod']'[Présentéisme']Jours_après]]</f>
        <v>0</v>
      </c>
      <c r="CD379" s="4">
        <f>Base[[#This Row],['[Prod']'[Présentéisme']Jours_gagnés]]/Base[[#This Row],['[Prod']Jours_ouvrés]]</f>
        <v>0</v>
      </c>
      <c r="CE379">
        <v>7.5880726467531134E-2</v>
      </c>
      <c r="CF379">
        <v>1.989821358241517E-2</v>
      </c>
      <c r="CG379" s="4">
        <v>11</v>
      </c>
      <c r="CH379" s="4">
        <v>0.31563677172153043</v>
      </c>
      <c r="CI379" s="4">
        <v>1.3003350630813707E-4</v>
      </c>
      <c r="CJ379" s="4">
        <f>IF(Base[[#This Row],[Secteur]]&lt;&gt;"Moyenne",Base[[#This Row],['[Prod']'[Turnover']DMC_initiale]]*(1+Base[[#This Row],['[Prod']'[Turnover']Ecart_accidents]]*Base[[#This Row],['[Prod']Impact_motifs_turnover]]),CJ362*CI362+CJ363*CI363+CJ364*CI364+CJ365*CI365+CJ366*CI366+CJ367*CI367+CJ368*CI368+CJ369*CI369+CJ370*CI370+CJ371*CI371+CJ372*CI372+CJ373*CI373+CJ374*CI374+CJ375*CI375+CJ376*CI376+CJ377*CI377+CJ378*CI378)</f>
        <v>11.069086686879968</v>
      </c>
      <c r="CK379" s="4">
        <f>1/Base[[#This Row],['[Prod']'[Turnover']DMC_initiale]]</f>
        <v>9.0909090909090912E-2</v>
      </c>
      <c r="CL379" s="4">
        <f>1/Base[[#This Row],['[Prod']'[Turnover']DMC_finale]]</f>
        <v>9.0341690176235209E-2</v>
      </c>
    </row>
    <row r="380" spans="2:90" x14ac:dyDescent="0.25">
      <c r="B380" s="4" t="s">
        <v>318</v>
      </c>
      <c r="C380">
        <v>15</v>
      </c>
      <c r="D380" t="s">
        <v>83</v>
      </c>
      <c r="E380" t="s">
        <v>10</v>
      </c>
      <c r="F380" s="3">
        <v>0.20789013744659607</v>
      </c>
      <c r="G380" s="3">
        <v>0.17849999999999999</v>
      </c>
      <c r="H380" s="3">
        <v>8.4823104693140794E-4</v>
      </c>
      <c r="I380" s="3">
        <v>0</v>
      </c>
      <c r="J380" s="3">
        <v>1.82</v>
      </c>
      <c r="K380" s="3">
        <v>7.0000000000000007E-2</v>
      </c>
      <c r="L380" s="2">
        <f>Base[[#This Row],[Coût]]*Base[[#This Row],[Part_ménages_dépenses_santé]]</f>
        <v>0.12740000000000001</v>
      </c>
      <c r="M380" s="2">
        <v>0.82690611956969029</v>
      </c>
      <c r="N380" s="6">
        <v>27700000</v>
      </c>
      <c r="O380" s="7">
        <f>Base[[#This Row],[Coût_salarié]]*10^9*Base[[#This Row],[Risque]]*Base[[#This Row],[Prévalence]]*Base[[#This Row],[Part_coûts_salarié]]/Base[[#This Row],[Population_emploi]]</f>
        <v>0.1411295548626807</v>
      </c>
      <c r="P380">
        <v>50</v>
      </c>
      <c r="Q380">
        <v>50</v>
      </c>
      <c r="R380" s="2">
        <v>9.9999999999999978E-2</v>
      </c>
      <c r="S380" s="2">
        <v>0.33340000000000003</v>
      </c>
      <c r="T380" s="4">
        <v>8.4823104693140805E-4</v>
      </c>
      <c r="U380" s="4">
        <f>IF(Bases_annexes!$F$5=0,16.6587111018772,0.77*Bases_annexes!$F$5/(IF(OR(ISBLANK('Données_d''entrée'!$E$44),'Données_d''entrée'!$E$44=0),35,'Données_d''entrée'!$E$44)*52))</f>
        <v>16.658711101877199</v>
      </c>
      <c r="V380" s="4">
        <v>20.125</v>
      </c>
      <c r="W3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0" s="4">
        <v>234.5</v>
      </c>
      <c r="Y380" s="4">
        <f>(Base[[#This Row],['[Maladies']Coûts_évités_par_salarié]]+Base[[#This Row],['[Travail']Coûts_évités_par_salarié]])/Base[[#This Row],[Budget_santé_salarié]]</f>
        <v>1.0150657490944225E-3</v>
      </c>
      <c r="Z380" s="4">
        <v>0.8</v>
      </c>
      <c r="AA380" s="4">
        <f>Base[[#This Row],[Coût]]*Base[[#This Row],[Part_société_dépenses_santé]]</f>
        <v>1.4560000000000002</v>
      </c>
      <c r="AB380" s="4">
        <v>67635124</v>
      </c>
      <c r="AC380" s="4">
        <v>82.297079063317852</v>
      </c>
      <c r="AD380" s="4">
        <v>8.4823104693140805E-4</v>
      </c>
      <c r="AE380" s="4">
        <f>Base[[#This Row],['[SC']Prévalence_travail]]*Base[[#This Row],[Population_emploi]]</f>
        <v>23496.000000000004</v>
      </c>
      <c r="AF380" s="4">
        <f>Base[[#This Row],[Risque]]*Base[[#This Row],['[SC']Patients_en_emploi]]</f>
        <v>4884.5866694452216</v>
      </c>
      <c r="AG380" s="4">
        <v>0</v>
      </c>
      <c r="AH380" s="4">
        <f>IFERROR(Base[[#This Row],['[SC']Prestations]]/Base[[#This Row],['[SC']Patients_en_emploi]],0)</f>
        <v>0</v>
      </c>
      <c r="AI380" s="4">
        <v>51.7</v>
      </c>
      <c r="AJ3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0" s="4">
        <f>Base[[#This Row],['[SC']'[Travail']Coûts_évités]]/Base[[#This Row],[Population_emploi]]</f>
        <v>0.15612382184572907</v>
      </c>
      <c r="AL380" s="4">
        <f>Base[[#This Row],[Coût_société]]*10^9*Base[[#This Row],[Risque]]*Base[[#This Row],[Prévalence]]*Base[[#This Row],[Part_coûts_salarié]]/Base[[#This Row],[Population_emploi]]</f>
        <v>1.6129091984306367</v>
      </c>
      <c r="AM380" s="4">
        <f>IF(Base[[#This Row],[Pathologie]]&lt;&gt;"Dépendance",0,14909.24243952)</f>
        <v>0</v>
      </c>
      <c r="AN380" s="4">
        <f>IF(Base[[#This Row],[Pathologie]]&lt;&gt;"Dépendance",0,1316000)</f>
        <v>0</v>
      </c>
      <c r="AO380" s="4">
        <f>IF(Base[[#This Row],[Pathologie]]&lt;&gt;"Dépendance",0,Base[[#This Row],['[SC']Coût_personne_dépendante]]*Base[[#This Row],['[SC']Nb_personnes_dépendantes]])</f>
        <v>0</v>
      </c>
      <c r="AP380" s="4">
        <f>IF(Base[[#This Row],[Pathologie]]&lt;&gt;"Dépendance",0,Base[[#This Row],['[SC']Coût_total_dépendance]]/Base[[#This Row],[Population_totale]])</f>
        <v>0</v>
      </c>
      <c r="AQ380" s="4">
        <f>IF(Base[[#This Row],[Pathologie]]&lt;&gt;"Dépendance",0,4.5)</f>
        <v>0</v>
      </c>
      <c r="AR380" s="4">
        <v>0.83987615528424797</v>
      </c>
      <c r="AS380" s="4">
        <f>Base[[#This Row],[Espérance_vie]]+Base[[#This Row],['[SC']Hausse_esp_de_vie]]-Base[[#This Row],['[SC']Durée_moyenne_dépendance_avt]]+Base[[#This Row],[Risque]]</f>
        <v>83.344845356048694</v>
      </c>
      <c r="AT3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0" s="4">
        <v>62.9</v>
      </c>
      <c r="AW380" s="4">
        <f t="shared" si="7"/>
        <v>336905600000</v>
      </c>
      <c r="AX380" s="4">
        <v>15049171</v>
      </c>
      <c r="AY380" s="4">
        <f>Base[[#This Row],['[SC']Budget_total_retraites]]/Base[[#This Row],['[SC']Nombre_de_retraités]]</f>
        <v>22386.987296509556</v>
      </c>
      <c r="AZ380" s="4">
        <f>Base[[#This Row],['[SC']Budget_par_retraité]]*Base[[#This Row],['[SC']Nb_personnes_dépendantes]]</f>
        <v>0</v>
      </c>
      <c r="BA380" s="4">
        <f>Base[[#This Row],['[SC']'[Dépendance']Coût_retraite_personnes_dépendantes]]/Base[[#This Row],[Population_totale]]</f>
        <v>0</v>
      </c>
      <c r="BB3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0" s="4">
        <f>Base[[#This Row],['[SC']'[Dépendance']Gains]]-Base[[#This Row],['[SC']'[Dépendance']Coûts]]</f>
        <v>0</v>
      </c>
      <c r="BD380" s="4">
        <f>IF(Base[[#This Row],[Pathologie]]&lt;&gt;"Mort prématurée",0,Base[[#This Row],[Risque]]*Base[[#This Row],[Prévalence]]*Base[[#This Row],[Population_totale]])</f>
        <v>0</v>
      </c>
      <c r="BE380" s="4">
        <v>52.74</v>
      </c>
      <c r="BF380" s="4">
        <f>Base[[#This Row],['[SC']Âge_moyen_retraite]]-Base[[#This Row],['[SC']'[Mort_prématurée']Âge_moyen_mort précoce]]</f>
        <v>10.159999999999997</v>
      </c>
      <c r="BG380" s="4">
        <f>Base[[#This Row],[Espérance_vie]]+Base[[#This Row],['[SC']Hausse_esp_de_vie]]-Base[[#This Row],['[SC']Âge_moyen_retraite]]</f>
        <v>20.236955218602098</v>
      </c>
      <c r="BH380" s="4">
        <v>106583.42676924677</v>
      </c>
      <c r="BI380" s="4">
        <v>97601.789429271477</v>
      </c>
      <c r="BJ380" s="4">
        <v>302038.31496633729</v>
      </c>
      <c r="BK380" s="4">
        <v>117293.58934859755</v>
      </c>
      <c r="BL380" s="4">
        <v>1523999.9999999995</v>
      </c>
      <c r="BM3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0" s="4">
        <v>294804.96027377353</v>
      </c>
      <c r="BO3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0" s="4">
        <f>(Base[[#This Row],['[SC']'[Mort_prématurée']Gains]]-Base[[#This Row],['[SC']'[Mort_prématurée']Coûts]])/Base[[#This Row],[Population_totale]]</f>
        <v>0</v>
      </c>
      <c r="BQ380" s="4">
        <f>IF(Base[[#This Row],[Pathologie]]&lt;&gt;"Mort prématurée",0,Base[[#This Row],[Risque]])</f>
        <v>0</v>
      </c>
      <c r="BR380" s="4">
        <v>2680</v>
      </c>
      <c r="BS3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0" s="4">
        <f>Base[[#This Row],[Prévalence_prod]]*(1-Base[[#This Row],[Risque]])*Base[[#This Row],[Durée_arrêt]]*Base[[#This Row],[Population_emploi]]</f>
        <v>374554.69327741495</v>
      </c>
      <c r="BV380" s="4">
        <f>Base[[#This Row],['[Prod']'[Absentéisme']Total_jours_absence_avant]]-Base[[#This Row],['[Prod']'[Absentéisme']Total_jours_absence_après]]</f>
        <v>98302.306722584995</v>
      </c>
      <c r="BW380" s="4">
        <f>IF(AND(Base[[#This Row],[Pathologie]]&lt;&gt;"Dépendance",Base[[#This Row],[Pathologie]]&lt;&gt;"Mort prématurée",Base[[#This Row],[Pathologie]]&lt;&gt;"Migraine"),0.0619,0)</f>
        <v>6.1899999999999997E-2</v>
      </c>
      <c r="BX380" s="4">
        <v>254</v>
      </c>
      <c r="BY380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0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0" s="4">
        <f>Base[[#This Row],[Prévalence_prod]]*Base[[#This Row],[Présentéisme]]*Base[[#This Row],['[Prod']Jours_ouvrés]]</f>
        <v>0</v>
      </c>
      <c r="CB380" s="4">
        <f>Base[[#This Row],[Prévalence_prod]]*(1-Base[[#This Row],[Risque]])*Base[[#This Row],[Présentéisme]]*Base[[#This Row],['[Prod']Jours_ouvrés]]</f>
        <v>0</v>
      </c>
      <c r="CC380" s="4">
        <f>Base[[#This Row],['[Prod']'[Présentéisme']Jours_avant]]-Base[[#This Row],['[Prod']'[Présentéisme']Jours_après]]</f>
        <v>0</v>
      </c>
      <c r="CD380" s="4">
        <f>Base[[#This Row],['[Prod']'[Présentéisme']Jours_gagnés]]/Base[[#This Row],['[Prod']Jours_ouvrés]]</f>
        <v>0</v>
      </c>
      <c r="CE380">
        <v>7.5880726467531134E-2</v>
      </c>
      <c r="CF380">
        <v>1.989821358241517E-2</v>
      </c>
      <c r="CG380" s="4">
        <v>11</v>
      </c>
      <c r="CH380" s="4">
        <v>1.1688035738877327</v>
      </c>
      <c r="CI380" s="4">
        <v>9.6557438521367826E-3</v>
      </c>
      <c r="CJ380" s="4">
        <f>IF(Base[[#This Row],[Secteur]]&lt;&gt;"Moyenne",Base[[#This Row],['[Prod']'[Turnover']DMC_initiale]]*(1+Base[[#This Row],['[Prod']'[Turnover']Ecart_accidents]]*Base[[#This Row],['[Prod']Impact_motifs_turnover]]),CJ363*CI363+CJ364*CI364+CJ365*CI365+CJ366*CI366+CJ367*CI367+CJ368*CI368+CJ369*CI369+CJ370*CI370+CJ371*CI371+CJ372*CI372+CJ373*CI373+CJ374*CI374+CJ375*CI375+CJ376*CI376+CJ377*CI377+CJ378*CI378+CJ379*CI379)</f>
        <v>11.25582813464019</v>
      </c>
      <c r="CK380" s="4">
        <f>1/Base[[#This Row],['[Prod']'[Turnover']DMC_initiale]]</f>
        <v>9.0909090909090912E-2</v>
      </c>
      <c r="CL380" s="4">
        <f>1/Base[[#This Row],['[Prod']'[Turnover']DMC_finale]]</f>
        <v>8.8842863273868436E-2</v>
      </c>
    </row>
    <row r="381" spans="2:90" x14ac:dyDescent="0.25">
      <c r="B381" s="4" t="s">
        <v>319</v>
      </c>
      <c r="C381">
        <v>15</v>
      </c>
      <c r="D381" t="s">
        <v>83</v>
      </c>
      <c r="E381" t="s">
        <v>10</v>
      </c>
      <c r="F381" s="3">
        <v>0.20789013744659607</v>
      </c>
      <c r="G381" s="3">
        <v>0.17849999999999999</v>
      </c>
      <c r="H381" s="3">
        <v>8.4823104693140794E-4</v>
      </c>
      <c r="I381" s="3">
        <v>0</v>
      </c>
      <c r="J381" s="3">
        <v>1.82</v>
      </c>
      <c r="K381" s="3">
        <v>7.0000000000000007E-2</v>
      </c>
      <c r="L381" s="2">
        <f>Base[[#This Row],[Coût]]*Base[[#This Row],[Part_ménages_dépenses_santé]]</f>
        <v>0.12740000000000001</v>
      </c>
      <c r="M381" s="2">
        <v>0.82690611956969029</v>
      </c>
      <c r="N381" s="6">
        <v>27700000</v>
      </c>
      <c r="O381" s="7">
        <f>Base[[#This Row],[Coût_salarié]]*10^9*Base[[#This Row],[Risque]]*Base[[#This Row],[Prévalence]]*Base[[#This Row],[Part_coûts_salarié]]/Base[[#This Row],[Population_emploi]]</f>
        <v>0.1411295548626807</v>
      </c>
      <c r="P381">
        <v>50</v>
      </c>
      <c r="Q381">
        <v>50</v>
      </c>
      <c r="R381" s="2">
        <v>9.9999999999999978E-2</v>
      </c>
      <c r="S381" s="2">
        <v>0.33340000000000003</v>
      </c>
      <c r="T381" s="4">
        <v>8.4823104693140805E-4</v>
      </c>
      <c r="U381" s="4">
        <f>IF(Bases_annexes!$F$5=0,16.6587111018772,0.77*Bases_annexes!$F$5/(IF(OR(ISBLANK('Données_d''entrée'!$E$44),'Données_d''entrée'!$E$44=0),35,'Données_d''entrée'!$E$44)*52))</f>
        <v>16.658711101877199</v>
      </c>
      <c r="V381" s="4">
        <v>20.125</v>
      </c>
      <c r="W3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1" s="4">
        <v>234.5</v>
      </c>
      <c r="Y381" s="4">
        <f>(Base[[#This Row],['[Maladies']Coûts_évités_par_salarié]]+Base[[#This Row],['[Travail']Coûts_évités_par_salarié]])/Base[[#This Row],[Budget_santé_salarié]]</f>
        <v>1.0150657490944225E-3</v>
      </c>
      <c r="Z381" s="4">
        <v>0.8</v>
      </c>
      <c r="AA381" s="4">
        <f>Base[[#This Row],[Coût]]*Base[[#This Row],[Part_société_dépenses_santé]]</f>
        <v>1.4560000000000002</v>
      </c>
      <c r="AB381" s="4">
        <v>67635124</v>
      </c>
      <c r="AC381" s="4">
        <v>82.297079063317852</v>
      </c>
      <c r="AD381" s="4">
        <v>8.4823104693140805E-4</v>
      </c>
      <c r="AE381" s="4">
        <f>Base[[#This Row],['[SC']Prévalence_travail]]*Base[[#This Row],[Population_emploi]]</f>
        <v>23496.000000000004</v>
      </c>
      <c r="AF381" s="4">
        <f>Base[[#This Row],[Risque]]*Base[[#This Row],['[SC']Patients_en_emploi]]</f>
        <v>4884.5866694452216</v>
      </c>
      <c r="AG381" s="4">
        <v>0</v>
      </c>
      <c r="AH381" s="4">
        <f>IFERROR(Base[[#This Row],['[SC']Prestations]]/Base[[#This Row],['[SC']Patients_en_emploi]],0)</f>
        <v>0</v>
      </c>
      <c r="AI381" s="4">
        <v>51.7</v>
      </c>
      <c r="AJ3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1" s="4">
        <f>Base[[#This Row],['[SC']'[Travail']Coûts_évités]]/Base[[#This Row],[Population_emploi]]</f>
        <v>0.15612382184572907</v>
      </c>
      <c r="AL381" s="4">
        <f>Base[[#This Row],[Coût_société]]*10^9*Base[[#This Row],[Risque]]*Base[[#This Row],[Prévalence]]*Base[[#This Row],[Part_coûts_salarié]]/Base[[#This Row],[Population_emploi]]</f>
        <v>1.6129091984306367</v>
      </c>
      <c r="AM381" s="4">
        <f>IF(Base[[#This Row],[Pathologie]]&lt;&gt;"Dépendance",0,14909.24243952)</f>
        <v>0</v>
      </c>
      <c r="AN381" s="4">
        <f>IF(Base[[#This Row],[Pathologie]]&lt;&gt;"Dépendance",0,1316000)</f>
        <v>0</v>
      </c>
      <c r="AO381" s="4">
        <f>IF(Base[[#This Row],[Pathologie]]&lt;&gt;"Dépendance",0,Base[[#This Row],['[SC']Coût_personne_dépendante]]*Base[[#This Row],['[SC']Nb_personnes_dépendantes]])</f>
        <v>0</v>
      </c>
      <c r="AP381" s="4">
        <f>IF(Base[[#This Row],[Pathologie]]&lt;&gt;"Dépendance",0,Base[[#This Row],['[SC']Coût_total_dépendance]]/Base[[#This Row],[Population_totale]])</f>
        <v>0</v>
      </c>
      <c r="AQ381" s="4">
        <f>IF(Base[[#This Row],[Pathologie]]&lt;&gt;"Dépendance",0,4.5)</f>
        <v>0</v>
      </c>
      <c r="AR381" s="4">
        <v>0.83987615528424797</v>
      </c>
      <c r="AS381" s="4">
        <f>Base[[#This Row],[Espérance_vie]]+Base[[#This Row],['[SC']Hausse_esp_de_vie]]-Base[[#This Row],['[SC']Durée_moyenne_dépendance_avt]]+Base[[#This Row],[Risque]]</f>
        <v>83.344845356048694</v>
      </c>
      <c r="AT3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1" s="4">
        <v>62.9</v>
      </c>
      <c r="AW381" s="4">
        <f t="shared" si="7"/>
        <v>336905600000</v>
      </c>
      <c r="AX381" s="4">
        <v>15049171</v>
      </c>
      <c r="AY381" s="4">
        <f>Base[[#This Row],['[SC']Budget_total_retraites]]/Base[[#This Row],['[SC']Nombre_de_retraités]]</f>
        <v>22386.987296509556</v>
      </c>
      <c r="AZ381" s="4">
        <f>Base[[#This Row],['[SC']Budget_par_retraité]]*Base[[#This Row],['[SC']Nb_personnes_dépendantes]]</f>
        <v>0</v>
      </c>
      <c r="BA381" s="4">
        <f>Base[[#This Row],['[SC']'[Dépendance']Coût_retraite_personnes_dépendantes]]/Base[[#This Row],[Population_totale]]</f>
        <v>0</v>
      </c>
      <c r="BB3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1" s="4">
        <f>Base[[#This Row],['[SC']'[Dépendance']Gains]]-Base[[#This Row],['[SC']'[Dépendance']Coûts]]</f>
        <v>0</v>
      </c>
      <c r="BD381" s="4">
        <f>IF(Base[[#This Row],[Pathologie]]&lt;&gt;"Mort prématurée",0,Base[[#This Row],[Risque]]*Base[[#This Row],[Prévalence]]*Base[[#This Row],[Population_totale]])</f>
        <v>0</v>
      </c>
      <c r="BE381" s="4">
        <v>52.74</v>
      </c>
      <c r="BF381" s="4">
        <f>Base[[#This Row],['[SC']Âge_moyen_retraite]]-Base[[#This Row],['[SC']'[Mort_prématurée']Âge_moyen_mort précoce]]</f>
        <v>10.159999999999997</v>
      </c>
      <c r="BG381" s="4">
        <f>Base[[#This Row],[Espérance_vie]]+Base[[#This Row],['[SC']Hausse_esp_de_vie]]-Base[[#This Row],['[SC']Âge_moyen_retraite]]</f>
        <v>20.236955218602098</v>
      </c>
      <c r="BH381" s="4">
        <v>106583.42676924677</v>
      </c>
      <c r="BI381" s="4">
        <v>97601.789429271477</v>
      </c>
      <c r="BJ381" s="4">
        <v>302038.31496633729</v>
      </c>
      <c r="BK381" s="4">
        <v>117293.58934859755</v>
      </c>
      <c r="BL381" s="4">
        <v>1523999.9999999995</v>
      </c>
      <c r="BM3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1" s="4">
        <v>294804.96027377353</v>
      </c>
      <c r="BO3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1" s="4">
        <f>(Base[[#This Row],['[SC']'[Mort_prématurée']Gains]]-Base[[#This Row],['[SC']'[Mort_prématurée']Coûts]])/Base[[#This Row],[Population_totale]]</f>
        <v>0</v>
      </c>
      <c r="BQ381" s="4">
        <f>IF(Base[[#This Row],[Pathologie]]&lt;&gt;"Mort prématurée",0,Base[[#This Row],[Risque]])</f>
        <v>0</v>
      </c>
      <c r="BR381" s="4">
        <v>2680</v>
      </c>
      <c r="BS3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1" s="4">
        <f>Base[[#This Row],[Prévalence_prod]]*(1-Base[[#This Row],[Risque]])*Base[[#This Row],[Durée_arrêt]]*Base[[#This Row],[Population_emploi]]</f>
        <v>374554.69327741495</v>
      </c>
      <c r="BV381" s="4">
        <f>Base[[#This Row],['[Prod']'[Absentéisme']Total_jours_absence_avant]]-Base[[#This Row],['[Prod']'[Absentéisme']Total_jours_absence_après]]</f>
        <v>98302.306722584995</v>
      </c>
      <c r="BW381" s="4">
        <f>IF(AND(Base[[#This Row],[Pathologie]]&lt;&gt;"Dépendance",Base[[#This Row],[Pathologie]]&lt;&gt;"Mort prématurée",Base[[#This Row],[Pathologie]]&lt;&gt;"Migraine"),0.0619,0)</f>
        <v>6.1899999999999997E-2</v>
      </c>
      <c r="BX381" s="4">
        <v>254</v>
      </c>
      <c r="BY381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1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1" s="4">
        <f>Base[[#This Row],[Prévalence_prod]]*Base[[#This Row],[Présentéisme]]*Base[[#This Row],['[Prod']Jours_ouvrés]]</f>
        <v>0</v>
      </c>
      <c r="CB381" s="4">
        <f>Base[[#This Row],[Prévalence_prod]]*(1-Base[[#This Row],[Risque]])*Base[[#This Row],[Présentéisme]]*Base[[#This Row],['[Prod']Jours_ouvrés]]</f>
        <v>0</v>
      </c>
      <c r="CC381" s="4">
        <f>Base[[#This Row],['[Prod']'[Présentéisme']Jours_avant]]-Base[[#This Row],['[Prod']'[Présentéisme']Jours_après]]</f>
        <v>0</v>
      </c>
      <c r="CD381" s="4">
        <f>Base[[#This Row],['[Prod']'[Présentéisme']Jours_gagnés]]/Base[[#This Row],['[Prod']Jours_ouvrés]]</f>
        <v>0</v>
      </c>
      <c r="CE381">
        <v>7.5880726467531134E-2</v>
      </c>
      <c r="CF381">
        <v>1.989821358241517E-2</v>
      </c>
      <c r="CG381" s="4">
        <v>11</v>
      </c>
      <c r="CH381" s="4">
        <v>0.52204401140486179</v>
      </c>
      <c r="CI381" s="4">
        <v>1.2443904150185675E-2</v>
      </c>
      <c r="CJ381" s="4">
        <f>IF(Base[[#This Row],[Secteur]]&lt;&gt;"Moyenne",Base[[#This Row],['[Prod']'[Turnover']DMC_initiale]]*(1+Base[[#This Row],['[Prod']'[Turnover']Ecart_accidents]]*Base[[#This Row],['[Prod']Impact_motifs_turnover]]),CJ364*CI364+CJ365*CI365+CJ366*CI366+CJ367*CI367+CJ368*CI368+CJ369*CI369+CJ370*CI370+CJ371*CI371+CJ372*CI372+CJ373*CI373+CJ374*CI374+CJ375*CI375+CJ376*CI376+CJ377*CI377+CJ378*CI378+CJ379*CI379+CJ380*CI380)</f>
        <v>11.114265175621902</v>
      </c>
      <c r="CK381" s="4">
        <f>1/Base[[#This Row],['[Prod']'[Turnover']DMC_initiale]]</f>
        <v>9.0909090909090912E-2</v>
      </c>
      <c r="CL381" s="4">
        <f>1/Base[[#This Row],['[Prod']'[Turnover']DMC_finale]]</f>
        <v>8.9974459327586145E-2</v>
      </c>
    </row>
    <row r="382" spans="2:90" x14ac:dyDescent="0.25">
      <c r="B382" s="4" t="s">
        <v>320</v>
      </c>
      <c r="C382">
        <v>15</v>
      </c>
      <c r="D382" t="s">
        <v>83</v>
      </c>
      <c r="E382" t="s">
        <v>10</v>
      </c>
      <c r="F382" s="3">
        <v>0.20789013744659607</v>
      </c>
      <c r="G382" s="3">
        <v>0.17849999999999999</v>
      </c>
      <c r="H382" s="3">
        <v>8.4823104693140794E-4</v>
      </c>
      <c r="I382" s="3">
        <v>0</v>
      </c>
      <c r="J382" s="3">
        <v>1.82</v>
      </c>
      <c r="K382" s="3">
        <v>7.0000000000000007E-2</v>
      </c>
      <c r="L382" s="2">
        <f>Base[[#This Row],[Coût]]*Base[[#This Row],[Part_ménages_dépenses_santé]]</f>
        <v>0.12740000000000001</v>
      </c>
      <c r="M382" s="2">
        <v>0.82690611956969029</v>
      </c>
      <c r="N382" s="6">
        <v>27700000</v>
      </c>
      <c r="O382" s="7">
        <f>Base[[#This Row],[Coût_salarié]]*10^9*Base[[#This Row],[Risque]]*Base[[#This Row],[Prévalence]]*Base[[#This Row],[Part_coûts_salarié]]/Base[[#This Row],[Population_emploi]]</f>
        <v>0.1411295548626807</v>
      </c>
      <c r="P382">
        <v>50</v>
      </c>
      <c r="Q382">
        <v>50</v>
      </c>
      <c r="R382" s="2">
        <v>9.9999999999999978E-2</v>
      </c>
      <c r="S382" s="2">
        <v>0.33340000000000003</v>
      </c>
      <c r="T382" s="4">
        <v>8.4823104693140805E-4</v>
      </c>
      <c r="U382" s="4">
        <f>IF(Bases_annexes!$F$5=0,16.6587111018772,0.77*Bases_annexes!$F$5/(IF(OR(ISBLANK('Données_d''entrée'!$E$44),'Données_d''entrée'!$E$44=0),35,'Données_d''entrée'!$E$44)*52))</f>
        <v>16.658711101877199</v>
      </c>
      <c r="V382" s="4">
        <v>20.125</v>
      </c>
      <c r="W3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2" s="4">
        <v>234.5</v>
      </c>
      <c r="Y382" s="4">
        <f>(Base[[#This Row],['[Maladies']Coûts_évités_par_salarié]]+Base[[#This Row],['[Travail']Coûts_évités_par_salarié]])/Base[[#This Row],[Budget_santé_salarié]]</f>
        <v>1.0150657490944225E-3</v>
      </c>
      <c r="Z382" s="4">
        <v>0.8</v>
      </c>
      <c r="AA382" s="4">
        <f>Base[[#This Row],[Coût]]*Base[[#This Row],[Part_société_dépenses_santé]]</f>
        <v>1.4560000000000002</v>
      </c>
      <c r="AB382" s="4">
        <v>67635124</v>
      </c>
      <c r="AC382" s="4">
        <v>82.297079063317852</v>
      </c>
      <c r="AD382" s="4">
        <v>8.4823104693140805E-4</v>
      </c>
      <c r="AE382" s="4">
        <f>Base[[#This Row],['[SC']Prévalence_travail]]*Base[[#This Row],[Population_emploi]]</f>
        <v>23496.000000000004</v>
      </c>
      <c r="AF382" s="4">
        <f>Base[[#This Row],[Risque]]*Base[[#This Row],['[SC']Patients_en_emploi]]</f>
        <v>4884.5866694452216</v>
      </c>
      <c r="AG382" s="4">
        <v>0</v>
      </c>
      <c r="AH382" s="4">
        <f>IFERROR(Base[[#This Row],['[SC']Prestations]]/Base[[#This Row],['[SC']Patients_en_emploi]],0)</f>
        <v>0</v>
      </c>
      <c r="AI382" s="4">
        <v>51.7</v>
      </c>
      <c r="AJ3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2" s="4">
        <f>Base[[#This Row],['[SC']'[Travail']Coûts_évités]]/Base[[#This Row],[Population_emploi]]</f>
        <v>0.15612382184572907</v>
      </c>
      <c r="AL382" s="4">
        <f>Base[[#This Row],[Coût_société]]*10^9*Base[[#This Row],[Risque]]*Base[[#This Row],[Prévalence]]*Base[[#This Row],[Part_coûts_salarié]]/Base[[#This Row],[Population_emploi]]</f>
        <v>1.6129091984306367</v>
      </c>
      <c r="AM382" s="4">
        <f>IF(Base[[#This Row],[Pathologie]]&lt;&gt;"Dépendance",0,14909.24243952)</f>
        <v>0</v>
      </c>
      <c r="AN382" s="4">
        <f>IF(Base[[#This Row],[Pathologie]]&lt;&gt;"Dépendance",0,1316000)</f>
        <v>0</v>
      </c>
      <c r="AO382" s="4">
        <f>IF(Base[[#This Row],[Pathologie]]&lt;&gt;"Dépendance",0,Base[[#This Row],['[SC']Coût_personne_dépendante]]*Base[[#This Row],['[SC']Nb_personnes_dépendantes]])</f>
        <v>0</v>
      </c>
      <c r="AP382" s="4">
        <f>IF(Base[[#This Row],[Pathologie]]&lt;&gt;"Dépendance",0,Base[[#This Row],['[SC']Coût_total_dépendance]]/Base[[#This Row],[Population_totale]])</f>
        <v>0</v>
      </c>
      <c r="AQ382" s="4">
        <f>IF(Base[[#This Row],[Pathologie]]&lt;&gt;"Dépendance",0,4.5)</f>
        <v>0</v>
      </c>
      <c r="AR382" s="4">
        <v>0.83987615528424797</v>
      </c>
      <c r="AS382" s="4">
        <f>Base[[#This Row],[Espérance_vie]]+Base[[#This Row],['[SC']Hausse_esp_de_vie]]-Base[[#This Row],['[SC']Durée_moyenne_dépendance_avt]]+Base[[#This Row],[Risque]]</f>
        <v>83.344845356048694</v>
      </c>
      <c r="AT3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2" s="4">
        <v>62.9</v>
      </c>
      <c r="AW382" s="4">
        <f t="shared" si="7"/>
        <v>336905600000</v>
      </c>
      <c r="AX382" s="4">
        <v>15049171</v>
      </c>
      <c r="AY382" s="4">
        <f>Base[[#This Row],['[SC']Budget_total_retraites]]/Base[[#This Row],['[SC']Nombre_de_retraités]]</f>
        <v>22386.987296509556</v>
      </c>
      <c r="AZ382" s="4">
        <f>Base[[#This Row],['[SC']Budget_par_retraité]]*Base[[#This Row],['[SC']Nb_personnes_dépendantes]]</f>
        <v>0</v>
      </c>
      <c r="BA382" s="4">
        <f>Base[[#This Row],['[SC']'[Dépendance']Coût_retraite_personnes_dépendantes]]/Base[[#This Row],[Population_totale]]</f>
        <v>0</v>
      </c>
      <c r="BB3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2" s="4">
        <f>Base[[#This Row],['[SC']'[Dépendance']Gains]]-Base[[#This Row],['[SC']'[Dépendance']Coûts]]</f>
        <v>0</v>
      </c>
      <c r="BD382" s="4">
        <f>IF(Base[[#This Row],[Pathologie]]&lt;&gt;"Mort prématurée",0,Base[[#This Row],[Risque]]*Base[[#This Row],[Prévalence]]*Base[[#This Row],[Population_totale]])</f>
        <v>0</v>
      </c>
      <c r="BE382" s="4">
        <v>52.74</v>
      </c>
      <c r="BF382" s="4">
        <f>Base[[#This Row],['[SC']Âge_moyen_retraite]]-Base[[#This Row],['[SC']'[Mort_prématurée']Âge_moyen_mort précoce]]</f>
        <v>10.159999999999997</v>
      </c>
      <c r="BG382" s="4">
        <f>Base[[#This Row],[Espérance_vie]]+Base[[#This Row],['[SC']Hausse_esp_de_vie]]-Base[[#This Row],['[SC']Âge_moyen_retraite]]</f>
        <v>20.236955218602098</v>
      </c>
      <c r="BH382" s="4">
        <v>106583.42676924677</v>
      </c>
      <c r="BI382" s="4">
        <v>97601.789429271477</v>
      </c>
      <c r="BJ382" s="4">
        <v>302038.31496633729</v>
      </c>
      <c r="BK382" s="4">
        <v>117293.58934859755</v>
      </c>
      <c r="BL382" s="4">
        <v>1523999.9999999995</v>
      </c>
      <c r="BM3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2" s="4">
        <v>294804.96027377353</v>
      </c>
      <c r="BO3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2" s="4">
        <f>(Base[[#This Row],['[SC']'[Mort_prématurée']Gains]]-Base[[#This Row],['[SC']'[Mort_prématurée']Coûts]])/Base[[#This Row],[Population_totale]]</f>
        <v>0</v>
      </c>
      <c r="BQ382" s="4">
        <f>IF(Base[[#This Row],[Pathologie]]&lt;&gt;"Mort prématurée",0,Base[[#This Row],[Risque]])</f>
        <v>0</v>
      </c>
      <c r="BR382" s="4">
        <v>2680</v>
      </c>
      <c r="BS3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2" s="4">
        <f>Base[[#This Row],[Prévalence_prod]]*(1-Base[[#This Row],[Risque]])*Base[[#This Row],[Durée_arrêt]]*Base[[#This Row],[Population_emploi]]</f>
        <v>374554.69327741495</v>
      </c>
      <c r="BV382" s="4">
        <f>Base[[#This Row],['[Prod']'[Absentéisme']Total_jours_absence_avant]]-Base[[#This Row],['[Prod']'[Absentéisme']Total_jours_absence_après]]</f>
        <v>98302.306722584995</v>
      </c>
      <c r="BW382" s="4">
        <f>IF(AND(Base[[#This Row],[Pathologie]]&lt;&gt;"Dépendance",Base[[#This Row],[Pathologie]]&lt;&gt;"Mort prématurée",Base[[#This Row],[Pathologie]]&lt;&gt;"Migraine"),0.0619,0)</f>
        <v>6.1899999999999997E-2</v>
      </c>
      <c r="BX382" s="4">
        <v>254</v>
      </c>
      <c r="BY382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2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2" s="4">
        <f>Base[[#This Row],[Prévalence_prod]]*Base[[#This Row],[Présentéisme]]*Base[[#This Row],['[Prod']Jours_ouvrés]]</f>
        <v>0</v>
      </c>
      <c r="CB382" s="4">
        <f>Base[[#This Row],[Prévalence_prod]]*(1-Base[[#This Row],[Risque]])*Base[[#This Row],[Présentéisme]]*Base[[#This Row],['[Prod']Jours_ouvrés]]</f>
        <v>0</v>
      </c>
      <c r="CC382" s="4">
        <f>Base[[#This Row],['[Prod']'[Présentéisme']Jours_avant]]-Base[[#This Row],['[Prod']'[Présentéisme']Jours_après]]</f>
        <v>0</v>
      </c>
      <c r="CD382" s="4">
        <f>Base[[#This Row],['[Prod']'[Présentéisme']Jours_gagnés]]/Base[[#This Row],['[Prod']Jours_ouvrés]]</f>
        <v>0</v>
      </c>
      <c r="CE382">
        <v>7.5880726467531134E-2</v>
      </c>
      <c r="CF382">
        <v>1.989821358241517E-2</v>
      </c>
      <c r="CG382" s="4">
        <v>11</v>
      </c>
      <c r="CH382" s="4">
        <v>0.49446424657188709</v>
      </c>
      <c r="CI382" s="4">
        <v>1.0795805058605798E-2</v>
      </c>
      <c r="CJ382" s="4">
        <f>IF(Base[[#This Row],[Secteur]]&lt;&gt;"Moyenne",Base[[#This Row],['[Prod']'[Turnover']DMC_initiale]]*(1+Base[[#This Row],['[Prod']'[Turnover']Ecart_accidents]]*Base[[#This Row],['[Prod']Impact_motifs_turnover]]),CJ365*CI365+CJ366*CI366+CJ367*CI367+CJ368*CI368+CJ369*CI369+CJ370*CI370+CJ371*CI371+CJ372*CI372+CJ373*CI373+CJ374*CI374+CJ375*CI375+CJ376*CI376+CJ377*CI377+CJ378*CI378+CJ379*CI379+CJ380*CI380+CJ381*CI381)</f>
        <v>11.108228507058708</v>
      </c>
      <c r="CK382" s="4">
        <f>1/Base[[#This Row],['[Prod']'[Turnover']DMC_initiale]]</f>
        <v>9.0909090909090912E-2</v>
      </c>
      <c r="CL382" s="4">
        <f>1/Base[[#This Row],['[Prod']'[Turnover']DMC_finale]]</f>
        <v>9.0023355151953477E-2</v>
      </c>
    </row>
    <row r="383" spans="2:90" x14ac:dyDescent="0.25">
      <c r="B383" s="4" t="s">
        <v>321</v>
      </c>
      <c r="C383">
        <v>15</v>
      </c>
      <c r="D383" t="s">
        <v>83</v>
      </c>
      <c r="E383" t="s">
        <v>10</v>
      </c>
      <c r="F383" s="3">
        <v>0.20789013744659607</v>
      </c>
      <c r="G383" s="3">
        <v>0.17849999999999999</v>
      </c>
      <c r="H383" s="3">
        <v>8.4823104693140794E-4</v>
      </c>
      <c r="I383" s="3">
        <v>0</v>
      </c>
      <c r="J383" s="3">
        <v>1.82</v>
      </c>
      <c r="K383" s="3">
        <v>7.0000000000000007E-2</v>
      </c>
      <c r="L383" s="2">
        <f>Base[[#This Row],[Coût]]*Base[[#This Row],[Part_ménages_dépenses_santé]]</f>
        <v>0.12740000000000001</v>
      </c>
      <c r="M383" s="2">
        <v>0.82690611956969029</v>
      </c>
      <c r="N383" s="6">
        <v>27700000</v>
      </c>
      <c r="O383" s="7">
        <f>Base[[#This Row],[Coût_salarié]]*10^9*Base[[#This Row],[Risque]]*Base[[#This Row],[Prévalence]]*Base[[#This Row],[Part_coûts_salarié]]/Base[[#This Row],[Population_emploi]]</f>
        <v>0.1411295548626807</v>
      </c>
      <c r="P383">
        <v>50</v>
      </c>
      <c r="Q383">
        <v>50</v>
      </c>
      <c r="R383" s="2">
        <v>9.9999999999999978E-2</v>
      </c>
      <c r="S383" s="2">
        <v>0.33340000000000003</v>
      </c>
      <c r="T383" s="4">
        <v>8.4823104693140805E-4</v>
      </c>
      <c r="U383" s="4">
        <f>IF(Bases_annexes!$F$5=0,16.6587111018772,0.77*Bases_annexes!$F$5/(IF(OR(ISBLANK('Données_d''entrée'!$E$44),'Données_d''entrée'!$E$44=0),35,'Données_d''entrée'!$E$44)*52))</f>
        <v>16.658711101877199</v>
      </c>
      <c r="V383" s="4">
        <v>20.125</v>
      </c>
      <c r="W3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3" s="4">
        <v>234.5</v>
      </c>
      <c r="Y383" s="4">
        <f>(Base[[#This Row],['[Maladies']Coûts_évités_par_salarié]]+Base[[#This Row],['[Travail']Coûts_évités_par_salarié]])/Base[[#This Row],[Budget_santé_salarié]]</f>
        <v>1.0150657490944225E-3</v>
      </c>
      <c r="Z383" s="4">
        <v>0.8</v>
      </c>
      <c r="AA383" s="4">
        <f>Base[[#This Row],[Coût]]*Base[[#This Row],[Part_société_dépenses_santé]]</f>
        <v>1.4560000000000002</v>
      </c>
      <c r="AB383" s="4">
        <v>67635124</v>
      </c>
      <c r="AC383" s="4">
        <v>82.297079063317852</v>
      </c>
      <c r="AD383" s="4">
        <v>8.4823104693140805E-4</v>
      </c>
      <c r="AE383" s="4">
        <f>Base[[#This Row],['[SC']Prévalence_travail]]*Base[[#This Row],[Population_emploi]]</f>
        <v>23496.000000000004</v>
      </c>
      <c r="AF383" s="4">
        <f>Base[[#This Row],[Risque]]*Base[[#This Row],['[SC']Patients_en_emploi]]</f>
        <v>4884.5866694452216</v>
      </c>
      <c r="AG383" s="4">
        <v>0</v>
      </c>
      <c r="AH383" s="4">
        <f>IFERROR(Base[[#This Row],['[SC']Prestations]]/Base[[#This Row],['[SC']Patients_en_emploi]],0)</f>
        <v>0</v>
      </c>
      <c r="AI383" s="4">
        <v>51.7</v>
      </c>
      <c r="AJ3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3" s="4">
        <f>Base[[#This Row],['[SC']'[Travail']Coûts_évités]]/Base[[#This Row],[Population_emploi]]</f>
        <v>0.15612382184572907</v>
      </c>
      <c r="AL383" s="4">
        <f>Base[[#This Row],[Coût_société]]*10^9*Base[[#This Row],[Risque]]*Base[[#This Row],[Prévalence]]*Base[[#This Row],[Part_coûts_salarié]]/Base[[#This Row],[Population_emploi]]</f>
        <v>1.6129091984306367</v>
      </c>
      <c r="AM383" s="4">
        <f>IF(Base[[#This Row],[Pathologie]]&lt;&gt;"Dépendance",0,14909.24243952)</f>
        <v>0</v>
      </c>
      <c r="AN383" s="4">
        <f>IF(Base[[#This Row],[Pathologie]]&lt;&gt;"Dépendance",0,1316000)</f>
        <v>0</v>
      </c>
      <c r="AO383" s="4">
        <f>IF(Base[[#This Row],[Pathologie]]&lt;&gt;"Dépendance",0,Base[[#This Row],['[SC']Coût_personne_dépendante]]*Base[[#This Row],['[SC']Nb_personnes_dépendantes]])</f>
        <v>0</v>
      </c>
      <c r="AP383" s="4">
        <f>IF(Base[[#This Row],[Pathologie]]&lt;&gt;"Dépendance",0,Base[[#This Row],['[SC']Coût_total_dépendance]]/Base[[#This Row],[Population_totale]])</f>
        <v>0</v>
      </c>
      <c r="AQ383" s="4">
        <f>IF(Base[[#This Row],[Pathologie]]&lt;&gt;"Dépendance",0,4.5)</f>
        <v>0</v>
      </c>
      <c r="AR383" s="4">
        <v>0.83987615528424797</v>
      </c>
      <c r="AS383" s="4">
        <f>Base[[#This Row],[Espérance_vie]]+Base[[#This Row],['[SC']Hausse_esp_de_vie]]-Base[[#This Row],['[SC']Durée_moyenne_dépendance_avt]]+Base[[#This Row],[Risque]]</f>
        <v>83.344845356048694</v>
      </c>
      <c r="AT3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3" s="4">
        <v>62.9</v>
      </c>
      <c r="AW383" s="4">
        <f t="shared" si="7"/>
        <v>336905600000</v>
      </c>
      <c r="AX383" s="4">
        <v>15049171</v>
      </c>
      <c r="AY383" s="4">
        <f>Base[[#This Row],['[SC']Budget_total_retraites]]/Base[[#This Row],['[SC']Nombre_de_retraités]]</f>
        <v>22386.987296509556</v>
      </c>
      <c r="AZ383" s="4">
        <f>Base[[#This Row],['[SC']Budget_par_retraité]]*Base[[#This Row],['[SC']Nb_personnes_dépendantes]]</f>
        <v>0</v>
      </c>
      <c r="BA383" s="4">
        <f>Base[[#This Row],['[SC']'[Dépendance']Coût_retraite_personnes_dépendantes]]/Base[[#This Row],[Population_totale]]</f>
        <v>0</v>
      </c>
      <c r="BB3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3" s="4">
        <f>Base[[#This Row],['[SC']'[Dépendance']Gains]]-Base[[#This Row],['[SC']'[Dépendance']Coûts]]</f>
        <v>0</v>
      </c>
      <c r="BD383" s="4">
        <f>IF(Base[[#This Row],[Pathologie]]&lt;&gt;"Mort prématurée",0,Base[[#This Row],[Risque]]*Base[[#This Row],[Prévalence]]*Base[[#This Row],[Population_totale]])</f>
        <v>0</v>
      </c>
      <c r="BE383" s="4">
        <v>52.74</v>
      </c>
      <c r="BF383" s="4">
        <f>Base[[#This Row],['[SC']Âge_moyen_retraite]]-Base[[#This Row],['[SC']'[Mort_prématurée']Âge_moyen_mort précoce]]</f>
        <v>10.159999999999997</v>
      </c>
      <c r="BG383" s="4">
        <f>Base[[#This Row],[Espérance_vie]]+Base[[#This Row],['[SC']Hausse_esp_de_vie]]-Base[[#This Row],['[SC']Âge_moyen_retraite]]</f>
        <v>20.236955218602098</v>
      </c>
      <c r="BH383" s="4">
        <v>106583.42676924677</v>
      </c>
      <c r="BI383" s="4">
        <v>97601.789429271477</v>
      </c>
      <c r="BJ383" s="4">
        <v>302038.31496633729</v>
      </c>
      <c r="BK383" s="4">
        <v>117293.58934859755</v>
      </c>
      <c r="BL383" s="4">
        <v>1523999.9999999995</v>
      </c>
      <c r="BM3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3" s="4">
        <v>294804.96027377353</v>
      </c>
      <c r="BO3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3" s="4">
        <f>(Base[[#This Row],['[SC']'[Mort_prématurée']Gains]]-Base[[#This Row],['[SC']'[Mort_prématurée']Coûts]])/Base[[#This Row],[Population_totale]]</f>
        <v>0</v>
      </c>
      <c r="BQ383" s="4">
        <f>IF(Base[[#This Row],[Pathologie]]&lt;&gt;"Mort prématurée",0,Base[[#This Row],[Risque]])</f>
        <v>0</v>
      </c>
      <c r="BR383" s="4">
        <v>2680</v>
      </c>
      <c r="BS3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3" s="4">
        <f>Base[[#This Row],[Prévalence_prod]]*(1-Base[[#This Row],[Risque]])*Base[[#This Row],[Durée_arrêt]]*Base[[#This Row],[Population_emploi]]</f>
        <v>374554.69327741495</v>
      </c>
      <c r="BV383" s="4">
        <f>Base[[#This Row],['[Prod']'[Absentéisme']Total_jours_absence_avant]]-Base[[#This Row],['[Prod']'[Absentéisme']Total_jours_absence_après]]</f>
        <v>98302.306722584995</v>
      </c>
      <c r="BW383" s="4">
        <f>IF(AND(Base[[#This Row],[Pathologie]]&lt;&gt;"Dépendance",Base[[#This Row],[Pathologie]]&lt;&gt;"Mort prématurée",Base[[#This Row],[Pathologie]]&lt;&gt;"Migraine"),0.0619,0)</f>
        <v>6.1899999999999997E-2</v>
      </c>
      <c r="BX383" s="4">
        <v>254</v>
      </c>
      <c r="BY38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3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3" s="4">
        <f>Base[[#This Row],[Prévalence_prod]]*Base[[#This Row],[Présentéisme]]*Base[[#This Row],['[Prod']Jours_ouvrés]]</f>
        <v>0</v>
      </c>
      <c r="CB383" s="4">
        <f>Base[[#This Row],[Prévalence_prod]]*(1-Base[[#This Row],[Risque]])*Base[[#This Row],[Présentéisme]]*Base[[#This Row],['[Prod']Jours_ouvrés]]</f>
        <v>0</v>
      </c>
      <c r="CC383" s="4">
        <f>Base[[#This Row],['[Prod']'[Présentéisme']Jours_avant]]-Base[[#This Row],['[Prod']'[Présentéisme']Jours_après]]</f>
        <v>0</v>
      </c>
      <c r="CD383" s="4">
        <f>Base[[#This Row],['[Prod']'[Présentéisme']Jours_gagnés]]/Base[[#This Row],['[Prod']Jours_ouvrés]]</f>
        <v>0</v>
      </c>
      <c r="CE383">
        <v>7.5880726467531134E-2</v>
      </c>
      <c r="CF383">
        <v>1.989821358241517E-2</v>
      </c>
      <c r="CG383" s="4">
        <v>11</v>
      </c>
      <c r="CH383" s="4">
        <v>0.85274500894619554</v>
      </c>
      <c r="CI383" s="4">
        <v>4.2903496994109176E-2</v>
      </c>
      <c r="CJ383" s="4">
        <f>IF(Base[[#This Row],[Secteur]]&lt;&gt;"Moyenne",Base[[#This Row],['[Prod']'[Turnover']DMC_initiale]]*(1+Base[[#This Row],['[Prod']'[Turnover']Ecart_accidents]]*Base[[#This Row],['[Prod']Impact_motifs_turnover]]),CJ366*CI366+CJ367*CI367+CJ368*CI368+CJ369*CI369+CJ370*CI370+CJ371*CI371+CJ372*CI372+CJ373*CI373+CJ374*CI374+CJ375*CI375+CJ376*CI376+CJ377*CI377+CJ378*CI378+CJ379*CI379+CJ380*CI380+CJ381*CI381+CJ382*CI382)</f>
        <v>11.186649125512849</v>
      </c>
      <c r="CK383" s="4">
        <f>1/Base[[#This Row],['[Prod']'[Turnover']DMC_initiale]]</f>
        <v>9.0909090909090912E-2</v>
      </c>
      <c r="CL383" s="4">
        <f>1/Base[[#This Row],['[Prod']'[Turnover']DMC_finale]]</f>
        <v>8.9392273663017496E-2</v>
      </c>
    </row>
    <row r="384" spans="2:90" x14ac:dyDescent="0.25">
      <c r="B384" s="4" t="s">
        <v>322</v>
      </c>
      <c r="C384">
        <v>15</v>
      </c>
      <c r="D384" t="s">
        <v>83</v>
      </c>
      <c r="E384" t="s">
        <v>10</v>
      </c>
      <c r="F384" s="3">
        <v>0.20789013744659607</v>
      </c>
      <c r="G384" s="3">
        <v>0.17849999999999999</v>
      </c>
      <c r="H384" s="3">
        <v>8.4823104693140794E-4</v>
      </c>
      <c r="I384" s="3">
        <v>0</v>
      </c>
      <c r="J384" s="3">
        <v>1.82</v>
      </c>
      <c r="K384" s="3">
        <v>7.0000000000000007E-2</v>
      </c>
      <c r="L384" s="2">
        <f>Base[[#This Row],[Coût]]*Base[[#This Row],[Part_ménages_dépenses_santé]]</f>
        <v>0.12740000000000001</v>
      </c>
      <c r="M384" s="2">
        <v>0.82690611956969029</v>
      </c>
      <c r="N384" s="6">
        <v>27700000</v>
      </c>
      <c r="O384" s="7">
        <f>Base[[#This Row],[Coût_salarié]]*10^9*Base[[#This Row],[Risque]]*Base[[#This Row],[Prévalence]]*Base[[#This Row],[Part_coûts_salarié]]/Base[[#This Row],[Population_emploi]]</f>
        <v>0.1411295548626807</v>
      </c>
      <c r="P384">
        <v>50</v>
      </c>
      <c r="Q384">
        <v>50</v>
      </c>
      <c r="R384" s="2">
        <v>9.9999999999999978E-2</v>
      </c>
      <c r="S384" s="2">
        <v>0.33340000000000003</v>
      </c>
      <c r="T384" s="4">
        <v>8.4823104693140805E-4</v>
      </c>
      <c r="U384" s="4">
        <f>IF(Bases_annexes!$F$5=0,16.6587111018772,0.77*Bases_annexes!$F$5/(IF(OR(ISBLANK('Données_d''entrée'!$E$44),'Données_d''entrée'!$E$44=0),35,'Données_d''entrée'!$E$44)*52))</f>
        <v>16.658711101877199</v>
      </c>
      <c r="V384" s="4">
        <v>20.125</v>
      </c>
      <c r="W3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4" s="4">
        <v>234.5</v>
      </c>
      <c r="Y384" s="4">
        <f>(Base[[#This Row],['[Maladies']Coûts_évités_par_salarié]]+Base[[#This Row],['[Travail']Coûts_évités_par_salarié]])/Base[[#This Row],[Budget_santé_salarié]]</f>
        <v>1.0150657490944225E-3</v>
      </c>
      <c r="Z384" s="4">
        <v>0.8</v>
      </c>
      <c r="AA384" s="4">
        <f>Base[[#This Row],[Coût]]*Base[[#This Row],[Part_société_dépenses_santé]]</f>
        <v>1.4560000000000002</v>
      </c>
      <c r="AB384" s="4">
        <v>67635124</v>
      </c>
      <c r="AC384" s="4">
        <v>82.297079063317852</v>
      </c>
      <c r="AD384" s="4">
        <v>8.4823104693140805E-4</v>
      </c>
      <c r="AE384" s="4">
        <f>Base[[#This Row],['[SC']Prévalence_travail]]*Base[[#This Row],[Population_emploi]]</f>
        <v>23496.000000000004</v>
      </c>
      <c r="AF384" s="4">
        <f>Base[[#This Row],[Risque]]*Base[[#This Row],['[SC']Patients_en_emploi]]</f>
        <v>4884.5866694452216</v>
      </c>
      <c r="AG384" s="4">
        <v>0</v>
      </c>
      <c r="AH384" s="4">
        <f>IFERROR(Base[[#This Row],['[SC']Prestations]]/Base[[#This Row],['[SC']Patients_en_emploi]],0)</f>
        <v>0</v>
      </c>
      <c r="AI384" s="4">
        <v>51.7</v>
      </c>
      <c r="AJ3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4" s="4">
        <f>Base[[#This Row],['[SC']'[Travail']Coûts_évités]]/Base[[#This Row],[Population_emploi]]</f>
        <v>0.15612382184572907</v>
      </c>
      <c r="AL384" s="4">
        <f>Base[[#This Row],[Coût_société]]*10^9*Base[[#This Row],[Risque]]*Base[[#This Row],[Prévalence]]*Base[[#This Row],[Part_coûts_salarié]]/Base[[#This Row],[Population_emploi]]</f>
        <v>1.6129091984306367</v>
      </c>
      <c r="AM384" s="4">
        <f>IF(Base[[#This Row],[Pathologie]]&lt;&gt;"Dépendance",0,14909.24243952)</f>
        <v>0</v>
      </c>
      <c r="AN384" s="4">
        <f>IF(Base[[#This Row],[Pathologie]]&lt;&gt;"Dépendance",0,1316000)</f>
        <v>0</v>
      </c>
      <c r="AO384" s="4">
        <f>IF(Base[[#This Row],[Pathologie]]&lt;&gt;"Dépendance",0,Base[[#This Row],['[SC']Coût_personne_dépendante]]*Base[[#This Row],['[SC']Nb_personnes_dépendantes]])</f>
        <v>0</v>
      </c>
      <c r="AP384" s="4">
        <f>IF(Base[[#This Row],[Pathologie]]&lt;&gt;"Dépendance",0,Base[[#This Row],['[SC']Coût_total_dépendance]]/Base[[#This Row],[Population_totale]])</f>
        <v>0</v>
      </c>
      <c r="AQ384" s="4">
        <f>IF(Base[[#This Row],[Pathologie]]&lt;&gt;"Dépendance",0,4.5)</f>
        <v>0</v>
      </c>
      <c r="AR384" s="4">
        <v>0.83987615528424797</v>
      </c>
      <c r="AS384" s="4">
        <f>Base[[#This Row],[Espérance_vie]]+Base[[#This Row],['[SC']Hausse_esp_de_vie]]-Base[[#This Row],['[SC']Durée_moyenne_dépendance_avt]]+Base[[#This Row],[Risque]]</f>
        <v>83.344845356048694</v>
      </c>
      <c r="AT3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4" s="4">
        <v>62.9</v>
      </c>
      <c r="AW384" s="4">
        <f t="shared" si="7"/>
        <v>336905600000</v>
      </c>
      <c r="AX384" s="4">
        <v>15049171</v>
      </c>
      <c r="AY384" s="4">
        <f>Base[[#This Row],['[SC']Budget_total_retraites]]/Base[[#This Row],['[SC']Nombre_de_retraités]]</f>
        <v>22386.987296509556</v>
      </c>
      <c r="AZ384" s="4">
        <f>Base[[#This Row],['[SC']Budget_par_retraité]]*Base[[#This Row],['[SC']Nb_personnes_dépendantes]]</f>
        <v>0</v>
      </c>
      <c r="BA384" s="4">
        <f>Base[[#This Row],['[SC']'[Dépendance']Coût_retraite_personnes_dépendantes]]/Base[[#This Row],[Population_totale]]</f>
        <v>0</v>
      </c>
      <c r="BB3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4" s="4">
        <f>Base[[#This Row],['[SC']'[Dépendance']Gains]]-Base[[#This Row],['[SC']'[Dépendance']Coûts]]</f>
        <v>0</v>
      </c>
      <c r="BD384" s="4">
        <f>IF(Base[[#This Row],[Pathologie]]&lt;&gt;"Mort prématurée",0,Base[[#This Row],[Risque]]*Base[[#This Row],[Prévalence]]*Base[[#This Row],[Population_totale]])</f>
        <v>0</v>
      </c>
      <c r="BE384" s="4">
        <v>52.74</v>
      </c>
      <c r="BF384" s="4">
        <f>Base[[#This Row],['[SC']Âge_moyen_retraite]]-Base[[#This Row],['[SC']'[Mort_prématurée']Âge_moyen_mort précoce]]</f>
        <v>10.159999999999997</v>
      </c>
      <c r="BG384" s="4">
        <f>Base[[#This Row],[Espérance_vie]]+Base[[#This Row],['[SC']Hausse_esp_de_vie]]-Base[[#This Row],['[SC']Âge_moyen_retraite]]</f>
        <v>20.236955218602098</v>
      </c>
      <c r="BH384" s="4">
        <v>106583.42676924677</v>
      </c>
      <c r="BI384" s="4">
        <v>97601.789429271477</v>
      </c>
      <c r="BJ384" s="4">
        <v>302038.31496633729</v>
      </c>
      <c r="BK384" s="4">
        <v>117293.58934859755</v>
      </c>
      <c r="BL384" s="4">
        <v>1523999.9999999995</v>
      </c>
      <c r="BM3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4" s="4">
        <v>294804.96027377353</v>
      </c>
      <c r="BO3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4" s="4">
        <f>(Base[[#This Row],['[SC']'[Mort_prématurée']Gains]]-Base[[#This Row],['[SC']'[Mort_prématurée']Coûts]])/Base[[#This Row],[Population_totale]]</f>
        <v>0</v>
      </c>
      <c r="BQ384" s="4">
        <f>IF(Base[[#This Row],[Pathologie]]&lt;&gt;"Mort prématurée",0,Base[[#This Row],[Risque]])</f>
        <v>0</v>
      </c>
      <c r="BR384" s="4">
        <v>2680</v>
      </c>
      <c r="BS3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4" s="4">
        <f>Base[[#This Row],[Prévalence_prod]]*(1-Base[[#This Row],[Risque]])*Base[[#This Row],[Durée_arrêt]]*Base[[#This Row],[Population_emploi]]</f>
        <v>374554.69327741495</v>
      </c>
      <c r="BV384" s="4">
        <f>Base[[#This Row],['[Prod']'[Absentéisme']Total_jours_absence_avant]]-Base[[#This Row],['[Prod']'[Absentéisme']Total_jours_absence_après]]</f>
        <v>98302.306722584995</v>
      </c>
      <c r="BW384" s="4">
        <f>IF(AND(Base[[#This Row],[Pathologie]]&lt;&gt;"Dépendance",Base[[#This Row],[Pathologie]]&lt;&gt;"Mort prématurée",Base[[#This Row],[Pathologie]]&lt;&gt;"Migraine"),0.0619,0)</f>
        <v>6.1899999999999997E-2</v>
      </c>
      <c r="BX384" s="4">
        <v>254</v>
      </c>
      <c r="BY38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4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4" s="4">
        <f>Base[[#This Row],[Prévalence_prod]]*Base[[#This Row],[Présentéisme]]*Base[[#This Row],['[Prod']Jours_ouvrés]]</f>
        <v>0</v>
      </c>
      <c r="CB384" s="4">
        <f>Base[[#This Row],[Prévalence_prod]]*(1-Base[[#This Row],[Risque]])*Base[[#This Row],[Présentéisme]]*Base[[#This Row],['[Prod']Jours_ouvrés]]</f>
        <v>0</v>
      </c>
      <c r="CC384" s="4">
        <f>Base[[#This Row],['[Prod']'[Présentéisme']Jours_avant]]-Base[[#This Row],['[Prod']'[Présentéisme']Jours_après]]</f>
        <v>0</v>
      </c>
      <c r="CD384" s="4">
        <f>Base[[#This Row],['[Prod']'[Présentéisme']Jours_gagnés]]/Base[[#This Row],['[Prod']Jours_ouvrés]]</f>
        <v>0</v>
      </c>
      <c r="CE384">
        <v>7.5880726467531134E-2</v>
      </c>
      <c r="CF384">
        <v>1.989821358241517E-2</v>
      </c>
      <c r="CG384" s="4">
        <v>11</v>
      </c>
      <c r="CH384" s="4">
        <v>1.6219398392978641</v>
      </c>
      <c r="CI384" s="4">
        <v>9.628527536862988E-2</v>
      </c>
      <c r="CJ384" s="4">
        <f>IF(Base[[#This Row],[Secteur]]&lt;&gt;"Moyenne",Base[[#This Row],['[Prod']'[Turnover']DMC_initiale]]*(1+Base[[#This Row],['[Prod']'[Turnover']Ecart_accidents]]*Base[[#This Row],['[Prod']Impact_motifs_turnover]]),CJ367*CI367+CJ368*CI368+CJ369*CI369+CJ370*CI370+CJ371*CI371+CJ372*CI372+CJ373*CI373+CJ374*CI374+CJ375*CI375+CJ376*CI376+CJ377*CI377+CJ378*CI378+CJ379*CI379+CJ380*CI380+CJ381*CI381+CJ382*CI382+CJ383*CI383)</f>
        <v>11.355010758741946</v>
      </c>
      <c r="CK384" s="4">
        <f>1/Base[[#This Row],['[Prod']'[Turnover']DMC_initiale]]</f>
        <v>9.0909090909090912E-2</v>
      </c>
      <c r="CL384" s="4">
        <f>1/Base[[#This Row],['[Prod']'[Turnover']DMC_finale]]</f>
        <v>8.8066847425056327E-2</v>
      </c>
    </row>
    <row r="385" spans="2:90" x14ac:dyDescent="0.25">
      <c r="B385" s="4" t="s">
        <v>323</v>
      </c>
      <c r="C385">
        <v>15</v>
      </c>
      <c r="D385" t="s">
        <v>83</v>
      </c>
      <c r="E385" t="s">
        <v>10</v>
      </c>
      <c r="F385" s="3">
        <v>0.20789013744659607</v>
      </c>
      <c r="G385" s="3">
        <v>0.17849999999999999</v>
      </c>
      <c r="H385" s="3">
        <v>8.4823104693140794E-4</v>
      </c>
      <c r="I385" s="3">
        <v>0</v>
      </c>
      <c r="J385" s="3">
        <v>1.82</v>
      </c>
      <c r="K385" s="3">
        <v>7.0000000000000007E-2</v>
      </c>
      <c r="L385" s="2">
        <f>Base[[#This Row],[Coût]]*Base[[#This Row],[Part_ménages_dépenses_santé]]</f>
        <v>0.12740000000000001</v>
      </c>
      <c r="M385" s="2">
        <v>0.82690611956969029</v>
      </c>
      <c r="N385" s="6">
        <v>27700000</v>
      </c>
      <c r="O385" s="7">
        <f>Base[[#This Row],[Coût_salarié]]*10^9*Base[[#This Row],[Risque]]*Base[[#This Row],[Prévalence]]*Base[[#This Row],[Part_coûts_salarié]]/Base[[#This Row],[Population_emploi]]</f>
        <v>0.1411295548626807</v>
      </c>
      <c r="P385">
        <v>50</v>
      </c>
      <c r="Q385">
        <v>50</v>
      </c>
      <c r="R385" s="2">
        <v>9.9999999999999978E-2</v>
      </c>
      <c r="S385" s="2">
        <v>0.33340000000000003</v>
      </c>
      <c r="T385" s="4">
        <v>8.4823104693140805E-4</v>
      </c>
      <c r="U385" s="4">
        <f>IF(Bases_annexes!$F$5=0,16.6587111018772,0.77*Bases_annexes!$F$5/(IF(OR(ISBLANK('Données_d''entrée'!$E$44),'Données_d''entrée'!$E$44=0),35,'Données_d''entrée'!$E$44)*52))</f>
        <v>16.658711101877199</v>
      </c>
      <c r="V385" s="4">
        <v>20.125</v>
      </c>
      <c r="W3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5" s="4">
        <v>234.5</v>
      </c>
      <c r="Y385" s="4">
        <f>(Base[[#This Row],['[Maladies']Coûts_évités_par_salarié]]+Base[[#This Row],['[Travail']Coûts_évités_par_salarié]])/Base[[#This Row],[Budget_santé_salarié]]</f>
        <v>1.0150657490944225E-3</v>
      </c>
      <c r="Z385" s="4">
        <v>0.8</v>
      </c>
      <c r="AA385" s="4">
        <f>Base[[#This Row],[Coût]]*Base[[#This Row],[Part_société_dépenses_santé]]</f>
        <v>1.4560000000000002</v>
      </c>
      <c r="AB385" s="4">
        <v>67635124</v>
      </c>
      <c r="AC385" s="4">
        <v>82.297079063317852</v>
      </c>
      <c r="AD385" s="4">
        <v>8.4823104693140805E-4</v>
      </c>
      <c r="AE385" s="4">
        <f>Base[[#This Row],['[SC']Prévalence_travail]]*Base[[#This Row],[Population_emploi]]</f>
        <v>23496.000000000004</v>
      </c>
      <c r="AF385" s="4">
        <f>Base[[#This Row],[Risque]]*Base[[#This Row],['[SC']Patients_en_emploi]]</f>
        <v>4884.5866694452216</v>
      </c>
      <c r="AG385" s="4">
        <v>0</v>
      </c>
      <c r="AH385" s="4">
        <f>IFERROR(Base[[#This Row],['[SC']Prestations]]/Base[[#This Row],['[SC']Patients_en_emploi]],0)</f>
        <v>0</v>
      </c>
      <c r="AI385" s="4">
        <v>51.7</v>
      </c>
      <c r="AJ3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5" s="4">
        <f>Base[[#This Row],['[SC']'[Travail']Coûts_évités]]/Base[[#This Row],[Population_emploi]]</f>
        <v>0.15612382184572907</v>
      </c>
      <c r="AL385" s="4">
        <f>Base[[#This Row],[Coût_société]]*10^9*Base[[#This Row],[Risque]]*Base[[#This Row],[Prévalence]]*Base[[#This Row],[Part_coûts_salarié]]/Base[[#This Row],[Population_emploi]]</f>
        <v>1.6129091984306367</v>
      </c>
      <c r="AM385" s="4">
        <f>IF(Base[[#This Row],[Pathologie]]&lt;&gt;"Dépendance",0,14909.24243952)</f>
        <v>0</v>
      </c>
      <c r="AN385" s="4">
        <f>IF(Base[[#This Row],[Pathologie]]&lt;&gt;"Dépendance",0,1316000)</f>
        <v>0</v>
      </c>
      <c r="AO385" s="4">
        <f>IF(Base[[#This Row],[Pathologie]]&lt;&gt;"Dépendance",0,Base[[#This Row],['[SC']Coût_personne_dépendante]]*Base[[#This Row],['[SC']Nb_personnes_dépendantes]])</f>
        <v>0</v>
      </c>
      <c r="AP385" s="4">
        <f>IF(Base[[#This Row],[Pathologie]]&lt;&gt;"Dépendance",0,Base[[#This Row],['[SC']Coût_total_dépendance]]/Base[[#This Row],[Population_totale]])</f>
        <v>0</v>
      </c>
      <c r="AQ385" s="4">
        <f>IF(Base[[#This Row],[Pathologie]]&lt;&gt;"Dépendance",0,4.5)</f>
        <v>0</v>
      </c>
      <c r="AR385" s="4">
        <v>0.83987615528424797</v>
      </c>
      <c r="AS385" s="4">
        <f>Base[[#This Row],[Espérance_vie]]+Base[[#This Row],['[SC']Hausse_esp_de_vie]]-Base[[#This Row],['[SC']Durée_moyenne_dépendance_avt]]+Base[[#This Row],[Risque]]</f>
        <v>83.344845356048694</v>
      </c>
      <c r="AT3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5" s="4">
        <v>62.9</v>
      </c>
      <c r="AW385" s="4">
        <f t="shared" si="7"/>
        <v>336905600000</v>
      </c>
      <c r="AX385" s="4">
        <v>15049171</v>
      </c>
      <c r="AY385" s="4">
        <f>Base[[#This Row],['[SC']Budget_total_retraites]]/Base[[#This Row],['[SC']Nombre_de_retraités]]</f>
        <v>22386.987296509556</v>
      </c>
      <c r="AZ385" s="4">
        <f>Base[[#This Row],['[SC']Budget_par_retraité]]*Base[[#This Row],['[SC']Nb_personnes_dépendantes]]</f>
        <v>0</v>
      </c>
      <c r="BA385" s="4">
        <f>Base[[#This Row],['[SC']'[Dépendance']Coût_retraite_personnes_dépendantes]]/Base[[#This Row],[Population_totale]]</f>
        <v>0</v>
      </c>
      <c r="BB3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5" s="4">
        <f>Base[[#This Row],['[SC']'[Dépendance']Gains]]-Base[[#This Row],['[SC']'[Dépendance']Coûts]]</f>
        <v>0</v>
      </c>
      <c r="BD385" s="4">
        <f>IF(Base[[#This Row],[Pathologie]]&lt;&gt;"Mort prématurée",0,Base[[#This Row],[Risque]]*Base[[#This Row],[Prévalence]]*Base[[#This Row],[Population_totale]])</f>
        <v>0</v>
      </c>
      <c r="BE385" s="4">
        <v>52.74</v>
      </c>
      <c r="BF385" s="4">
        <f>Base[[#This Row],['[SC']Âge_moyen_retraite]]-Base[[#This Row],['[SC']'[Mort_prématurée']Âge_moyen_mort précoce]]</f>
        <v>10.159999999999997</v>
      </c>
      <c r="BG385" s="4">
        <f>Base[[#This Row],[Espérance_vie]]+Base[[#This Row],['[SC']Hausse_esp_de_vie]]-Base[[#This Row],['[SC']Âge_moyen_retraite]]</f>
        <v>20.236955218602098</v>
      </c>
      <c r="BH385" s="4">
        <v>106583.42676924677</v>
      </c>
      <c r="BI385" s="4">
        <v>97601.789429271477</v>
      </c>
      <c r="BJ385" s="4">
        <v>302038.31496633729</v>
      </c>
      <c r="BK385" s="4">
        <v>117293.58934859755</v>
      </c>
      <c r="BL385" s="4">
        <v>1523999.9999999995</v>
      </c>
      <c r="BM3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5" s="4">
        <v>294804.96027377353</v>
      </c>
      <c r="BO3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5" s="4">
        <f>(Base[[#This Row],['[SC']'[Mort_prématurée']Gains]]-Base[[#This Row],['[SC']'[Mort_prématurée']Coûts]])/Base[[#This Row],[Population_totale]]</f>
        <v>0</v>
      </c>
      <c r="BQ385" s="4">
        <f>IF(Base[[#This Row],[Pathologie]]&lt;&gt;"Mort prématurée",0,Base[[#This Row],[Risque]])</f>
        <v>0</v>
      </c>
      <c r="BR385" s="4">
        <v>2680</v>
      </c>
      <c r="BS3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5" s="4">
        <f>Base[[#This Row],[Prévalence_prod]]*(1-Base[[#This Row],[Risque]])*Base[[#This Row],[Durée_arrêt]]*Base[[#This Row],[Population_emploi]]</f>
        <v>374554.69327741495</v>
      </c>
      <c r="BV385" s="4">
        <f>Base[[#This Row],['[Prod']'[Absentéisme']Total_jours_absence_avant]]-Base[[#This Row],['[Prod']'[Absentéisme']Total_jours_absence_après]]</f>
        <v>98302.306722584995</v>
      </c>
      <c r="BW385" s="4">
        <f>IF(AND(Base[[#This Row],[Pathologie]]&lt;&gt;"Dépendance",Base[[#This Row],[Pathologie]]&lt;&gt;"Mort prématurée",Base[[#This Row],[Pathologie]]&lt;&gt;"Migraine"),0.0619,0)</f>
        <v>6.1899999999999997E-2</v>
      </c>
      <c r="BX385" s="4">
        <v>254</v>
      </c>
      <c r="BY385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5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5" s="4">
        <f>Base[[#This Row],[Prévalence_prod]]*Base[[#This Row],[Présentéisme]]*Base[[#This Row],['[Prod']Jours_ouvrés]]</f>
        <v>0</v>
      </c>
      <c r="CB385" s="4">
        <f>Base[[#This Row],[Prévalence_prod]]*(1-Base[[#This Row],[Risque]])*Base[[#This Row],[Présentéisme]]*Base[[#This Row],['[Prod']Jours_ouvrés]]</f>
        <v>0</v>
      </c>
      <c r="CC385" s="4">
        <f>Base[[#This Row],['[Prod']'[Présentéisme']Jours_avant]]-Base[[#This Row],['[Prod']'[Présentéisme']Jours_après]]</f>
        <v>0</v>
      </c>
      <c r="CD385" s="4">
        <f>Base[[#This Row],['[Prod']'[Présentéisme']Jours_gagnés]]/Base[[#This Row],['[Prod']Jours_ouvrés]]</f>
        <v>0</v>
      </c>
      <c r="CE385">
        <v>7.5880726467531134E-2</v>
      </c>
      <c r="CF385">
        <v>1.989821358241517E-2</v>
      </c>
      <c r="CG385" s="4">
        <v>11</v>
      </c>
      <c r="CH385" s="4">
        <v>0.96913802401210614</v>
      </c>
      <c r="CI385" s="4">
        <v>0.10293966445307301</v>
      </c>
      <c r="CJ385" s="4">
        <f>IF(Base[[#This Row],[Secteur]]&lt;&gt;"Moyenne",Base[[#This Row],['[Prod']'[Turnover']DMC_initiale]]*(1+Base[[#This Row],['[Prod']'[Turnover']Ecart_accidents]]*Base[[#This Row],['[Prod']Impact_motifs_turnover]]),CJ368*CI368+CJ369*CI369+CJ370*CI370+CJ371*CI371+CJ372*CI372+CJ373*CI373+CJ374*CI374+CJ375*CI375+CJ376*CI376+CJ377*CI377+CJ378*CI378+CJ379*CI379+CJ380*CI380+CJ381*CI381+CJ382*CI382+CJ383*CI383+CJ384*CI384)</f>
        <v>11.212125269318959</v>
      </c>
      <c r="CK385" s="4">
        <f>1/Base[[#This Row],['[Prod']'[Turnover']DMC_initiale]]</f>
        <v>9.0909090909090912E-2</v>
      </c>
      <c r="CL385" s="4">
        <f>1/Base[[#This Row],['[Prod']'[Turnover']DMC_finale]]</f>
        <v>8.9189156915363429E-2</v>
      </c>
    </row>
    <row r="386" spans="2:90" x14ac:dyDescent="0.25">
      <c r="B386" s="4" t="s">
        <v>324</v>
      </c>
      <c r="C386">
        <v>15</v>
      </c>
      <c r="D386" t="s">
        <v>83</v>
      </c>
      <c r="E386" t="s">
        <v>10</v>
      </c>
      <c r="F386" s="3">
        <v>0.20789013744659607</v>
      </c>
      <c r="G386" s="3">
        <v>0.17849999999999999</v>
      </c>
      <c r="H386" s="3">
        <v>8.4823104693140794E-4</v>
      </c>
      <c r="I386" s="3">
        <v>0</v>
      </c>
      <c r="J386" s="3">
        <v>1.82</v>
      </c>
      <c r="K386" s="3">
        <v>7.0000000000000007E-2</v>
      </c>
      <c r="L386" s="2">
        <f>Base[[#This Row],[Coût]]*Base[[#This Row],[Part_ménages_dépenses_santé]]</f>
        <v>0.12740000000000001</v>
      </c>
      <c r="M386" s="2">
        <v>0.82690611956969029</v>
      </c>
      <c r="N386" s="6">
        <v>27700000</v>
      </c>
      <c r="O386" s="7">
        <f>Base[[#This Row],[Coût_salarié]]*10^9*Base[[#This Row],[Risque]]*Base[[#This Row],[Prévalence]]*Base[[#This Row],[Part_coûts_salarié]]/Base[[#This Row],[Population_emploi]]</f>
        <v>0.1411295548626807</v>
      </c>
      <c r="P386">
        <v>50</v>
      </c>
      <c r="Q386">
        <v>50</v>
      </c>
      <c r="R386" s="2">
        <v>9.9999999999999978E-2</v>
      </c>
      <c r="S386" s="2">
        <v>0.33340000000000003</v>
      </c>
      <c r="T386" s="4">
        <v>8.4823104693140805E-4</v>
      </c>
      <c r="U386" s="4">
        <f>IF(Bases_annexes!$F$5=0,16.6587111018772,0.77*Bases_annexes!$F$5/(IF(OR(ISBLANK('Données_d''entrée'!$E$44),'Données_d''entrée'!$E$44=0),35,'Données_d''entrée'!$E$44)*52))</f>
        <v>16.658711101877199</v>
      </c>
      <c r="V386" s="4">
        <v>20.125</v>
      </c>
      <c r="W3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6" s="4">
        <v>234.5</v>
      </c>
      <c r="Y386" s="4">
        <f>(Base[[#This Row],['[Maladies']Coûts_évités_par_salarié]]+Base[[#This Row],['[Travail']Coûts_évités_par_salarié]])/Base[[#This Row],[Budget_santé_salarié]]</f>
        <v>1.0150657490944225E-3</v>
      </c>
      <c r="Z386" s="4">
        <v>0.8</v>
      </c>
      <c r="AA386" s="4">
        <f>Base[[#This Row],[Coût]]*Base[[#This Row],[Part_société_dépenses_santé]]</f>
        <v>1.4560000000000002</v>
      </c>
      <c r="AB386" s="4">
        <v>67635124</v>
      </c>
      <c r="AC386" s="4">
        <v>82.297079063317852</v>
      </c>
      <c r="AD386" s="4">
        <v>8.4823104693140805E-4</v>
      </c>
      <c r="AE386" s="4">
        <f>Base[[#This Row],['[SC']Prévalence_travail]]*Base[[#This Row],[Population_emploi]]</f>
        <v>23496.000000000004</v>
      </c>
      <c r="AF386" s="4">
        <f>Base[[#This Row],[Risque]]*Base[[#This Row],['[SC']Patients_en_emploi]]</f>
        <v>4884.5866694452216</v>
      </c>
      <c r="AG386" s="4">
        <v>0</v>
      </c>
      <c r="AH386" s="4">
        <f>IFERROR(Base[[#This Row],['[SC']Prestations]]/Base[[#This Row],['[SC']Patients_en_emploi]],0)</f>
        <v>0</v>
      </c>
      <c r="AI386" s="4">
        <v>51.7</v>
      </c>
      <c r="AJ3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6" s="4">
        <f>Base[[#This Row],['[SC']'[Travail']Coûts_évités]]/Base[[#This Row],[Population_emploi]]</f>
        <v>0.15612382184572907</v>
      </c>
      <c r="AL386" s="4">
        <f>Base[[#This Row],[Coût_société]]*10^9*Base[[#This Row],[Risque]]*Base[[#This Row],[Prévalence]]*Base[[#This Row],[Part_coûts_salarié]]/Base[[#This Row],[Population_emploi]]</f>
        <v>1.6129091984306367</v>
      </c>
      <c r="AM386" s="4">
        <f>IF(Base[[#This Row],[Pathologie]]&lt;&gt;"Dépendance",0,14909.24243952)</f>
        <v>0</v>
      </c>
      <c r="AN386" s="4">
        <f>IF(Base[[#This Row],[Pathologie]]&lt;&gt;"Dépendance",0,1316000)</f>
        <v>0</v>
      </c>
      <c r="AO386" s="4">
        <f>IF(Base[[#This Row],[Pathologie]]&lt;&gt;"Dépendance",0,Base[[#This Row],['[SC']Coût_personne_dépendante]]*Base[[#This Row],['[SC']Nb_personnes_dépendantes]])</f>
        <v>0</v>
      </c>
      <c r="AP386" s="4">
        <f>IF(Base[[#This Row],[Pathologie]]&lt;&gt;"Dépendance",0,Base[[#This Row],['[SC']Coût_total_dépendance]]/Base[[#This Row],[Population_totale]])</f>
        <v>0</v>
      </c>
      <c r="AQ386" s="4">
        <f>IF(Base[[#This Row],[Pathologie]]&lt;&gt;"Dépendance",0,4.5)</f>
        <v>0</v>
      </c>
      <c r="AR386" s="4">
        <v>0.83987615528424797</v>
      </c>
      <c r="AS386" s="4">
        <f>Base[[#This Row],[Espérance_vie]]+Base[[#This Row],['[SC']Hausse_esp_de_vie]]-Base[[#This Row],['[SC']Durée_moyenne_dépendance_avt]]+Base[[#This Row],[Risque]]</f>
        <v>83.344845356048694</v>
      </c>
      <c r="AT3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6" s="4">
        <v>62.9</v>
      </c>
      <c r="AW386" s="4">
        <f t="shared" si="7"/>
        <v>336905600000</v>
      </c>
      <c r="AX386" s="4">
        <v>15049171</v>
      </c>
      <c r="AY386" s="4">
        <f>Base[[#This Row],['[SC']Budget_total_retraites]]/Base[[#This Row],['[SC']Nombre_de_retraités]]</f>
        <v>22386.987296509556</v>
      </c>
      <c r="AZ386" s="4">
        <f>Base[[#This Row],['[SC']Budget_par_retraité]]*Base[[#This Row],['[SC']Nb_personnes_dépendantes]]</f>
        <v>0</v>
      </c>
      <c r="BA386" s="4">
        <f>Base[[#This Row],['[SC']'[Dépendance']Coût_retraite_personnes_dépendantes]]/Base[[#This Row],[Population_totale]]</f>
        <v>0</v>
      </c>
      <c r="BB3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6" s="4">
        <f>Base[[#This Row],['[SC']'[Dépendance']Gains]]-Base[[#This Row],['[SC']'[Dépendance']Coûts]]</f>
        <v>0</v>
      </c>
      <c r="BD386" s="4">
        <f>IF(Base[[#This Row],[Pathologie]]&lt;&gt;"Mort prématurée",0,Base[[#This Row],[Risque]]*Base[[#This Row],[Prévalence]]*Base[[#This Row],[Population_totale]])</f>
        <v>0</v>
      </c>
      <c r="BE386" s="4">
        <v>52.74</v>
      </c>
      <c r="BF386" s="4">
        <f>Base[[#This Row],['[SC']Âge_moyen_retraite]]-Base[[#This Row],['[SC']'[Mort_prématurée']Âge_moyen_mort précoce]]</f>
        <v>10.159999999999997</v>
      </c>
      <c r="BG386" s="4">
        <f>Base[[#This Row],[Espérance_vie]]+Base[[#This Row],['[SC']Hausse_esp_de_vie]]-Base[[#This Row],['[SC']Âge_moyen_retraite]]</f>
        <v>20.236955218602098</v>
      </c>
      <c r="BH386" s="4">
        <v>106583.42676924677</v>
      </c>
      <c r="BI386" s="4">
        <v>97601.789429271477</v>
      </c>
      <c r="BJ386" s="4">
        <v>302038.31496633729</v>
      </c>
      <c r="BK386" s="4">
        <v>117293.58934859755</v>
      </c>
      <c r="BL386" s="4">
        <v>1523999.9999999995</v>
      </c>
      <c r="BM3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6" s="4">
        <v>294804.96027377353</v>
      </c>
      <c r="BO3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6" s="4">
        <f>(Base[[#This Row],['[SC']'[Mort_prématurée']Gains]]-Base[[#This Row],['[SC']'[Mort_prématurée']Coûts]])/Base[[#This Row],[Population_totale]]</f>
        <v>0</v>
      </c>
      <c r="BQ386" s="4">
        <f>IF(Base[[#This Row],[Pathologie]]&lt;&gt;"Mort prématurée",0,Base[[#This Row],[Risque]])</f>
        <v>0</v>
      </c>
      <c r="BR386" s="4">
        <v>2680</v>
      </c>
      <c r="BS3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6" s="4">
        <f>Base[[#This Row],[Prévalence_prod]]*(1-Base[[#This Row],[Risque]])*Base[[#This Row],[Durée_arrêt]]*Base[[#This Row],[Population_emploi]]</f>
        <v>374554.69327741495</v>
      </c>
      <c r="BV386" s="4">
        <f>Base[[#This Row],['[Prod']'[Absentéisme']Total_jours_absence_avant]]-Base[[#This Row],['[Prod']'[Absentéisme']Total_jours_absence_après]]</f>
        <v>98302.306722584995</v>
      </c>
      <c r="BW386" s="4">
        <f>IF(AND(Base[[#This Row],[Pathologie]]&lt;&gt;"Dépendance",Base[[#This Row],[Pathologie]]&lt;&gt;"Mort prématurée",Base[[#This Row],[Pathologie]]&lt;&gt;"Migraine"),0.0619,0)</f>
        <v>6.1899999999999997E-2</v>
      </c>
      <c r="BX386" s="4">
        <v>254</v>
      </c>
      <c r="BY386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6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6" s="4">
        <f>Base[[#This Row],[Prévalence_prod]]*Base[[#This Row],[Présentéisme]]*Base[[#This Row],['[Prod']Jours_ouvrés]]</f>
        <v>0</v>
      </c>
      <c r="CB386" s="4">
        <f>Base[[#This Row],[Prévalence_prod]]*(1-Base[[#This Row],[Risque]])*Base[[#This Row],[Présentéisme]]*Base[[#This Row],['[Prod']Jours_ouvrés]]</f>
        <v>0</v>
      </c>
      <c r="CC386" s="4">
        <f>Base[[#This Row],['[Prod']'[Présentéisme']Jours_avant]]-Base[[#This Row],['[Prod']'[Présentéisme']Jours_après]]</f>
        <v>0</v>
      </c>
      <c r="CD386" s="4">
        <f>Base[[#This Row],['[Prod']'[Présentéisme']Jours_gagnés]]/Base[[#This Row],['[Prod']Jours_ouvrés]]</f>
        <v>0</v>
      </c>
      <c r="CE386">
        <v>7.5880726467531134E-2</v>
      </c>
      <c r="CF386">
        <v>1.989821358241517E-2</v>
      </c>
      <c r="CG386" s="4">
        <v>11</v>
      </c>
      <c r="CH386" s="4">
        <v>1.3987208237662601</v>
      </c>
      <c r="CI386" s="4">
        <v>2.1768516166491274E-2</v>
      </c>
      <c r="CJ386" s="4">
        <f>IF(Base[[#This Row],[Secteur]]&lt;&gt;"Moyenne",Base[[#This Row],['[Prod']'[Turnover']DMC_initiale]]*(1+Base[[#This Row],['[Prod']'[Turnover']Ecart_accidents]]*Base[[#This Row],['[Prod']Impact_motifs_turnover]]),CJ369*CI369+CJ370*CI370+CJ371*CI371+CJ372*CI372+CJ373*CI373+CJ374*CI374+CJ375*CI375+CJ376*CI376+CJ377*CI377+CJ378*CI378+CJ379*CI379+CJ380*CI380+CJ381*CI381+CJ382*CI382+CJ383*CI383+CJ384*CI384+CJ385*CI385)</f>
        <v>11.306152502628199</v>
      </c>
      <c r="CK386" s="4">
        <f>1/Base[[#This Row],['[Prod']'[Turnover']DMC_initiale]]</f>
        <v>9.0909090909090912E-2</v>
      </c>
      <c r="CL386" s="4">
        <f>1/Base[[#This Row],['[Prod']'[Turnover']DMC_finale]]</f>
        <v>8.8447418320913546E-2</v>
      </c>
    </row>
    <row r="387" spans="2:90" x14ac:dyDescent="0.25">
      <c r="B387" s="4" t="s">
        <v>325</v>
      </c>
      <c r="C387">
        <v>15</v>
      </c>
      <c r="D387" t="s">
        <v>83</v>
      </c>
      <c r="E387" t="s">
        <v>10</v>
      </c>
      <c r="F387" s="3">
        <v>0.20789013744659607</v>
      </c>
      <c r="G387" s="3">
        <v>0.17849999999999999</v>
      </c>
      <c r="H387" s="3">
        <v>8.4823104693140794E-4</v>
      </c>
      <c r="I387" s="3">
        <v>0</v>
      </c>
      <c r="J387" s="3">
        <v>1.82</v>
      </c>
      <c r="K387" s="3">
        <v>7.0000000000000007E-2</v>
      </c>
      <c r="L387" s="2">
        <f>Base[[#This Row],[Coût]]*Base[[#This Row],[Part_ménages_dépenses_santé]]</f>
        <v>0.12740000000000001</v>
      </c>
      <c r="M387" s="2">
        <v>0.82690611956969029</v>
      </c>
      <c r="N387" s="6">
        <v>27700000</v>
      </c>
      <c r="O387" s="7">
        <f>Base[[#This Row],[Coût_salarié]]*10^9*Base[[#This Row],[Risque]]*Base[[#This Row],[Prévalence]]*Base[[#This Row],[Part_coûts_salarié]]/Base[[#This Row],[Population_emploi]]</f>
        <v>0.1411295548626807</v>
      </c>
      <c r="P387">
        <v>50</v>
      </c>
      <c r="Q387">
        <v>50</v>
      </c>
      <c r="R387" s="2">
        <v>9.9999999999999978E-2</v>
      </c>
      <c r="S387" s="2">
        <v>0.33340000000000003</v>
      </c>
      <c r="T387" s="4">
        <v>8.4823104693140805E-4</v>
      </c>
      <c r="U387" s="4">
        <f>IF(Bases_annexes!$F$5=0,16.6587111018772,0.77*Bases_annexes!$F$5/(IF(OR(ISBLANK('Données_d''entrée'!$E$44),'Données_d''entrée'!$E$44=0),35,'Données_d''entrée'!$E$44)*52))</f>
        <v>16.658711101877199</v>
      </c>
      <c r="V387" s="4">
        <v>20.125</v>
      </c>
      <c r="W3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7" s="4">
        <v>234.5</v>
      </c>
      <c r="Y387" s="4">
        <f>(Base[[#This Row],['[Maladies']Coûts_évités_par_salarié]]+Base[[#This Row],['[Travail']Coûts_évités_par_salarié]])/Base[[#This Row],[Budget_santé_salarié]]</f>
        <v>1.0150657490944225E-3</v>
      </c>
      <c r="Z387" s="4">
        <v>0.8</v>
      </c>
      <c r="AA387" s="4">
        <f>Base[[#This Row],[Coût]]*Base[[#This Row],[Part_société_dépenses_santé]]</f>
        <v>1.4560000000000002</v>
      </c>
      <c r="AB387" s="4">
        <v>67635124</v>
      </c>
      <c r="AC387" s="4">
        <v>82.297079063317852</v>
      </c>
      <c r="AD387" s="4">
        <v>8.4823104693140805E-4</v>
      </c>
      <c r="AE387" s="4">
        <f>Base[[#This Row],['[SC']Prévalence_travail]]*Base[[#This Row],[Population_emploi]]</f>
        <v>23496.000000000004</v>
      </c>
      <c r="AF387" s="4">
        <f>Base[[#This Row],[Risque]]*Base[[#This Row],['[SC']Patients_en_emploi]]</f>
        <v>4884.5866694452216</v>
      </c>
      <c r="AG387" s="4">
        <v>0</v>
      </c>
      <c r="AH387" s="4">
        <f>IFERROR(Base[[#This Row],['[SC']Prestations]]/Base[[#This Row],['[SC']Patients_en_emploi]],0)</f>
        <v>0</v>
      </c>
      <c r="AI387" s="4">
        <v>51.7</v>
      </c>
      <c r="AJ3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7" s="4">
        <f>Base[[#This Row],['[SC']'[Travail']Coûts_évités]]/Base[[#This Row],[Population_emploi]]</f>
        <v>0.15612382184572907</v>
      </c>
      <c r="AL387" s="4">
        <f>Base[[#This Row],[Coût_société]]*10^9*Base[[#This Row],[Risque]]*Base[[#This Row],[Prévalence]]*Base[[#This Row],[Part_coûts_salarié]]/Base[[#This Row],[Population_emploi]]</f>
        <v>1.6129091984306367</v>
      </c>
      <c r="AM387" s="4">
        <f>IF(Base[[#This Row],[Pathologie]]&lt;&gt;"Dépendance",0,14909.24243952)</f>
        <v>0</v>
      </c>
      <c r="AN387" s="4">
        <f>IF(Base[[#This Row],[Pathologie]]&lt;&gt;"Dépendance",0,1316000)</f>
        <v>0</v>
      </c>
      <c r="AO387" s="4">
        <f>IF(Base[[#This Row],[Pathologie]]&lt;&gt;"Dépendance",0,Base[[#This Row],['[SC']Coût_personne_dépendante]]*Base[[#This Row],['[SC']Nb_personnes_dépendantes]])</f>
        <v>0</v>
      </c>
      <c r="AP387" s="4">
        <f>IF(Base[[#This Row],[Pathologie]]&lt;&gt;"Dépendance",0,Base[[#This Row],['[SC']Coût_total_dépendance]]/Base[[#This Row],[Population_totale]])</f>
        <v>0</v>
      </c>
      <c r="AQ387" s="4">
        <f>IF(Base[[#This Row],[Pathologie]]&lt;&gt;"Dépendance",0,4.5)</f>
        <v>0</v>
      </c>
      <c r="AR387" s="4">
        <v>0.83987615528424797</v>
      </c>
      <c r="AS387" s="4">
        <f>Base[[#This Row],[Espérance_vie]]+Base[[#This Row],['[SC']Hausse_esp_de_vie]]-Base[[#This Row],['[SC']Durée_moyenne_dépendance_avt]]+Base[[#This Row],[Risque]]</f>
        <v>83.344845356048694</v>
      </c>
      <c r="AT3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7" s="4">
        <v>62.9</v>
      </c>
      <c r="AW387" s="4">
        <f t="shared" si="7"/>
        <v>336905600000</v>
      </c>
      <c r="AX387" s="4">
        <v>15049171</v>
      </c>
      <c r="AY387" s="4">
        <f>Base[[#This Row],['[SC']Budget_total_retraites]]/Base[[#This Row],['[SC']Nombre_de_retraités]]</f>
        <v>22386.987296509556</v>
      </c>
      <c r="AZ387" s="4">
        <f>Base[[#This Row],['[SC']Budget_par_retraité]]*Base[[#This Row],['[SC']Nb_personnes_dépendantes]]</f>
        <v>0</v>
      </c>
      <c r="BA387" s="4">
        <f>Base[[#This Row],['[SC']'[Dépendance']Coût_retraite_personnes_dépendantes]]/Base[[#This Row],[Population_totale]]</f>
        <v>0</v>
      </c>
      <c r="BB3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7" s="4">
        <f>Base[[#This Row],['[SC']'[Dépendance']Gains]]-Base[[#This Row],['[SC']'[Dépendance']Coûts]]</f>
        <v>0</v>
      </c>
      <c r="BD387" s="4">
        <f>IF(Base[[#This Row],[Pathologie]]&lt;&gt;"Mort prématurée",0,Base[[#This Row],[Risque]]*Base[[#This Row],[Prévalence]]*Base[[#This Row],[Population_totale]])</f>
        <v>0</v>
      </c>
      <c r="BE387" s="4">
        <v>52.74</v>
      </c>
      <c r="BF387" s="4">
        <f>Base[[#This Row],['[SC']Âge_moyen_retraite]]-Base[[#This Row],['[SC']'[Mort_prématurée']Âge_moyen_mort précoce]]</f>
        <v>10.159999999999997</v>
      </c>
      <c r="BG387" s="4">
        <f>Base[[#This Row],[Espérance_vie]]+Base[[#This Row],['[SC']Hausse_esp_de_vie]]-Base[[#This Row],['[SC']Âge_moyen_retraite]]</f>
        <v>20.236955218602098</v>
      </c>
      <c r="BH387" s="4">
        <v>106583.42676924677</v>
      </c>
      <c r="BI387" s="4">
        <v>97601.789429271477</v>
      </c>
      <c r="BJ387" s="4">
        <v>302038.31496633729</v>
      </c>
      <c r="BK387" s="4">
        <v>117293.58934859755</v>
      </c>
      <c r="BL387" s="4">
        <v>1523999.9999999995</v>
      </c>
      <c r="BM3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7" s="4">
        <v>294804.96027377353</v>
      </c>
      <c r="BO3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7" s="4">
        <f>(Base[[#This Row],['[SC']'[Mort_prématurée']Gains]]-Base[[#This Row],['[SC']'[Mort_prématurée']Coûts]])/Base[[#This Row],[Population_totale]]</f>
        <v>0</v>
      </c>
      <c r="BQ387" s="4">
        <f>IF(Base[[#This Row],[Pathologie]]&lt;&gt;"Mort prématurée",0,Base[[#This Row],[Risque]])</f>
        <v>0</v>
      </c>
      <c r="BR387" s="4">
        <v>2680</v>
      </c>
      <c r="BS3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7" s="4">
        <f>Base[[#This Row],[Prévalence_prod]]*(1-Base[[#This Row],[Risque]])*Base[[#This Row],[Durée_arrêt]]*Base[[#This Row],[Population_emploi]]</f>
        <v>374554.69327741495</v>
      </c>
      <c r="BV387" s="4">
        <f>Base[[#This Row],['[Prod']'[Absentéisme']Total_jours_absence_avant]]-Base[[#This Row],['[Prod']'[Absentéisme']Total_jours_absence_après]]</f>
        <v>98302.306722584995</v>
      </c>
      <c r="BW387" s="4">
        <f>IF(AND(Base[[#This Row],[Pathologie]]&lt;&gt;"Dépendance",Base[[#This Row],[Pathologie]]&lt;&gt;"Mort prématurée",Base[[#This Row],[Pathologie]]&lt;&gt;"Migraine"),0.0619,0)</f>
        <v>6.1899999999999997E-2</v>
      </c>
      <c r="BX387" s="4">
        <v>254</v>
      </c>
      <c r="BY38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7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7" s="4">
        <f>Base[[#This Row],[Prévalence_prod]]*Base[[#This Row],[Présentéisme]]*Base[[#This Row],['[Prod']Jours_ouvrés]]</f>
        <v>0</v>
      </c>
      <c r="CB387" s="4">
        <f>Base[[#This Row],[Prévalence_prod]]*(1-Base[[#This Row],[Risque]])*Base[[#This Row],[Présentéisme]]*Base[[#This Row],['[Prod']Jours_ouvrés]]</f>
        <v>0</v>
      </c>
      <c r="CC387" s="4">
        <f>Base[[#This Row],['[Prod']'[Présentéisme']Jours_avant]]-Base[[#This Row],['[Prod']'[Présentéisme']Jours_après]]</f>
        <v>0</v>
      </c>
      <c r="CD387" s="4">
        <f>Base[[#This Row],['[Prod']'[Présentéisme']Jours_gagnés]]/Base[[#This Row],['[Prod']Jours_ouvrés]]</f>
        <v>0</v>
      </c>
      <c r="CE387">
        <v>7.5880726467531134E-2</v>
      </c>
      <c r="CF387">
        <v>1.989821358241517E-2</v>
      </c>
      <c r="CG387" s="4">
        <v>11</v>
      </c>
      <c r="CH387" s="4">
        <v>1.1624525375985588</v>
      </c>
      <c r="CI387" s="4">
        <v>3.7953151649308701E-2</v>
      </c>
      <c r="CJ387" s="4">
        <f>IF(Base[[#This Row],[Secteur]]&lt;&gt;"Moyenne",Base[[#This Row],['[Prod']'[Turnover']DMC_initiale]]*(1+Base[[#This Row],['[Prod']'[Turnover']Ecart_accidents]]*Base[[#This Row],['[Prod']Impact_motifs_turnover]]),CJ370*CI370+CJ371*CI371+CJ372*CI372+CJ373*CI373+CJ374*CI374+CJ375*CI375+CJ376*CI376+CJ377*CI377+CJ378*CI378+CJ379*CI379+CJ380*CI380+CJ381*CI381+CJ382*CI382+CJ383*CI383+CJ384*CI384+CJ385*CI385+CJ386*CI386)</f>
        <v>11.254438017598122</v>
      </c>
      <c r="CK387" s="4">
        <f>1/Base[[#This Row],['[Prod']'[Turnover']DMC_initiale]]</f>
        <v>9.0909090909090912E-2</v>
      </c>
      <c r="CL387" s="4">
        <f>1/Base[[#This Row],['[Prod']'[Turnover']DMC_finale]]</f>
        <v>8.885383689850522E-2</v>
      </c>
    </row>
    <row r="388" spans="2:90" x14ac:dyDescent="0.25">
      <c r="B388" s="4" t="s">
        <v>326</v>
      </c>
      <c r="C388">
        <v>15</v>
      </c>
      <c r="D388" t="s">
        <v>83</v>
      </c>
      <c r="E388" t="s">
        <v>10</v>
      </c>
      <c r="F388" s="3">
        <v>0.20789013744659607</v>
      </c>
      <c r="G388" s="3">
        <v>0.17849999999999999</v>
      </c>
      <c r="H388" s="3">
        <v>8.4823104693140794E-4</v>
      </c>
      <c r="I388" s="3">
        <v>0</v>
      </c>
      <c r="J388" s="3">
        <v>1.82</v>
      </c>
      <c r="K388" s="3">
        <v>7.0000000000000007E-2</v>
      </c>
      <c r="L388" s="2">
        <f>Base[[#This Row],[Coût]]*Base[[#This Row],[Part_ménages_dépenses_santé]]</f>
        <v>0.12740000000000001</v>
      </c>
      <c r="M388" s="2">
        <v>0.82690611956969029</v>
      </c>
      <c r="N388" s="6">
        <v>27700000</v>
      </c>
      <c r="O388" s="7">
        <f>Base[[#This Row],[Coût_salarié]]*10^9*Base[[#This Row],[Risque]]*Base[[#This Row],[Prévalence]]*Base[[#This Row],[Part_coûts_salarié]]/Base[[#This Row],[Population_emploi]]</f>
        <v>0.1411295548626807</v>
      </c>
      <c r="P388">
        <v>50</v>
      </c>
      <c r="Q388">
        <v>50</v>
      </c>
      <c r="R388" s="2">
        <v>9.9999999999999978E-2</v>
      </c>
      <c r="S388" s="2">
        <v>0.33340000000000003</v>
      </c>
      <c r="T388" s="4">
        <v>8.4823104693140805E-4</v>
      </c>
      <c r="U388" s="4">
        <f>IF(Bases_annexes!$F$5=0,16.6587111018772,0.77*Bases_annexes!$F$5/(IF(OR(ISBLANK('Données_d''entrée'!$E$44),'Données_d''entrée'!$E$44=0),35,'Données_d''entrée'!$E$44)*52))</f>
        <v>16.658711101877199</v>
      </c>
      <c r="V388" s="4">
        <v>20.125</v>
      </c>
      <c r="W3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8" s="4">
        <v>234.5</v>
      </c>
      <c r="Y388" s="4">
        <f>(Base[[#This Row],['[Maladies']Coûts_évités_par_salarié]]+Base[[#This Row],['[Travail']Coûts_évités_par_salarié]])/Base[[#This Row],[Budget_santé_salarié]]</f>
        <v>1.0150657490944225E-3</v>
      </c>
      <c r="Z388" s="4">
        <v>0.8</v>
      </c>
      <c r="AA388" s="4">
        <f>Base[[#This Row],[Coût]]*Base[[#This Row],[Part_société_dépenses_santé]]</f>
        <v>1.4560000000000002</v>
      </c>
      <c r="AB388" s="4">
        <v>67635124</v>
      </c>
      <c r="AC388" s="4">
        <v>82.297079063317852</v>
      </c>
      <c r="AD388" s="4">
        <v>8.4823104693140805E-4</v>
      </c>
      <c r="AE388" s="4">
        <f>Base[[#This Row],['[SC']Prévalence_travail]]*Base[[#This Row],[Population_emploi]]</f>
        <v>23496.000000000004</v>
      </c>
      <c r="AF388" s="4">
        <f>Base[[#This Row],[Risque]]*Base[[#This Row],['[SC']Patients_en_emploi]]</f>
        <v>4884.5866694452216</v>
      </c>
      <c r="AG388" s="4">
        <v>0</v>
      </c>
      <c r="AH388" s="4">
        <f>IFERROR(Base[[#This Row],['[SC']Prestations]]/Base[[#This Row],['[SC']Patients_en_emploi]],0)</f>
        <v>0</v>
      </c>
      <c r="AI388" s="4">
        <v>51.7</v>
      </c>
      <c r="AJ3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8" s="4">
        <f>Base[[#This Row],['[SC']'[Travail']Coûts_évités]]/Base[[#This Row],[Population_emploi]]</f>
        <v>0.15612382184572907</v>
      </c>
      <c r="AL388" s="4">
        <f>Base[[#This Row],[Coût_société]]*10^9*Base[[#This Row],[Risque]]*Base[[#This Row],[Prévalence]]*Base[[#This Row],[Part_coûts_salarié]]/Base[[#This Row],[Population_emploi]]</f>
        <v>1.6129091984306367</v>
      </c>
      <c r="AM388" s="4">
        <f>IF(Base[[#This Row],[Pathologie]]&lt;&gt;"Dépendance",0,14909.24243952)</f>
        <v>0</v>
      </c>
      <c r="AN388" s="4">
        <f>IF(Base[[#This Row],[Pathologie]]&lt;&gt;"Dépendance",0,1316000)</f>
        <v>0</v>
      </c>
      <c r="AO388" s="4">
        <f>IF(Base[[#This Row],[Pathologie]]&lt;&gt;"Dépendance",0,Base[[#This Row],['[SC']Coût_personne_dépendante]]*Base[[#This Row],['[SC']Nb_personnes_dépendantes]])</f>
        <v>0</v>
      </c>
      <c r="AP388" s="4">
        <f>IF(Base[[#This Row],[Pathologie]]&lt;&gt;"Dépendance",0,Base[[#This Row],['[SC']Coût_total_dépendance]]/Base[[#This Row],[Population_totale]])</f>
        <v>0</v>
      </c>
      <c r="AQ388" s="4">
        <f>IF(Base[[#This Row],[Pathologie]]&lt;&gt;"Dépendance",0,4.5)</f>
        <v>0</v>
      </c>
      <c r="AR388" s="4">
        <v>0.83987615528424797</v>
      </c>
      <c r="AS388" s="4">
        <f>Base[[#This Row],[Espérance_vie]]+Base[[#This Row],['[SC']Hausse_esp_de_vie]]-Base[[#This Row],['[SC']Durée_moyenne_dépendance_avt]]+Base[[#This Row],[Risque]]</f>
        <v>83.344845356048694</v>
      </c>
      <c r="AT3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8" s="4">
        <v>62.9</v>
      </c>
      <c r="AW388" s="4">
        <f t="shared" si="7"/>
        <v>336905600000</v>
      </c>
      <c r="AX388" s="4">
        <v>15049171</v>
      </c>
      <c r="AY388" s="4">
        <f>Base[[#This Row],['[SC']Budget_total_retraites]]/Base[[#This Row],['[SC']Nombre_de_retraités]]</f>
        <v>22386.987296509556</v>
      </c>
      <c r="AZ388" s="4">
        <f>Base[[#This Row],['[SC']Budget_par_retraité]]*Base[[#This Row],['[SC']Nb_personnes_dépendantes]]</f>
        <v>0</v>
      </c>
      <c r="BA388" s="4">
        <f>Base[[#This Row],['[SC']'[Dépendance']Coût_retraite_personnes_dépendantes]]/Base[[#This Row],[Population_totale]]</f>
        <v>0</v>
      </c>
      <c r="BB3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8" s="4">
        <f>Base[[#This Row],['[SC']'[Dépendance']Gains]]-Base[[#This Row],['[SC']'[Dépendance']Coûts]]</f>
        <v>0</v>
      </c>
      <c r="BD388" s="4">
        <f>IF(Base[[#This Row],[Pathologie]]&lt;&gt;"Mort prématurée",0,Base[[#This Row],[Risque]]*Base[[#This Row],[Prévalence]]*Base[[#This Row],[Population_totale]])</f>
        <v>0</v>
      </c>
      <c r="BE388" s="4">
        <v>52.74</v>
      </c>
      <c r="BF388" s="4">
        <f>Base[[#This Row],['[SC']Âge_moyen_retraite]]-Base[[#This Row],['[SC']'[Mort_prématurée']Âge_moyen_mort précoce]]</f>
        <v>10.159999999999997</v>
      </c>
      <c r="BG388" s="4">
        <f>Base[[#This Row],[Espérance_vie]]+Base[[#This Row],['[SC']Hausse_esp_de_vie]]-Base[[#This Row],['[SC']Âge_moyen_retraite]]</f>
        <v>20.236955218602098</v>
      </c>
      <c r="BH388" s="4">
        <v>106583.42676924677</v>
      </c>
      <c r="BI388" s="4">
        <v>97601.789429271477</v>
      </c>
      <c r="BJ388" s="4">
        <v>302038.31496633729</v>
      </c>
      <c r="BK388" s="4">
        <v>117293.58934859755</v>
      </c>
      <c r="BL388" s="4">
        <v>1523999.9999999995</v>
      </c>
      <c r="BM3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8" s="4">
        <v>294804.96027377353</v>
      </c>
      <c r="BO3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8" s="4">
        <f>(Base[[#This Row],['[SC']'[Mort_prématurée']Gains]]-Base[[#This Row],['[SC']'[Mort_prématurée']Coûts]])/Base[[#This Row],[Population_totale]]</f>
        <v>0</v>
      </c>
      <c r="BQ388" s="4">
        <f>IF(Base[[#This Row],[Pathologie]]&lt;&gt;"Mort prématurée",0,Base[[#This Row],[Risque]])</f>
        <v>0</v>
      </c>
      <c r="BR388" s="4">
        <v>2680</v>
      </c>
      <c r="BS3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8" s="4">
        <f>Base[[#This Row],[Prévalence_prod]]*(1-Base[[#This Row],[Risque]])*Base[[#This Row],[Durée_arrêt]]*Base[[#This Row],[Population_emploi]]</f>
        <v>374554.69327741495</v>
      </c>
      <c r="BV388" s="4">
        <f>Base[[#This Row],['[Prod']'[Absentéisme']Total_jours_absence_avant]]-Base[[#This Row],['[Prod']'[Absentéisme']Total_jours_absence_après]]</f>
        <v>98302.306722584995</v>
      </c>
      <c r="BW388" s="4">
        <f>IF(AND(Base[[#This Row],[Pathologie]]&lt;&gt;"Dépendance",Base[[#This Row],[Pathologie]]&lt;&gt;"Mort prématurée",Base[[#This Row],[Pathologie]]&lt;&gt;"Migraine"),0.0619,0)</f>
        <v>6.1899999999999997E-2</v>
      </c>
      <c r="BX388" s="4">
        <v>254</v>
      </c>
      <c r="BY38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8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8" s="4">
        <f>Base[[#This Row],[Prévalence_prod]]*Base[[#This Row],[Présentéisme]]*Base[[#This Row],['[Prod']Jours_ouvrés]]</f>
        <v>0</v>
      </c>
      <c r="CB388" s="4">
        <f>Base[[#This Row],[Prévalence_prod]]*(1-Base[[#This Row],[Risque]])*Base[[#This Row],[Présentéisme]]*Base[[#This Row],['[Prod']Jours_ouvrés]]</f>
        <v>0</v>
      </c>
      <c r="CC388" s="4">
        <f>Base[[#This Row],['[Prod']'[Présentéisme']Jours_avant]]-Base[[#This Row],['[Prod']'[Présentéisme']Jours_après]]</f>
        <v>0</v>
      </c>
      <c r="CD388" s="4">
        <f>Base[[#This Row],['[Prod']'[Présentéisme']Jours_gagnés]]/Base[[#This Row],['[Prod']Jours_ouvrés]]</f>
        <v>0</v>
      </c>
      <c r="CE388">
        <v>7.5880726467531134E-2</v>
      </c>
      <c r="CF388">
        <v>1.989821358241517E-2</v>
      </c>
      <c r="CG388" s="4">
        <v>11</v>
      </c>
      <c r="CH388" s="4">
        <v>0.19346787829229528</v>
      </c>
      <c r="CI388" s="4">
        <v>2.8126549817953091E-2</v>
      </c>
      <c r="CJ388" s="4">
        <f>IF(Base[[#This Row],[Secteur]]&lt;&gt;"Moyenne",Base[[#This Row],['[Prod']'[Turnover']DMC_initiale]]*(1+Base[[#This Row],['[Prod']'[Turnover']Ecart_accidents]]*Base[[#This Row],['[Prod']Impact_motifs_turnover]]),CJ371*CI371+CJ372*CI372+CJ373*CI373+CJ374*CI374+CJ375*CI375+CJ376*CI376+CJ377*CI377+CJ378*CI378+CJ379*CI379+CJ380*CI380+CJ381*CI381+CJ382*CI382+CJ383*CI383+CJ384*CI384+CJ385*CI385+CJ386*CI386+CJ387*CI387)</f>
        <v>11.042346316799566</v>
      </c>
      <c r="CK388" s="4">
        <f>1/Base[[#This Row],['[Prod']'[Turnover']DMC_initiale]]</f>
        <v>9.0909090909090912E-2</v>
      </c>
      <c r="CL388" s="4">
        <f>1/Base[[#This Row],['[Prod']'[Turnover']DMC_finale]]</f>
        <v>9.0560463447756881E-2</v>
      </c>
    </row>
    <row r="389" spans="2:90" x14ac:dyDescent="0.25">
      <c r="B389" s="4" t="s">
        <v>327</v>
      </c>
      <c r="C389">
        <v>15</v>
      </c>
      <c r="D389" t="s">
        <v>83</v>
      </c>
      <c r="E389" t="s">
        <v>10</v>
      </c>
      <c r="F389" s="3">
        <v>0.20789013744659607</v>
      </c>
      <c r="G389" s="3">
        <v>0.17849999999999999</v>
      </c>
      <c r="H389" s="3">
        <v>8.4823104693140794E-4</v>
      </c>
      <c r="I389" s="3">
        <v>0</v>
      </c>
      <c r="J389" s="3">
        <v>1.82</v>
      </c>
      <c r="K389" s="3">
        <v>7.0000000000000007E-2</v>
      </c>
      <c r="L389" s="2">
        <f>Base[[#This Row],[Coût]]*Base[[#This Row],[Part_ménages_dépenses_santé]]</f>
        <v>0.12740000000000001</v>
      </c>
      <c r="M389" s="2">
        <v>0.82690611956969029</v>
      </c>
      <c r="N389" s="6">
        <v>27700000</v>
      </c>
      <c r="O389" s="7">
        <f>Base[[#This Row],[Coût_salarié]]*10^9*Base[[#This Row],[Risque]]*Base[[#This Row],[Prévalence]]*Base[[#This Row],[Part_coûts_salarié]]/Base[[#This Row],[Population_emploi]]</f>
        <v>0.1411295548626807</v>
      </c>
      <c r="P389">
        <v>50</v>
      </c>
      <c r="Q389">
        <v>50</v>
      </c>
      <c r="R389" s="2">
        <v>9.9999999999999978E-2</v>
      </c>
      <c r="S389" s="2">
        <v>0.33340000000000003</v>
      </c>
      <c r="T389" s="4">
        <v>8.4823104693140805E-4</v>
      </c>
      <c r="U389" s="4">
        <f>IF(Bases_annexes!$F$5=0,16.6587111018772,0.77*Bases_annexes!$F$5/(IF(OR(ISBLANK('Données_d''entrée'!$E$44),'Données_d''entrée'!$E$44=0),35,'Données_d''entrée'!$E$44)*52))</f>
        <v>16.658711101877199</v>
      </c>
      <c r="V389" s="4">
        <v>20.125</v>
      </c>
      <c r="W3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89" s="4">
        <v>234.5</v>
      </c>
      <c r="Y389" s="4">
        <f>(Base[[#This Row],['[Maladies']Coûts_évités_par_salarié]]+Base[[#This Row],['[Travail']Coûts_évités_par_salarié]])/Base[[#This Row],[Budget_santé_salarié]]</f>
        <v>1.0150657490944225E-3</v>
      </c>
      <c r="Z389" s="4">
        <v>0.8</v>
      </c>
      <c r="AA389" s="4">
        <f>Base[[#This Row],[Coût]]*Base[[#This Row],[Part_société_dépenses_santé]]</f>
        <v>1.4560000000000002</v>
      </c>
      <c r="AB389" s="4">
        <v>67635124</v>
      </c>
      <c r="AC389" s="4">
        <v>82.297079063317852</v>
      </c>
      <c r="AD389" s="4">
        <v>8.4823104693140805E-4</v>
      </c>
      <c r="AE389" s="4">
        <f>Base[[#This Row],['[SC']Prévalence_travail]]*Base[[#This Row],[Population_emploi]]</f>
        <v>23496.000000000004</v>
      </c>
      <c r="AF389" s="4">
        <f>Base[[#This Row],[Risque]]*Base[[#This Row],['[SC']Patients_en_emploi]]</f>
        <v>4884.5866694452216</v>
      </c>
      <c r="AG389" s="4">
        <v>0</v>
      </c>
      <c r="AH389" s="4">
        <f>IFERROR(Base[[#This Row],['[SC']Prestations]]/Base[[#This Row],['[SC']Patients_en_emploi]],0)</f>
        <v>0</v>
      </c>
      <c r="AI389" s="4">
        <v>51.7</v>
      </c>
      <c r="AJ3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89" s="4">
        <f>Base[[#This Row],['[SC']'[Travail']Coûts_évités]]/Base[[#This Row],[Population_emploi]]</f>
        <v>0.15612382184572907</v>
      </c>
      <c r="AL389" s="4">
        <f>Base[[#This Row],[Coût_société]]*10^9*Base[[#This Row],[Risque]]*Base[[#This Row],[Prévalence]]*Base[[#This Row],[Part_coûts_salarié]]/Base[[#This Row],[Population_emploi]]</f>
        <v>1.6129091984306367</v>
      </c>
      <c r="AM389" s="4">
        <f>IF(Base[[#This Row],[Pathologie]]&lt;&gt;"Dépendance",0,14909.24243952)</f>
        <v>0</v>
      </c>
      <c r="AN389" s="4">
        <f>IF(Base[[#This Row],[Pathologie]]&lt;&gt;"Dépendance",0,1316000)</f>
        <v>0</v>
      </c>
      <c r="AO389" s="4">
        <f>IF(Base[[#This Row],[Pathologie]]&lt;&gt;"Dépendance",0,Base[[#This Row],['[SC']Coût_personne_dépendante]]*Base[[#This Row],['[SC']Nb_personnes_dépendantes]])</f>
        <v>0</v>
      </c>
      <c r="AP389" s="4">
        <f>IF(Base[[#This Row],[Pathologie]]&lt;&gt;"Dépendance",0,Base[[#This Row],['[SC']Coût_total_dépendance]]/Base[[#This Row],[Population_totale]])</f>
        <v>0</v>
      </c>
      <c r="AQ389" s="4">
        <f>IF(Base[[#This Row],[Pathologie]]&lt;&gt;"Dépendance",0,4.5)</f>
        <v>0</v>
      </c>
      <c r="AR389" s="4">
        <v>0.83987615528424797</v>
      </c>
      <c r="AS389" s="4">
        <f>Base[[#This Row],[Espérance_vie]]+Base[[#This Row],['[SC']Hausse_esp_de_vie]]-Base[[#This Row],['[SC']Durée_moyenne_dépendance_avt]]+Base[[#This Row],[Risque]]</f>
        <v>83.344845356048694</v>
      </c>
      <c r="AT3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89" s="4">
        <v>62.9</v>
      </c>
      <c r="AW389" s="4">
        <f t="shared" si="7"/>
        <v>336905600000</v>
      </c>
      <c r="AX389" s="4">
        <v>15049171</v>
      </c>
      <c r="AY389" s="4">
        <f>Base[[#This Row],['[SC']Budget_total_retraites]]/Base[[#This Row],['[SC']Nombre_de_retraités]]</f>
        <v>22386.987296509556</v>
      </c>
      <c r="AZ389" s="4">
        <f>Base[[#This Row],['[SC']Budget_par_retraité]]*Base[[#This Row],['[SC']Nb_personnes_dépendantes]]</f>
        <v>0</v>
      </c>
      <c r="BA389" s="4">
        <f>Base[[#This Row],['[SC']'[Dépendance']Coût_retraite_personnes_dépendantes]]/Base[[#This Row],[Population_totale]]</f>
        <v>0</v>
      </c>
      <c r="BB3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89" s="4">
        <f>Base[[#This Row],['[SC']'[Dépendance']Gains]]-Base[[#This Row],['[SC']'[Dépendance']Coûts]]</f>
        <v>0</v>
      </c>
      <c r="BD389" s="4">
        <f>IF(Base[[#This Row],[Pathologie]]&lt;&gt;"Mort prématurée",0,Base[[#This Row],[Risque]]*Base[[#This Row],[Prévalence]]*Base[[#This Row],[Population_totale]])</f>
        <v>0</v>
      </c>
      <c r="BE389" s="4">
        <v>52.74</v>
      </c>
      <c r="BF389" s="4">
        <f>Base[[#This Row],['[SC']Âge_moyen_retraite]]-Base[[#This Row],['[SC']'[Mort_prématurée']Âge_moyen_mort précoce]]</f>
        <v>10.159999999999997</v>
      </c>
      <c r="BG389" s="4">
        <f>Base[[#This Row],[Espérance_vie]]+Base[[#This Row],['[SC']Hausse_esp_de_vie]]-Base[[#This Row],['[SC']Âge_moyen_retraite]]</f>
        <v>20.236955218602098</v>
      </c>
      <c r="BH389" s="4">
        <v>106583.42676924677</v>
      </c>
      <c r="BI389" s="4">
        <v>97601.789429271477</v>
      </c>
      <c r="BJ389" s="4">
        <v>302038.31496633729</v>
      </c>
      <c r="BK389" s="4">
        <v>117293.58934859755</v>
      </c>
      <c r="BL389" s="4">
        <v>1523999.9999999995</v>
      </c>
      <c r="BM3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89" s="4">
        <v>294804.96027377353</v>
      </c>
      <c r="BO3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89" s="4">
        <f>(Base[[#This Row],['[SC']'[Mort_prématurée']Gains]]-Base[[#This Row],['[SC']'[Mort_prématurée']Coûts]])/Base[[#This Row],[Population_totale]]</f>
        <v>0</v>
      </c>
      <c r="BQ389" s="4">
        <f>IF(Base[[#This Row],[Pathologie]]&lt;&gt;"Mort prématurée",0,Base[[#This Row],[Risque]])</f>
        <v>0</v>
      </c>
      <c r="BR389" s="4">
        <v>2680</v>
      </c>
      <c r="BS3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89" s="4">
        <f>Base[[#This Row],[Prévalence_prod]]*(1-Base[[#This Row],[Risque]])*Base[[#This Row],[Durée_arrêt]]*Base[[#This Row],[Population_emploi]]</f>
        <v>374554.69327741495</v>
      </c>
      <c r="BV389" s="4">
        <f>Base[[#This Row],['[Prod']'[Absentéisme']Total_jours_absence_avant]]-Base[[#This Row],['[Prod']'[Absentéisme']Total_jours_absence_après]]</f>
        <v>98302.306722584995</v>
      </c>
      <c r="BW389" s="4">
        <f>IF(AND(Base[[#This Row],[Pathologie]]&lt;&gt;"Dépendance",Base[[#This Row],[Pathologie]]&lt;&gt;"Mort prématurée",Base[[#This Row],[Pathologie]]&lt;&gt;"Migraine"),0.0619,0)</f>
        <v>6.1899999999999997E-2</v>
      </c>
      <c r="BX389" s="4">
        <v>254</v>
      </c>
      <c r="BY389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89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89" s="4">
        <f>Base[[#This Row],[Prévalence_prod]]*Base[[#This Row],[Présentéisme]]*Base[[#This Row],['[Prod']Jours_ouvrés]]</f>
        <v>0</v>
      </c>
      <c r="CB389" s="4">
        <f>Base[[#This Row],[Prévalence_prod]]*(1-Base[[#This Row],[Risque]])*Base[[#This Row],[Présentéisme]]*Base[[#This Row],['[Prod']Jours_ouvrés]]</f>
        <v>0</v>
      </c>
      <c r="CC389" s="4">
        <f>Base[[#This Row],['[Prod']'[Présentéisme']Jours_avant]]-Base[[#This Row],['[Prod']'[Présentéisme']Jours_après]]</f>
        <v>0</v>
      </c>
      <c r="CD389" s="4">
        <f>Base[[#This Row],['[Prod']'[Présentéisme']Jours_gagnés]]/Base[[#This Row],['[Prod']Jours_ouvrés]]</f>
        <v>0</v>
      </c>
      <c r="CE389">
        <v>7.5880726467531134E-2</v>
      </c>
      <c r="CF389">
        <v>1.989821358241517E-2</v>
      </c>
      <c r="CG389" s="4">
        <v>11</v>
      </c>
      <c r="CH389" s="4">
        <v>0.13729577077682142</v>
      </c>
      <c r="CI389" s="4">
        <v>1.373516710817578E-2</v>
      </c>
      <c r="CJ389" s="4">
        <f>IF(Base[[#This Row],[Secteur]]&lt;&gt;"Moyenne",Base[[#This Row],['[Prod']'[Turnover']DMC_initiale]]*(1+Base[[#This Row],['[Prod']'[Turnover']Ecart_accidents]]*Base[[#This Row],['[Prod']Impact_motifs_turnover]]),CJ372*CI372+CJ373*CI373+CJ374*CI374+CJ375*CI375+CJ376*CI376+CJ377*CI377+CJ378*CI378+CJ379*CI379+CJ380*CI380+CJ381*CI381+CJ382*CI382+CJ383*CI383+CJ384*CI384+CJ385*CI385+CJ386*CI386+CJ387*CI387+CJ388*CI388)</f>
        <v>11.030051346279674</v>
      </c>
      <c r="CK389" s="4">
        <f>1/Base[[#This Row],['[Prod']'[Turnover']DMC_initiale]]</f>
        <v>9.0909090909090912E-2</v>
      </c>
      <c r="CL389" s="4">
        <f>1/Base[[#This Row],['[Prod']'[Turnover']DMC_finale]]</f>
        <v>9.0661409326738093E-2</v>
      </c>
    </row>
    <row r="390" spans="2:90" x14ac:dyDescent="0.25">
      <c r="B390" s="4" t="s">
        <v>328</v>
      </c>
      <c r="C390">
        <v>15</v>
      </c>
      <c r="D390" t="s">
        <v>83</v>
      </c>
      <c r="E390" t="s">
        <v>10</v>
      </c>
      <c r="F390" s="3">
        <v>0.20789013744659607</v>
      </c>
      <c r="G390" s="3">
        <v>0.17849999999999999</v>
      </c>
      <c r="H390" s="3">
        <v>8.4823104693140794E-4</v>
      </c>
      <c r="I390" s="3">
        <v>0</v>
      </c>
      <c r="J390" s="3">
        <v>1.82</v>
      </c>
      <c r="K390" s="3">
        <v>7.0000000000000007E-2</v>
      </c>
      <c r="L390" s="2">
        <f>Base[[#This Row],[Coût]]*Base[[#This Row],[Part_ménages_dépenses_santé]]</f>
        <v>0.12740000000000001</v>
      </c>
      <c r="M390" s="2">
        <v>0.82690611956969029</v>
      </c>
      <c r="N390" s="6">
        <v>27700000</v>
      </c>
      <c r="O390" s="7">
        <f>Base[[#This Row],[Coût_salarié]]*10^9*Base[[#This Row],[Risque]]*Base[[#This Row],[Prévalence]]*Base[[#This Row],[Part_coûts_salarié]]/Base[[#This Row],[Population_emploi]]</f>
        <v>0.1411295548626807</v>
      </c>
      <c r="P390">
        <v>50</v>
      </c>
      <c r="Q390">
        <v>50</v>
      </c>
      <c r="R390" s="2">
        <v>9.9999999999999978E-2</v>
      </c>
      <c r="S390" s="2">
        <v>0.33340000000000003</v>
      </c>
      <c r="T390" s="4">
        <v>8.4823104693140805E-4</v>
      </c>
      <c r="U390" s="4">
        <f>IF(Bases_annexes!$F$5=0,16.6587111018772,0.77*Bases_annexes!$F$5/(IF(OR(ISBLANK('Données_d''entrée'!$E$44),'Données_d''entrée'!$E$44=0),35,'Données_d''entrée'!$E$44)*52))</f>
        <v>16.658711101877199</v>
      </c>
      <c r="V390" s="4">
        <v>20.125</v>
      </c>
      <c r="W3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90" s="4">
        <v>234.5</v>
      </c>
      <c r="Y390" s="4">
        <f>(Base[[#This Row],['[Maladies']Coûts_évités_par_salarié]]+Base[[#This Row],['[Travail']Coûts_évités_par_salarié]])/Base[[#This Row],[Budget_santé_salarié]]</f>
        <v>1.0150657490944225E-3</v>
      </c>
      <c r="Z390" s="4">
        <v>0.8</v>
      </c>
      <c r="AA390" s="4">
        <f>Base[[#This Row],[Coût]]*Base[[#This Row],[Part_société_dépenses_santé]]</f>
        <v>1.4560000000000002</v>
      </c>
      <c r="AB390" s="4">
        <v>67635124</v>
      </c>
      <c r="AC390" s="4">
        <v>82.297079063317852</v>
      </c>
      <c r="AD390" s="4">
        <v>8.4823104693140805E-4</v>
      </c>
      <c r="AE390" s="4">
        <f>Base[[#This Row],['[SC']Prévalence_travail]]*Base[[#This Row],[Population_emploi]]</f>
        <v>23496.000000000004</v>
      </c>
      <c r="AF390" s="4">
        <f>Base[[#This Row],[Risque]]*Base[[#This Row],['[SC']Patients_en_emploi]]</f>
        <v>4884.5866694452216</v>
      </c>
      <c r="AG390" s="4">
        <v>0</v>
      </c>
      <c r="AH390" s="4">
        <f>IFERROR(Base[[#This Row],['[SC']Prestations]]/Base[[#This Row],['[SC']Patients_en_emploi]],0)</f>
        <v>0</v>
      </c>
      <c r="AI390" s="4">
        <v>51.7</v>
      </c>
      <c r="AJ3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90" s="4">
        <f>Base[[#This Row],['[SC']'[Travail']Coûts_évités]]/Base[[#This Row],[Population_emploi]]</f>
        <v>0.15612382184572907</v>
      </c>
      <c r="AL390" s="4">
        <f>Base[[#This Row],[Coût_société]]*10^9*Base[[#This Row],[Risque]]*Base[[#This Row],[Prévalence]]*Base[[#This Row],[Part_coûts_salarié]]/Base[[#This Row],[Population_emploi]]</f>
        <v>1.6129091984306367</v>
      </c>
      <c r="AM390" s="4">
        <f>IF(Base[[#This Row],[Pathologie]]&lt;&gt;"Dépendance",0,14909.24243952)</f>
        <v>0</v>
      </c>
      <c r="AN390" s="4">
        <f>IF(Base[[#This Row],[Pathologie]]&lt;&gt;"Dépendance",0,1316000)</f>
        <v>0</v>
      </c>
      <c r="AO390" s="4">
        <f>IF(Base[[#This Row],[Pathologie]]&lt;&gt;"Dépendance",0,Base[[#This Row],['[SC']Coût_personne_dépendante]]*Base[[#This Row],['[SC']Nb_personnes_dépendantes]])</f>
        <v>0</v>
      </c>
      <c r="AP390" s="4">
        <f>IF(Base[[#This Row],[Pathologie]]&lt;&gt;"Dépendance",0,Base[[#This Row],['[SC']Coût_total_dépendance]]/Base[[#This Row],[Population_totale]])</f>
        <v>0</v>
      </c>
      <c r="AQ390" s="4">
        <f>IF(Base[[#This Row],[Pathologie]]&lt;&gt;"Dépendance",0,4.5)</f>
        <v>0</v>
      </c>
      <c r="AR390" s="4">
        <v>0.83987615528424797</v>
      </c>
      <c r="AS390" s="4">
        <f>Base[[#This Row],[Espérance_vie]]+Base[[#This Row],['[SC']Hausse_esp_de_vie]]-Base[[#This Row],['[SC']Durée_moyenne_dépendance_avt]]+Base[[#This Row],[Risque]]</f>
        <v>83.344845356048694</v>
      </c>
      <c r="AT3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0" s="4">
        <v>62.9</v>
      </c>
      <c r="AW390" s="4">
        <f t="shared" si="7"/>
        <v>336905600000</v>
      </c>
      <c r="AX390" s="4">
        <v>15049171</v>
      </c>
      <c r="AY390" s="4">
        <f>Base[[#This Row],['[SC']Budget_total_retraites]]/Base[[#This Row],['[SC']Nombre_de_retraités]]</f>
        <v>22386.987296509556</v>
      </c>
      <c r="AZ390" s="4">
        <f>Base[[#This Row],['[SC']Budget_par_retraité]]*Base[[#This Row],['[SC']Nb_personnes_dépendantes]]</f>
        <v>0</v>
      </c>
      <c r="BA390" s="4">
        <f>Base[[#This Row],['[SC']'[Dépendance']Coût_retraite_personnes_dépendantes]]/Base[[#This Row],[Population_totale]]</f>
        <v>0</v>
      </c>
      <c r="BB3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0" s="4">
        <f>Base[[#This Row],['[SC']'[Dépendance']Gains]]-Base[[#This Row],['[SC']'[Dépendance']Coûts]]</f>
        <v>0</v>
      </c>
      <c r="BD390" s="4">
        <f>IF(Base[[#This Row],[Pathologie]]&lt;&gt;"Mort prématurée",0,Base[[#This Row],[Risque]]*Base[[#This Row],[Prévalence]]*Base[[#This Row],[Population_totale]])</f>
        <v>0</v>
      </c>
      <c r="BE390" s="4">
        <v>52.74</v>
      </c>
      <c r="BF390" s="4">
        <f>Base[[#This Row],['[SC']Âge_moyen_retraite]]-Base[[#This Row],['[SC']'[Mort_prématurée']Âge_moyen_mort précoce]]</f>
        <v>10.159999999999997</v>
      </c>
      <c r="BG390" s="4">
        <f>Base[[#This Row],[Espérance_vie]]+Base[[#This Row],['[SC']Hausse_esp_de_vie]]-Base[[#This Row],['[SC']Âge_moyen_retraite]]</f>
        <v>20.236955218602098</v>
      </c>
      <c r="BH390" s="4">
        <v>106583.42676924677</v>
      </c>
      <c r="BI390" s="4">
        <v>97601.789429271477</v>
      </c>
      <c r="BJ390" s="4">
        <v>302038.31496633729</v>
      </c>
      <c r="BK390" s="4">
        <v>117293.58934859755</v>
      </c>
      <c r="BL390" s="4">
        <v>1523999.9999999995</v>
      </c>
      <c r="BM3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0" s="4">
        <v>294804.96027377353</v>
      </c>
      <c r="BO3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0" s="4">
        <f>(Base[[#This Row],['[SC']'[Mort_prématurée']Gains]]-Base[[#This Row],['[SC']'[Mort_prématurée']Coûts]])/Base[[#This Row],[Population_totale]]</f>
        <v>0</v>
      </c>
      <c r="BQ390" s="4">
        <f>IF(Base[[#This Row],[Pathologie]]&lt;&gt;"Mort prématurée",0,Base[[#This Row],[Risque]])</f>
        <v>0</v>
      </c>
      <c r="BR390" s="4">
        <v>2680</v>
      </c>
      <c r="BS3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90" s="4">
        <f>Base[[#This Row],[Prévalence_prod]]*(1-Base[[#This Row],[Risque]])*Base[[#This Row],[Durée_arrêt]]*Base[[#This Row],[Population_emploi]]</f>
        <v>374554.69327741495</v>
      </c>
      <c r="BV390" s="4">
        <f>Base[[#This Row],['[Prod']'[Absentéisme']Total_jours_absence_avant]]-Base[[#This Row],['[Prod']'[Absentéisme']Total_jours_absence_après]]</f>
        <v>98302.306722584995</v>
      </c>
      <c r="BW390" s="4">
        <f>IF(AND(Base[[#This Row],[Pathologie]]&lt;&gt;"Dépendance",Base[[#This Row],[Pathologie]]&lt;&gt;"Mort prématurée",Base[[#This Row],[Pathologie]]&lt;&gt;"Migraine"),0.0619,0)</f>
        <v>6.1899999999999997E-2</v>
      </c>
      <c r="BX390" s="4">
        <v>254</v>
      </c>
      <c r="BY390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90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90" s="4">
        <f>Base[[#This Row],[Prévalence_prod]]*Base[[#This Row],[Présentéisme]]*Base[[#This Row],['[Prod']Jours_ouvrés]]</f>
        <v>0</v>
      </c>
      <c r="CB390" s="4">
        <f>Base[[#This Row],[Prévalence_prod]]*(1-Base[[#This Row],[Risque]])*Base[[#This Row],[Présentéisme]]*Base[[#This Row],['[Prod']Jours_ouvrés]]</f>
        <v>0</v>
      </c>
      <c r="CC390" s="4">
        <f>Base[[#This Row],['[Prod']'[Présentéisme']Jours_avant]]-Base[[#This Row],['[Prod']'[Présentéisme']Jours_après]]</f>
        <v>0</v>
      </c>
      <c r="CD390" s="4">
        <f>Base[[#This Row],['[Prod']'[Présentéisme']Jours_gagnés]]/Base[[#This Row],['[Prod']Jours_ouvrés]]</f>
        <v>0</v>
      </c>
      <c r="CE390">
        <v>7.5880726467531134E-2</v>
      </c>
      <c r="CF390">
        <v>1.989821358241517E-2</v>
      </c>
      <c r="CG390" s="4">
        <v>11</v>
      </c>
      <c r="CH390" s="4">
        <v>0.60922528771817497</v>
      </c>
      <c r="CI390" s="4">
        <v>3.8601807163334179E-3</v>
      </c>
      <c r="CJ390" s="4">
        <f>IF(Base[[#This Row],[Secteur]]&lt;&gt;"Moyenne",Base[[#This Row],['[Prod']'[Turnover']DMC_initiale]]*(1+Base[[#This Row],['[Prod']'[Turnover']Ecart_accidents]]*Base[[#This Row],['[Prod']Impact_motifs_turnover]]),CJ373*CI373+CJ374*CI374+CJ375*CI375+CJ376*CI376+CJ377*CI377+CJ378*CI378+CJ379*CI379+CJ380*CI380+CJ381*CI381+CJ382*CI382+CJ383*CI383+CJ384*CI384+CJ385*CI385+CJ386*CI386+CJ387*CI387+CJ388*CI388+CJ389*CI389)</f>
        <v>11.133347443843071</v>
      </c>
      <c r="CK390" s="4">
        <f>1/Base[[#This Row],['[Prod']'[Turnover']DMC_initiale]]</f>
        <v>9.0909090909090912E-2</v>
      </c>
      <c r="CL390" s="4">
        <f>1/Base[[#This Row],['[Prod']'[Turnover']DMC_finale]]</f>
        <v>8.9820245442265148E-2</v>
      </c>
    </row>
    <row r="391" spans="2:90" x14ac:dyDescent="0.25">
      <c r="B391" s="4" t="s">
        <v>329</v>
      </c>
      <c r="C391">
        <v>15</v>
      </c>
      <c r="D391" t="s">
        <v>83</v>
      </c>
      <c r="E391" t="s">
        <v>10</v>
      </c>
      <c r="F391" s="3">
        <v>0.20789013744659607</v>
      </c>
      <c r="G391" s="3">
        <v>0.17849999999999999</v>
      </c>
      <c r="H391" s="3">
        <v>8.4823104693140794E-4</v>
      </c>
      <c r="I391" s="3">
        <v>0</v>
      </c>
      <c r="J391" s="3">
        <v>1.82</v>
      </c>
      <c r="K391" s="3">
        <v>7.0000000000000007E-2</v>
      </c>
      <c r="L391" s="2">
        <f>Base[[#This Row],[Coût]]*Base[[#This Row],[Part_ménages_dépenses_santé]]</f>
        <v>0.12740000000000001</v>
      </c>
      <c r="M391" s="2">
        <v>0.82690611956969029</v>
      </c>
      <c r="N391" s="6">
        <v>27700000</v>
      </c>
      <c r="O391" s="7">
        <f>Base[[#This Row],[Coût_salarié]]*10^9*Base[[#This Row],[Risque]]*Base[[#This Row],[Prévalence]]*Base[[#This Row],[Part_coûts_salarié]]/Base[[#This Row],[Population_emploi]]</f>
        <v>0.1411295548626807</v>
      </c>
      <c r="P391">
        <v>50</v>
      </c>
      <c r="Q391">
        <v>50</v>
      </c>
      <c r="R391" s="2">
        <v>9.9999999999999978E-2</v>
      </c>
      <c r="S391" s="2">
        <v>0.33340000000000003</v>
      </c>
      <c r="T391" s="4">
        <v>8.4823104693140805E-4</v>
      </c>
      <c r="U391" s="4">
        <f>IF(Bases_annexes!$F$5=0,16.6587111018772,0.77*Bases_annexes!$F$5/(IF(OR(ISBLANK('Données_d''entrée'!$E$44),'Données_d''entrée'!$E$44=0),35,'Données_d''entrée'!$E$44)*52))</f>
        <v>16.658711101877199</v>
      </c>
      <c r="V391" s="4">
        <v>20.125</v>
      </c>
      <c r="W3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91" s="4">
        <v>234.5</v>
      </c>
      <c r="Y391" s="4">
        <f>(Base[[#This Row],['[Maladies']Coûts_évités_par_salarié]]+Base[[#This Row],['[Travail']Coûts_évités_par_salarié]])/Base[[#This Row],[Budget_santé_salarié]]</f>
        <v>1.0150657490944225E-3</v>
      </c>
      <c r="Z391" s="4">
        <v>0.8</v>
      </c>
      <c r="AA391" s="4">
        <f>Base[[#This Row],[Coût]]*Base[[#This Row],[Part_société_dépenses_santé]]</f>
        <v>1.4560000000000002</v>
      </c>
      <c r="AB391" s="4">
        <v>67635124</v>
      </c>
      <c r="AC391" s="4">
        <v>82.297079063317852</v>
      </c>
      <c r="AD391" s="4">
        <v>8.4823104693140805E-4</v>
      </c>
      <c r="AE391" s="4">
        <f>Base[[#This Row],['[SC']Prévalence_travail]]*Base[[#This Row],[Population_emploi]]</f>
        <v>23496.000000000004</v>
      </c>
      <c r="AF391" s="4">
        <f>Base[[#This Row],[Risque]]*Base[[#This Row],['[SC']Patients_en_emploi]]</f>
        <v>4884.5866694452216</v>
      </c>
      <c r="AG391" s="4">
        <v>0</v>
      </c>
      <c r="AH391" s="4">
        <f>IFERROR(Base[[#This Row],['[SC']Prestations]]/Base[[#This Row],['[SC']Patients_en_emploi]],0)</f>
        <v>0</v>
      </c>
      <c r="AI391" s="4">
        <v>51.7</v>
      </c>
      <c r="AJ3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91" s="4">
        <f>Base[[#This Row],['[SC']'[Travail']Coûts_évités]]/Base[[#This Row],[Population_emploi]]</f>
        <v>0.15612382184572907</v>
      </c>
      <c r="AL391" s="4">
        <f>Base[[#This Row],[Coût_société]]*10^9*Base[[#This Row],[Risque]]*Base[[#This Row],[Prévalence]]*Base[[#This Row],[Part_coûts_salarié]]/Base[[#This Row],[Population_emploi]]</f>
        <v>1.6129091984306367</v>
      </c>
      <c r="AM391" s="4">
        <f>IF(Base[[#This Row],[Pathologie]]&lt;&gt;"Dépendance",0,14909.24243952)</f>
        <v>0</v>
      </c>
      <c r="AN391" s="4">
        <f>IF(Base[[#This Row],[Pathologie]]&lt;&gt;"Dépendance",0,1316000)</f>
        <v>0</v>
      </c>
      <c r="AO391" s="4">
        <f>IF(Base[[#This Row],[Pathologie]]&lt;&gt;"Dépendance",0,Base[[#This Row],['[SC']Coût_personne_dépendante]]*Base[[#This Row],['[SC']Nb_personnes_dépendantes]])</f>
        <v>0</v>
      </c>
      <c r="AP391" s="4">
        <f>IF(Base[[#This Row],[Pathologie]]&lt;&gt;"Dépendance",0,Base[[#This Row],['[SC']Coût_total_dépendance]]/Base[[#This Row],[Population_totale]])</f>
        <v>0</v>
      </c>
      <c r="AQ391" s="4">
        <f>IF(Base[[#This Row],[Pathologie]]&lt;&gt;"Dépendance",0,4.5)</f>
        <v>0</v>
      </c>
      <c r="AR391" s="4">
        <v>0.83987615528424797</v>
      </c>
      <c r="AS391" s="4">
        <f>Base[[#This Row],[Espérance_vie]]+Base[[#This Row],['[SC']Hausse_esp_de_vie]]-Base[[#This Row],['[SC']Durée_moyenne_dépendance_avt]]+Base[[#This Row],[Risque]]</f>
        <v>83.344845356048694</v>
      </c>
      <c r="AT3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1" s="4">
        <v>62.9</v>
      </c>
      <c r="AW391" s="4">
        <f t="shared" si="7"/>
        <v>336905600000</v>
      </c>
      <c r="AX391" s="4">
        <v>15049171</v>
      </c>
      <c r="AY391" s="4">
        <f>Base[[#This Row],['[SC']Budget_total_retraites]]/Base[[#This Row],['[SC']Nombre_de_retraités]]</f>
        <v>22386.987296509556</v>
      </c>
      <c r="AZ391" s="4">
        <f>Base[[#This Row],['[SC']Budget_par_retraité]]*Base[[#This Row],['[SC']Nb_personnes_dépendantes]]</f>
        <v>0</v>
      </c>
      <c r="BA391" s="4">
        <f>Base[[#This Row],['[SC']'[Dépendance']Coût_retraite_personnes_dépendantes]]/Base[[#This Row],[Population_totale]]</f>
        <v>0</v>
      </c>
      <c r="BB3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1" s="4">
        <f>Base[[#This Row],['[SC']'[Dépendance']Gains]]-Base[[#This Row],['[SC']'[Dépendance']Coûts]]</f>
        <v>0</v>
      </c>
      <c r="BD391" s="4">
        <f>IF(Base[[#This Row],[Pathologie]]&lt;&gt;"Mort prématurée",0,Base[[#This Row],[Risque]]*Base[[#This Row],[Prévalence]]*Base[[#This Row],[Population_totale]])</f>
        <v>0</v>
      </c>
      <c r="BE391" s="4">
        <v>52.74</v>
      </c>
      <c r="BF391" s="4">
        <f>Base[[#This Row],['[SC']Âge_moyen_retraite]]-Base[[#This Row],['[SC']'[Mort_prématurée']Âge_moyen_mort précoce]]</f>
        <v>10.159999999999997</v>
      </c>
      <c r="BG391" s="4">
        <f>Base[[#This Row],[Espérance_vie]]+Base[[#This Row],['[SC']Hausse_esp_de_vie]]-Base[[#This Row],['[SC']Âge_moyen_retraite]]</f>
        <v>20.236955218602098</v>
      </c>
      <c r="BH391" s="4">
        <v>106583.42676924677</v>
      </c>
      <c r="BI391" s="4">
        <v>97601.789429271477</v>
      </c>
      <c r="BJ391" s="4">
        <v>302038.31496633729</v>
      </c>
      <c r="BK391" s="4">
        <v>117293.58934859755</v>
      </c>
      <c r="BL391" s="4">
        <v>1523999.9999999995</v>
      </c>
      <c r="BM3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1" s="4">
        <v>294804.96027377353</v>
      </c>
      <c r="BO3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1" s="4">
        <f>(Base[[#This Row],['[SC']'[Mort_prématurée']Gains]]-Base[[#This Row],['[SC']'[Mort_prématurée']Coûts]])/Base[[#This Row],[Population_totale]]</f>
        <v>0</v>
      </c>
      <c r="BQ391" s="4">
        <f>IF(Base[[#This Row],[Pathologie]]&lt;&gt;"Mort prématurée",0,Base[[#This Row],[Risque]])</f>
        <v>0</v>
      </c>
      <c r="BR391" s="4">
        <v>2680</v>
      </c>
      <c r="BS3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91" s="4">
        <f>Base[[#This Row],[Prévalence_prod]]*(1-Base[[#This Row],[Risque]])*Base[[#This Row],[Durée_arrêt]]*Base[[#This Row],[Population_emploi]]</f>
        <v>374554.69327741495</v>
      </c>
      <c r="BV391" s="4">
        <f>Base[[#This Row],['[Prod']'[Absentéisme']Total_jours_absence_avant]]-Base[[#This Row],['[Prod']'[Absentéisme']Total_jours_absence_après]]</f>
        <v>98302.306722584995</v>
      </c>
      <c r="BW391" s="4">
        <f>IF(AND(Base[[#This Row],[Pathologie]]&lt;&gt;"Dépendance",Base[[#This Row],[Pathologie]]&lt;&gt;"Mort prématurée",Base[[#This Row],[Pathologie]]&lt;&gt;"Migraine"),0.0619,0)</f>
        <v>6.1899999999999997E-2</v>
      </c>
      <c r="BX391" s="4">
        <v>254</v>
      </c>
      <c r="BY391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91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91" s="4">
        <f>Base[[#This Row],[Prévalence_prod]]*Base[[#This Row],[Présentéisme]]*Base[[#This Row],['[Prod']Jours_ouvrés]]</f>
        <v>0</v>
      </c>
      <c r="CB391" s="4">
        <f>Base[[#This Row],[Prévalence_prod]]*(1-Base[[#This Row],[Risque]])*Base[[#This Row],[Présentéisme]]*Base[[#This Row],['[Prod']Jours_ouvrés]]</f>
        <v>0</v>
      </c>
      <c r="CC391" s="4">
        <f>Base[[#This Row],['[Prod']'[Présentéisme']Jours_avant]]-Base[[#This Row],['[Prod']'[Présentéisme']Jours_après]]</f>
        <v>0</v>
      </c>
      <c r="CD391" s="4">
        <f>Base[[#This Row],['[Prod']'[Présentéisme']Jours_gagnés]]/Base[[#This Row],['[Prod']Jours_ouvrés]]</f>
        <v>0</v>
      </c>
      <c r="CE391">
        <v>7.5880726467531134E-2</v>
      </c>
      <c r="CF391">
        <v>1.989821358241517E-2</v>
      </c>
      <c r="CG391" s="4">
        <v>11</v>
      </c>
      <c r="CH391" s="4">
        <v>0.78414927716175975</v>
      </c>
      <c r="CI391" s="4">
        <v>0.12835819090128339</v>
      </c>
      <c r="CJ391" s="4">
        <f>IF(Base[[#This Row],[Secteur]]&lt;&gt;"Moyenne",Base[[#This Row],['[Prod']'[Turnover']DMC_initiale]]*(1+Base[[#This Row],['[Prod']'[Turnover']Ecart_accidents]]*Base[[#This Row],['[Prod']Impact_motifs_turnover]]),CJ374*CI374+CJ375*CI375+CJ376*CI376+CJ377*CI377+CJ378*CI378+CJ379*CI379+CJ380*CI380+CJ381*CI381+CJ382*CI382+CJ383*CI383+CJ384*CI384+CJ385*CI385+CJ386*CI386+CJ387*CI387+CJ388*CI388+CJ389*CI389+CJ390*CI390)</f>
        <v>11.171634867772074</v>
      </c>
      <c r="CK391" s="4">
        <f>1/Base[[#This Row],['[Prod']'[Turnover']DMC_initiale]]</f>
        <v>9.0909090909090912E-2</v>
      </c>
      <c r="CL391" s="4">
        <f>1/Base[[#This Row],['[Prod']'[Turnover']DMC_finale]]</f>
        <v>8.9512413521927708E-2</v>
      </c>
    </row>
    <row r="392" spans="2:90" x14ac:dyDescent="0.25">
      <c r="B392" s="4" t="s">
        <v>330</v>
      </c>
      <c r="C392">
        <v>15</v>
      </c>
      <c r="D392" t="s">
        <v>83</v>
      </c>
      <c r="E392" t="s">
        <v>10</v>
      </c>
      <c r="F392" s="3">
        <v>0.20789013744659607</v>
      </c>
      <c r="G392" s="3">
        <v>0.17849999999999999</v>
      </c>
      <c r="H392" s="3">
        <v>8.4823104693140794E-4</v>
      </c>
      <c r="I392" s="3">
        <v>0</v>
      </c>
      <c r="J392" s="3">
        <v>1.82</v>
      </c>
      <c r="K392" s="3">
        <v>7.0000000000000007E-2</v>
      </c>
      <c r="L392" s="2">
        <f>Base[[#This Row],[Coût]]*Base[[#This Row],[Part_ménages_dépenses_santé]]</f>
        <v>0.12740000000000001</v>
      </c>
      <c r="M392" s="2">
        <v>0.82690611956969029</v>
      </c>
      <c r="N392" s="6">
        <v>27700000</v>
      </c>
      <c r="O392" s="7">
        <f>Base[[#This Row],[Coût_salarié]]*10^9*Base[[#This Row],[Risque]]*Base[[#This Row],[Prévalence]]*Base[[#This Row],[Part_coûts_salarié]]/Base[[#This Row],[Population_emploi]]</f>
        <v>0.1411295548626807</v>
      </c>
      <c r="P392">
        <v>50</v>
      </c>
      <c r="Q392">
        <v>50</v>
      </c>
      <c r="R392" s="2">
        <v>9.9999999999999978E-2</v>
      </c>
      <c r="S392" s="2">
        <v>0.33340000000000003</v>
      </c>
      <c r="T392" s="4">
        <v>8.4823104693140805E-4</v>
      </c>
      <c r="U392" s="4">
        <f>IF(Bases_annexes!$F$5=0,16.6587111018772,0.77*Bases_annexes!$F$5/(IF(OR(ISBLANK('Données_d''entrée'!$E$44),'Données_d''entrée'!$E$44=0),35,'Données_d''entrée'!$E$44)*52))</f>
        <v>16.658711101877199</v>
      </c>
      <c r="V392" s="4">
        <v>20.125</v>
      </c>
      <c r="W3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92" s="4">
        <v>234.5</v>
      </c>
      <c r="Y392" s="4">
        <f>(Base[[#This Row],['[Maladies']Coûts_évités_par_salarié]]+Base[[#This Row],['[Travail']Coûts_évités_par_salarié]])/Base[[#This Row],[Budget_santé_salarié]]</f>
        <v>1.0150657490944225E-3</v>
      </c>
      <c r="Z392" s="4">
        <v>0.8</v>
      </c>
      <c r="AA392" s="4">
        <f>Base[[#This Row],[Coût]]*Base[[#This Row],[Part_société_dépenses_santé]]</f>
        <v>1.4560000000000002</v>
      </c>
      <c r="AB392" s="4">
        <v>67635124</v>
      </c>
      <c r="AC392" s="4">
        <v>82.297079063317852</v>
      </c>
      <c r="AD392" s="4">
        <v>8.4823104693140805E-4</v>
      </c>
      <c r="AE392" s="4">
        <f>Base[[#This Row],['[SC']Prévalence_travail]]*Base[[#This Row],[Population_emploi]]</f>
        <v>23496.000000000004</v>
      </c>
      <c r="AF392" s="4">
        <f>Base[[#This Row],[Risque]]*Base[[#This Row],['[SC']Patients_en_emploi]]</f>
        <v>4884.5866694452216</v>
      </c>
      <c r="AG392" s="4">
        <v>0</v>
      </c>
      <c r="AH392" s="4">
        <f>IFERROR(Base[[#This Row],['[SC']Prestations]]/Base[[#This Row],['[SC']Patients_en_emploi]],0)</f>
        <v>0</v>
      </c>
      <c r="AI392" s="4">
        <v>51.7</v>
      </c>
      <c r="AJ3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92" s="4">
        <f>Base[[#This Row],['[SC']'[Travail']Coûts_évités]]/Base[[#This Row],[Population_emploi]]</f>
        <v>0.15612382184572907</v>
      </c>
      <c r="AL392" s="4">
        <f>Base[[#This Row],[Coût_société]]*10^9*Base[[#This Row],[Risque]]*Base[[#This Row],[Prévalence]]*Base[[#This Row],[Part_coûts_salarié]]/Base[[#This Row],[Population_emploi]]</f>
        <v>1.6129091984306367</v>
      </c>
      <c r="AM392" s="4">
        <f>IF(Base[[#This Row],[Pathologie]]&lt;&gt;"Dépendance",0,14909.24243952)</f>
        <v>0</v>
      </c>
      <c r="AN392" s="4">
        <f>IF(Base[[#This Row],[Pathologie]]&lt;&gt;"Dépendance",0,1316000)</f>
        <v>0</v>
      </c>
      <c r="AO392" s="4">
        <f>IF(Base[[#This Row],[Pathologie]]&lt;&gt;"Dépendance",0,Base[[#This Row],['[SC']Coût_personne_dépendante]]*Base[[#This Row],['[SC']Nb_personnes_dépendantes]])</f>
        <v>0</v>
      </c>
      <c r="AP392" s="4">
        <f>IF(Base[[#This Row],[Pathologie]]&lt;&gt;"Dépendance",0,Base[[#This Row],['[SC']Coût_total_dépendance]]/Base[[#This Row],[Population_totale]])</f>
        <v>0</v>
      </c>
      <c r="AQ392" s="4">
        <f>IF(Base[[#This Row],[Pathologie]]&lt;&gt;"Dépendance",0,4.5)</f>
        <v>0</v>
      </c>
      <c r="AR392" s="4">
        <v>0.83987615528424797</v>
      </c>
      <c r="AS392" s="4">
        <f>Base[[#This Row],[Espérance_vie]]+Base[[#This Row],['[SC']Hausse_esp_de_vie]]-Base[[#This Row],['[SC']Durée_moyenne_dépendance_avt]]+Base[[#This Row],[Risque]]</f>
        <v>83.344845356048694</v>
      </c>
      <c r="AT3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2" s="4">
        <v>62.9</v>
      </c>
      <c r="AW392" s="4">
        <f t="shared" si="7"/>
        <v>336905600000</v>
      </c>
      <c r="AX392" s="4">
        <v>15049171</v>
      </c>
      <c r="AY392" s="4">
        <f>Base[[#This Row],['[SC']Budget_total_retraites]]/Base[[#This Row],['[SC']Nombre_de_retraités]]</f>
        <v>22386.987296509556</v>
      </c>
      <c r="AZ392" s="4">
        <f>Base[[#This Row],['[SC']Budget_par_retraité]]*Base[[#This Row],['[SC']Nb_personnes_dépendantes]]</f>
        <v>0</v>
      </c>
      <c r="BA392" s="4">
        <f>Base[[#This Row],['[SC']'[Dépendance']Coût_retraite_personnes_dépendantes]]/Base[[#This Row],[Population_totale]]</f>
        <v>0</v>
      </c>
      <c r="BB3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2" s="4">
        <f>Base[[#This Row],['[SC']'[Dépendance']Gains]]-Base[[#This Row],['[SC']'[Dépendance']Coûts]]</f>
        <v>0</v>
      </c>
      <c r="BD392" s="4">
        <f>IF(Base[[#This Row],[Pathologie]]&lt;&gt;"Mort prématurée",0,Base[[#This Row],[Risque]]*Base[[#This Row],[Prévalence]]*Base[[#This Row],[Population_totale]])</f>
        <v>0</v>
      </c>
      <c r="BE392" s="4">
        <v>52.74</v>
      </c>
      <c r="BF392" s="4">
        <f>Base[[#This Row],['[SC']Âge_moyen_retraite]]-Base[[#This Row],['[SC']'[Mort_prématurée']Âge_moyen_mort précoce]]</f>
        <v>10.159999999999997</v>
      </c>
      <c r="BG392" s="4">
        <f>Base[[#This Row],[Espérance_vie]]+Base[[#This Row],['[SC']Hausse_esp_de_vie]]-Base[[#This Row],['[SC']Âge_moyen_retraite]]</f>
        <v>20.236955218602098</v>
      </c>
      <c r="BH392" s="4">
        <v>106583.42676924677</v>
      </c>
      <c r="BI392" s="4">
        <v>97601.789429271477</v>
      </c>
      <c r="BJ392" s="4">
        <v>302038.31496633729</v>
      </c>
      <c r="BK392" s="4">
        <v>117293.58934859755</v>
      </c>
      <c r="BL392" s="4">
        <v>1523999.9999999995</v>
      </c>
      <c r="BM3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2" s="4">
        <v>294804.96027377353</v>
      </c>
      <c r="BO3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2" s="4">
        <f>(Base[[#This Row],['[SC']'[Mort_prématurée']Gains]]-Base[[#This Row],['[SC']'[Mort_prématurée']Coûts]])/Base[[#This Row],[Population_totale]]</f>
        <v>0</v>
      </c>
      <c r="BQ392" s="4">
        <f>IF(Base[[#This Row],[Pathologie]]&lt;&gt;"Mort prématurée",0,Base[[#This Row],[Risque]])</f>
        <v>0</v>
      </c>
      <c r="BR392" s="4">
        <v>2680</v>
      </c>
      <c r="BS3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92" s="4">
        <f>Base[[#This Row],[Prévalence_prod]]*(1-Base[[#This Row],[Risque]])*Base[[#This Row],[Durée_arrêt]]*Base[[#This Row],[Population_emploi]]</f>
        <v>374554.69327741495</v>
      </c>
      <c r="BV392" s="4">
        <f>Base[[#This Row],['[Prod']'[Absentéisme']Total_jours_absence_avant]]-Base[[#This Row],['[Prod']'[Absentéisme']Total_jours_absence_après]]</f>
        <v>98302.306722584995</v>
      </c>
      <c r="BW392" s="4">
        <f>IF(AND(Base[[#This Row],[Pathologie]]&lt;&gt;"Dépendance",Base[[#This Row],[Pathologie]]&lt;&gt;"Mort prématurée",Base[[#This Row],[Pathologie]]&lt;&gt;"Migraine"),0.0619,0)</f>
        <v>6.1899999999999997E-2</v>
      </c>
      <c r="BX392" s="4">
        <v>254</v>
      </c>
      <c r="BY392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92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92" s="4">
        <f>Base[[#This Row],[Prévalence_prod]]*Base[[#This Row],[Présentéisme]]*Base[[#This Row],['[Prod']Jours_ouvrés]]</f>
        <v>0</v>
      </c>
      <c r="CB392" s="4">
        <f>Base[[#This Row],[Prévalence_prod]]*(1-Base[[#This Row],[Risque]])*Base[[#This Row],[Présentéisme]]*Base[[#This Row],['[Prod']Jours_ouvrés]]</f>
        <v>0</v>
      </c>
      <c r="CC392" s="4">
        <f>Base[[#This Row],['[Prod']'[Présentéisme']Jours_avant]]-Base[[#This Row],['[Prod']'[Présentéisme']Jours_après]]</f>
        <v>0</v>
      </c>
      <c r="CD392" s="4">
        <f>Base[[#This Row],['[Prod']'[Présentéisme']Jours_gagnés]]/Base[[#This Row],['[Prod']Jours_ouvrés]]</f>
        <v>0</v>
      </c>
      <c r="CE392">
        <v>7.5880726467531134E-2</v>
      </c>
      <c r="CF392">
        <v>1.989821358241517E-2</v>
      </c>
      <c r="CG392" s="4">
        <v>11</v>
      </c>
      <c r="CH392" s="4">
        <v>0.99648427619813984</v>
      </c>
      <c r="CI392" s="4">
        <v>0.42377466100567313</v>
      </c>
      <c r="CJ392" s="4">
        <f>IF(Base[[#This Row],[Secteur]]&lt;&gt;"Moyenne",Base[[#This Row],['[Prod']'[Turnover']DMC_initiale]]*(1+Base[[#This Row],['[Prod']'[Turnover']Ecart_accidents]]*Base[[#This Row],['[Prod']Impact_motifs_turnover]]),CJ375*CI375+CJ376*CI376+CJ377*CI377+CJ378*CI378+CJ379*CI379+CJ380*CI380+CJ381*CI381+CJ382*CI382+CJ383*CI383+CJ384*CI384+CJ385*CI385+CJ386*CI386+CJ387*CI387+CJ388*CI388+CJ389*CI389+CJ390*CI390+CJ391*CI391)</f>
        <v>11.218110826552397</v>
      </c>
      <c r="CK392" s="4">
        <f>1/Base[[#This Row],['[Prod']'[Turnover']DMC_initiale]]</f>
        <v>9.0909090909090912E-2</v>
      </c>
      <c r="CL392" s="4">
        <f>1/Base[[#This Row],['[Prod']'[Turnover']DMC_finale]]</f>
        <v>8.9141568973723953E-2</v>
      </c>
    </row>
    <row r="393" spans="2:90" x14ac:dyDescent="0.25">
      <c r="B393" s="4" t="s">
        <v>331</v>
      </c>
      <c r="C393">
        <v>15</v>
      </c>
      <c r="D393" t="s">
        <v>83</v>
      </c>
      <c r="E393" t="s">
        <v>10</v>
      </c>
      <c r="F393" s="3">
        <v>0.20789013744659607</v>
      </c>
      <c r="G393" s="3">
        <v>0.17849999999999999</v>
      </c>
      <c r="H393" s="3">
        <v>8.4823104693140794E-4</v>
      </c>
      <c r="I393" s="3">
        <v>0</v>
      </c>
      <c r="J393" s="3">
        <v>1.82</v>
      </c>
      <c r="K393" s="3">
        <v>7.0000000000000007E-2</v>
      </c>
      <c r="L393" s="2">
        <f>Base[[#This Row],[Coût]]*Base[[#This Row],[Part_ménages_dépenses_santé]]</f>
        <v>0.12740000000000001</v>
      </c>
      <c r="M393" s="2">
        <v>0.82690611956969029</v>
      </c>
      <c r="N393" s="6">
        <v>27700000</v>
      </c>
      <c r="O393" s="7">
        <f>Base[[#This Row],[Coût_salarié]]*10^9*Base[[#This Row],[Risque]]*Base[[#This Row],[Prévalence]]*Base[[#This Row],[Part_coûts_salarié]]/Base[[#This Row],[Population_emploi]]</f>
        <v>0.1411295548626807</v>
      </c>
      <c r="P393">
        <v>50</v>
      </c>
      <c r="Q393">
        <v>50</v>
      </c>
      <c r="R393" s="2">
        <v>9.9999999999999978E-2</v>
      </c>
      <c r="S393" s="2">
        <v>0.33340000000000003</v>
      </c>
      <c r="T393" s="4">
        <v>8.4823104693140805E-4</v>
      </c>
      <c r="U393" s="4">
        <f>IF(Bases_annexes!$F$5=0,16.6587111018772,0.77*Bases_annexes!$F$5/(IF(OR(ISBLANK('Données_d''entrée'!$E$44),'Données_d''entrée'!$E$44=0),35,'Données_d''entrée'!$E$44)*52))</f>
        <v>16.658711101877199</v>
      </c>
      <c r="V393" s="4">
        <v>20.125</v>
      </c>
      <c r="W3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93" s="4">
        <v>234.5</v>
      </c>
      <c r="Y393" s="4">
        <f>(Base[[#This Row],['[Maladies']Coûts_évités_par_salarié]]+Base[[#This Row],['[Travail']Coûts_évités_par_salarié]])/Base[[#This Row],[Budget_santé_salarié]]</f>
        <v>1.0150657490944225E-3</v>
      </c>
      <c r="Z393" s="4">
        <v>0.8</v>
      </c>
      <c r="AA393" s="4">
        <f>Base[[#This Row],[Coût]]*Base[[#This Row],[Part_société_dépenses_santé]]</f>
        <v>1.4560000000000002</v>
      </c>
      <c r="AB393" s="4">
        <v>67635124</v>
      </c>
      <c r="AC393" s="4">
        <v>82.297079063317852</v>
      </c>
      <c r="AD393" s="4">
        <v>8.4823104693140805E-4</v>
      </c>
      <c r="AE393" s="4">
        <f>Base[[#This Row],['[SC']Prévalence_travail]]*Base[[#This Row],[Population_emploi]]</f>
        <v>23496.000000000004</v>
      </c>
      <c r="AF393" s="4">
        <f>Base[[#This Row],[Risque]]*Base[[#This Row],['[SC']Patients_en_emploi]]</f>
        <v>4884.5866694452216</v>
      </c>
      <c r="AG393" s="4">
        <v>0</v>
      </c>
      <c r="AH393" s="4">
        <f>IFERROR(Base[[#This Row],['[SC']Prestations]]/Base[[#This Row],['[SC']Patients_en_emploi]],0)</f>
        <v>0</v>
      </c>
      <c r="AI393" s="4">
        <v>51.7</v>
      </c>
      <c r="AJ3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93" s="4">
        <f>Base[[#This Row],['[SC']'[Travail']Coûts_évités]]/Base[[#This Row],[Population_emploi]]</f>
        <v>0.15612382184572907</v>
      </c>
      <c r="AL393" s="4">
        <f>Base[[#This Row],[Coût_société]]*10^9*Base[[#This Row],[Risque]]*Base[[#This Row],[Prévalence]]*Base[[#This Row],[Part_coûts_salarié]]/Base[[#This Row],[Population_emploi]]</f>
        <v>1.6129091984306367</v>
      </c>
      <c r="AM393" s="4">
        <f>IF(Base[[#This Row],[Pathologie]]&lt;&gt;"Dépendance",0,14909.24243952)</f>
        <v>0</v>
      </c>
      <c r="AN393" s="4">
        <f>IF(Base[[#This Row],[Pathologie]]&lt;&gt;"Dépendance",0,1316000)</f>
        <v>0</v>
      </c>
      <c r="AO393" s="4">
        <f>IF(Base[[#This Row],[Pathologie]]&lt;&gt;"Dépendance",0,Base[[#This Row],['[SC']Coût_personne_dépendante]]*Base[[#This Row],['[SC']Nb_personnes_dépendantes]])</f>
        <v>0</v>
      </c>
      <c r="AP393" s="4">
        <f>IF(Base[[#This Row],[Pathologie]]&lt;&gt;"Dépendance",0,Base[[#This Row],['[SC']Coût_total_dépendance]]/Base[[#This Row],[Population_totale]])</f>
        <v>0</v>
      </c>
      <c r="AQ393" s="4">
        <f>IF(Base[[#This Row],[Pathologie]]&lt;&gt;"Dépendance",0,4.5)</f>
        <v>0</v>
      </c>
      <c r="AR393" s="4">
        <v>0.83987615528424797</v>
      </c>
      <c r="AS393" s="4">
        <f>Base[[#This Row],[Espérance_vie]]+Base[[#This Row],['[SC']Hausse_esp_de_vie]]-Base[[#This Row],['[SC']Durée_moyenne_dépendance_avt]]+Base[[#This Row],[Risque]]</f>
        <v>83.344845356048694</v>
      </c>
      <c r="AT3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3" s="4">
        <v>62.9</v>
      </c>
      <c r="AW393" s="4">
        <f t="shared" si="7"/>
        <v>336905600000</v>
      </c>
      <c r="AX393" s="4">
        <v>15049171</v>
      </c>
      <c r="AY393" s="4">
        <f>Base[[#This Row],['[SC']Budget_total_retraites]]/Base[[#This Row],['[SC']Nombre_de_retraités]]</f>
        <v>22386.987296509556</v>
      </c>
      <c r="AZ393" s="4">
        <f>Base[[#This Row],['[SC']Budget_par_retraité]]*Base[[#This Row],['[SC']Nb_personnes_dépendantes]]</f>
        <v>0</v>
      </c>
      <c r="BA393" s="4">
        <f>Base[[#This Row],['[SC']'[Dépendance']Coût_retraite_personnes_dépendantes]]/Base[[#This Row],[Population_totale]]</f>
        <v>0</v>
      </c>
      <c r="BB3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3" s="4">
        <f>Base[[#This Row],['[SC']'[Dépendance']Gains]]-Base[[#This Row],['[SC']'[Dépendance']Coûts]]</f>
        <v>0</v>
      </c>
      <c r="BD393" s="4">
        <f>IF(Base[[#This Row],[Pathologie]]&lt;&gt;"Mort prématurée",0,Base[[#This Row],[Risque]]*Base[[#This Row],[Prévalence]]*Base[[#This Row],[Population_totale]])</f>
        <v>0</v>
      </c>
      <c r="BE393" s="4">
        <v>52.74</v>
      </c>
      <c r="BF393" s="4">
        <f>Base[[#This Row],['[SC']Âge_moyen_retraite]]-Base[[#This Row],['[SC']'[Mort_prématurée']Âge_moyen_mort précoce]]</f>
        <v>10.159999999999997</v>
      </c>
      <c r="BG393" s="4">
        <f>Base[[#This Row],[Espérance_vie]]+Base[[#This Row],['[SC']Hausse_esp_de_vie]]-Base[[#This Row],['[SC']Âge_moyen_retraite]]</f>
        <v>20.236955218602098</v>
      </c>
      <c r="BH393" s="4">
        <v>106583.42676924677</v>
      </c>
      <c r="BI393" s="4">
        <v>97601.789429271477</v>
      </c>
      <c r="BJ393" s="4">
        <v>302038.31496633729</v>
      </c>
      <c r="BK393" s="4">
        <v>117293.58934859755</v>
      </c>
      <c r="BL393" s="4">
        <v>1523999.9999999995</v>
      </c>
      <c r="BM3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3" s="4">
        <v>294804.96027377353</v>
      </c>
      <c r="BO3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3" s="4">
        <f>(Base[[#This Row],['[SC']'[Mort_prématurée']Gains]]-Base[[#This Row],['[SC']'[Mort_prématurée']Coûts]])/Base[[#This Row],[Population_totale]]</f>
        <v>0</v>
      </c>
      <c r="BQ393" s="4">
        <f>IF(Base[[#This Row],[Pathologie]]&lt;&gt;"Mort prématurée",0,Base[[#This Row],[Risque]])</f>
        <v>0</v>
      </c>
      <c r="BR393" s="4">
        <v>2680</v>
      </c>
      <c r="BS3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93" s="4">
        <f>Base[[#This Row],[Prévalence_prod]]*(1-Base[[#This Row],[Risque]])*Base[[#This Row],[Durée_arrêt]]*Base[[#This Row],[Population_emploi]]</f>
        <v>374554.69327741495</v>
      </c>
      <c r="BV393" s="4">
        <f>Base[[#This Row],['[Prod']'[Absentéisme']Total_jours_absence_avant]]-Base[[#This Row],['[Prod']'[Absentéisme']Total_jours_absence_après]]</f>
        <v>98302.306722584995</v>
      </c>
      <c r="BW393" s="4">
        <f>IF(AND(Base[[#This Row],[Pathologie]]&lt;&gt;"Dépendance",Base[[#This Row],[Pathologie]]&lt;&gt;"Mort prématurée",Base[[#This Row],[Pathologie]]&lt;&gt;"Migraine"),0.0619,0)</f>
        <v>6.1899999999999997E-2</v>
      </c>
      <c r="BX393" s="4">
        <v>254</v>
      </c>
      <c r="BY39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93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93" s="4">
        <f>Base[[#This Row],[Prévalence_prod]]*Base[[#This Row],[Présentéisme]]*Base[[#This Row],['[Prod']Jours_ouvrés]]</f>
        <v>0</v>
      </c>
      <c r="CB393" s="4">
        <f>Base[[#This Row],[Prévalence_prod]]*(1-Base[[#This Row],[Risque]])*Base[[#This Row],[Présentéisme]]*Base[[#This Row],['[Prod']Jours_ouvrés]]</f>
        <v>0</v>
      </c>
      <c r="CC393" s="4">
        <f>Base[[#This Row],['[Prod']'[Présentéisme']Jours_avant]]-Base[[#This Row],['[Prod']'[Présentéisme']Jours_après]]</f>
        <v>0</v>
      </c>
      <c r="CD393" s="4">
        <f>Base[[#This Row],['[Prod']'[Présentéisme']Jours_gagnés]]/Base[[#This Row],['[Prod']Jours_ouvrés]]</f>
        <v>0</v>
      </c>
      <c r="CE393">
        <v>7.5880726467531134E-2</v>
      </c>
      <c r="CF393">
        <v>1.989821358241517E-2</v>
      </c>
      <c r="CG393" s="4">
        <v>11</v>
      </c>
      <c r="CH393" s="4">
        <v>1.1593596509901765</v>
      </c>
      <c r="CI393" s="4">
        <v>4.0741311947357597E-2</v>
      </c>
      <c r="CJ393" s="4">
        <f>IF(Base[[#This Row],[Secteur]]&lt;&gt;"Moyenne",Base[[#This Row],['[Prod']'[Turnover']DMC_initiale]]*(1+Base[[#This Row],['[Prod']'[Turnover']Ecart_accidents]]*Base[[#This Row],['[Prod']Impact_motifs_turnover]]),CJ376*CI376+CJ377*CI377+CJ378*CI378+CJ379*CI379+CJ380*CI380+CJ381*CI381+CJ382*CI382+CJ383*CI383+CJ384*CI384+CJ385*CI385+CJ386*CI386+CJ387*CI387+CJ388*CI388+CJ389*CI389+CJ390*CI390+CJ391*CI391+CJ392*CI392)</f>
        <v>11.253761045496606</v>
      </c>
      <c r="CK393" s="4">
        <f>1/Base[[#This Row],['[Prod']'[Turnover']DMC_initiale]]</f>
        <v>9.0909090909090912E-2</v>
      </c>
      <c r="CL393" s="4">
        <f>1/Base[[#This Row],['[Prod']'[Turnover']DMC_finale]]</f>
        <v>8.8859181917690336E-2</v>
      </c>
    </row>
    <row r="394" spans="2:90" x14ac:dyDescent="0.25">
      <c r="B394" s="4" t="s">
        <v>332</v>
      </c>
      <c r="C394">
        <v>15</v>
      </c>
      <c r="D394" t="s">
        <v>83</v>
      </c>
      <c r="E394" t="s">
        <v>10</v>
      </c>
      <c r="F394" s="3">
        <v>0.20789013744659607</v>
      </c>
      <c r="G394" s="3">
        <v>0.17849999999999999</v>
      </c>
      <c r="H394" s="3">
        <v>8.4823104693140794E-4</v>
      </c>
      <c r="I394" s="3">
        <v>0</v>
      </c>
      <c r="J394" s="3">
        <v>1.82</v>
      </c>
      <c r="K394" s="3">
        <v>7.0000000000000007E-2</v>
      </c>
      <c r="L394" s="2">
        <f>Base[[#This Row],[Coût]]*Base[[#This Row],[Part_ménages_dépenses_santé]]</f>
        <v>0.12740000000000001</v>
      </c>
      <c r="M394" s="2">
        <v>0.82690611956969029</v>
      </c>
      <c r="N394" s="6">
        <v>27700000</v>
      </c>
      <c r="O394" s="7">
        <f>Base[[#This Row],[Coût_salarié]]*10^9*Base[[#This Row],[Risque]]*Base[[#This Row],[Prévalence]]*Base[[#This Row],[Part_coûts_salarié]]/Base[[#This Row],[Population_emploi]]</f>
        <v>0.1411295548626807</v>
      </c>
      <c r="P394">
        <v>50</v>
      </c>
      <c r="Q394">
        <v>50</v>
      </c>
      <c r="R394" s="2">
        <v>9.9999999999999978E-2</v>
      </c>
      <c r="S394" s="2">
        <v>0.33340000000000003</v>
      </c>
      <c r="T394" s="4">
        <v>8.4823104693140805E-4</v>
      </c>
      <c r="U394" s="4">
        <f>IF(Bases_annexes!$F$5=0,16.6587111018772,0.77*Bases_annexes!$F$5/(IF(OR(ISBLANK('Données_d''entrée'!$E$44),'Données_d''entrée'!$E$44=0),35,'Données_d''entrée'!$E$44)*52))</f>
        <v>16.658711101877199</v>
      </c>
      <c r="V394" s="4">
        <v>20.125</v>
      </c>
      <c r="W3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9.6903363299961368E-2</v>
      </c>
      <c r="X394" s="4">
        <v>234.5</v>
      </c>
      <c r="Y394" s="4">
        <f>(Base[[#This Row],['[Maladies']Coûts_évités_par_salarié]]+Base[[#This Row],['[Travail']Coûts_évités_par_salarié]])/Base[[#This Row],[Budget_santé_salarié]]</f>
        <v>1.0150657490944225E-3</v>
      </c>
      <c r="Z394" s="4">
        <v>0.8</v>
      </c>
      <c r="AA394" s="4">
        <f>Base[[#This Row],[Coût]]*Base[[#This Row],[Part_société_dépenses_santé]]</f>
        <v>1.4560000000000002</v>
      </c>
      <c r="AB394" s="4">
        <v>67635124</v>
      </c>
      <c r="AC394" s="4">
        <v>82.297079063317852</v>
      </c>
      <c r="AD394" s="4">
        <v>8.4823104693140805E-4</v>
      </c>
      <c r="AE394" s="4">
        <f>Base[[#This Row],['[SC']Prévalence_travail]]*Base[[#This Row],[Population_emploi]]</f>
        <v>23496.000000000004</v>
      </c>
      <c r="AF394" s="4">
        <f>Base[[#This Row],[Risque]]*Base[[#This Row],['[SC']Patients_en_emploi]]</f>
        <v>4884.5866694452216</v>
      </c>
      <c r="AG394" s="4">
        <v>0</v>
      </c>
      <c r="AH394" s="4">
        <f>IFERROR(Base[[#This Row],['[SC']Prestations]]/Base[[#This Row],['[SC']Patients_en_emploi]],0)</f>
        <v>0</v>
      </c>
      <c r="AI394" s="4">
        <v>51.7</v>
      </c>
      <c r="AJ3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4324629.8651266955</v>
      </c>
      <c r="AK394" s="4">
        <f>Base[[#This Row],['[SC']'[Travail']Coûts_évités]]/Base[[#This Row],[Population_emploi]]</f>
        <v>0.15612382184572907</v>
      </c>
      <c r="AL394" s="4">
        <f>Base[[#This Row],[Coût_société]]*10^9*Base[[#This Row],[Risque]]*Base[[#This Row],[Prévalence]]*Base[[#This Row],[Part_coûts_salarié]]/Base[[#This Row],[Population_emploi]]</f>
        <v>1.6129091984306367</v>
      </c>
      <c r="AM394" s="4">
        <f>IF(Base[[#This Row],[Pathologie]]&lt;&gt;"Dépendance",0,14909.24243952)</f>
        <v>0</v>
      </c>
      <c r="AN394" s="4">
        <f>IF(Base[[#This Row],[Pathologie]]&lt;&gt;"Dépendance",0,1316000)</f>
        <v>0</v>
      </c>
      <c r="AO394" s="4">
        <f>IF(Base[[#This Row],[Pathologie]]&lt;&gt;"Dépendance",0,Base[[#This Row],['[SC']Coût_personne_dépendante]]*Base[[#This Row],['[SC']Nb_personnes_dépendantes]])</f>
        <v>0</v>
      </c>
      <c r="AP394" s="4">
        <f>IF(Base[[#This Row],[Pathologie]]&lt;&gt;"Dépendance",0,Base[[#This Row],['[SC']Coût_total_dépendance]]/Base[[#This Row],[Population_totale]])</f>
        <v>0</v>
      </c>
      <c r="AQ394" s="4">
        <f>IF(Base[[#This Row],[Pathologie]]&lt;&gt;"Dépendance",0,4.5)</f>
        <v>0</v>
      </c>
      <c r="AR394" s="4">
        <v>0.83987615528424797</v>
      </c>
      <c r="AS394" s="4">
        <f>Base[[#This Row],[Espérance_vie]]+Base[[#This Row],['[SC']Hausse_esp_de_vie]]-Base[[#This Row],['[SC']Durée_moyenne_dépendance_avt]]+Base[[#This Row],[Risque]]</f>
        <v>83.344845356048694</v>
      </c>
      <c r="AT3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4" s="4">
        <v>62.9</v>
      </c>
      <c r="AW394" s="4">
        <f t="shared" si="7"/>
        <v>336905600000</v>
      </c>
      <c r="AX394" s="4">
        <v>15049171</v>
      </c>
      <c r="AY394" s="4">
        <f>Base[[#This Row],['[SC']Budget_total_retraites]]/Base[[#This Row],['[SC']Nombre_de_retraités]]</f>
        <v>22386.987296509556</v>
      </c>
      <c r="AZ394" s="4">
        <f>Base[[#This Row],['[SC']Budget_par_retraité]]*Base[[#This Row],['[SC']Nb_personnes_dépendantes]]</f>
        <v>0</v>
      </c>
      <c r="BA394" s="4">
        <f>Base[[#This Row],['[SC']'[Dépendance']Coût_retraite_personnes_dépendantes]]/Base[[#This Row],[Population_totale]]</f>
        <v>0</v>
      </c>
      <c r="BB3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4" s="4">
        <f>Base[[#This Row],['[SC']'[Dépendance']Gains]]-Base[[#This Row],['[SC']'[Dépendance']Coûts]]</f>
        <v>0</v>
      </c>
      <c r="BD394" s="4">
        <f>IF(Base[[#This Row],[Pathologie]]&lt;&gt;"Mort prématurée",0,Base[[#This Row],[Risque]]*Base[[#This Row],[Prévalence]]*Base[[#This Row],[Population_totale]])</f>
        <v>0</v>
      </c>
      <c r="BE394" s="4">
        <v>52.74</v>
      </c>
      <c r="BF394" s="4">
        <f>Base[[#This Row],['[SC']Âge_moyen_retraite]]-Base[[#This Row],['[SC']'[Mort_prématurée']Âge_moyen_mort précoce]]</f>
        <v>10.159999999999997</v>
      </c>
      <c r="BG394" s="4">
        <f>Base[[#This Row],[Espérance_vie]]+Base[[#This Row],['[SC']Hausse_esp_de_vie]]-Base[[#This Row],['[SC']Âge_moyen_retraite]]</f>
        <v>20.236955218602098</v>
      </c>
      <c r="BH394" s="4">
        <v>106583.42676924677</v>
      </c>
      <c r="BI394" s="4">
        <v>97601.789429271477</v>
      </c>
      <c r="BJ394" s="4">
        <v>302038.31496633729</v>
      </c>
      <c r="BK394" s="4">
        <v>117293.58934859755</v>
      </c>
      <c r="BL394" s="4">
        <v>1523999.9999999995</v>
      </c>
      <c r="BM3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4" s="4">
        <v>294804.96027377353</v>
      </c>
      <c r="BO3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4" s="4">
        <f>(Base[[#This Row],['[SC']'[Mort_prématurée']Gains]]-Base[[#This Row],['[SC']'[Mort_prématurée']Coûts]])/Base[[#This Row],[Population_totale]]</f>
        <v>0</v>
      </c>
      <c r="BQ394" s="4">
        <f>IF(Base[[#This Row],[Pathologie]]&lt;&gt;"Mort prématurée",0,Base[[#This Row],[Risque]])</f>
        <v>0</v>
      </c>
      <c r="BR394" s="4">
        <v>2680</v>
      </c>
      <c r="BS3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6.6008694786431562E-4</v>
      </c>
      <c r="BT3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394" s="4">
        <f>Base[[#This Row],[Prévalence_prod]]*(1-Base[[#This Row],[Risque]])*Base[[#This Row],[Durée_arrêt]]*Base[[#This Row],[Population_emploi]]</f>
        <v>374554.69327741495</v>
      </c>
      <c r="BV394" s="4">
        <f>Base[[#This Row],['[Prod']'[Absentéisme']Total_jours_absence_avant]]-Base[[#This Row],['[Prod']'[Absentéisme']Total_jours_absence_après]]</f>
        <v>98302.306722584995</v>
      </c>
      <c r="BW394" s="4">
        <f>IF(AND(Base[[#This Row],[Pathologie]]&lt;&gt;"Dépendance",Base[[#This Row],[Pathologie]]&lt;&gt;"Mort prématurée",Base[[#This Row],[Pathologie]]&lt;&gt;"Migraine"),0.0619,0)</f>
        <v>6.1899999999999997E-2</v>
      </c>
      <c r="BX394" s="4">
        <v>254</v>
      </c>
      <c r="BY39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394" s="4">
        <f>(Base[[#This Row],['[Prod']'[Absentéisme']Jours_théoriques]]-Base[[#This Row],['[Prod']'[Absentéisme']Total_jours_absence_évités]])/(Base[[#This Row],[Population_emploi]]*Base[[#This Row],['[Prod']Jours_ouvrés]])</f>
        <v>1.2471434242596272E-4</v>
      </c>
      <c r="CA394" s="4">
        <f>Base[[#This Row],[Prévalence_prod]]*Base[[#This Row],[Présentéisme]]*Base[[#This Row],['[Prod']Jours_ouvrés]]</f>
        <v>0</v>
      </c>
      <c r="CB394" s="4">
        <f>Base[[#This Row],[Prévalence_prod]]*(1-Base[[#This Row],[Risque]])*Base[[#This Row],[Présentéisme]]*Base[[#This Row],['[Prod']Jours_ouvrés]]</f>
        <v>0</v>
      </c>
      <c r="CC394" s="4">
        <f>Base[[#This Row],['[Prod']'[Présentéisme']Jours_avant]]-Base[[#This Row],['[Prod']'[Présentéisme']Jours_après]]</f>
        <v>0</v>
      </c>
      <c r="CD394" s="4">
        <f>Base[[#This Row],['[Prod']'[Présentéisme']Jours_gagnés]]/Base[[#This Row],['[Prod']Jours_ouvrés]]</f>
        <v>0</v>
      </c>
      <c r="CE394">
        <v>7.5880726467531134E-2</v>
      </c>
      <c r="CF394">
        <v>1.989821358241517E-2</v>
      </c>
      <c r="CG394" s="4">
        <v>11</v>
      </c>
      <c r="CH394" s="4">
        <v>0.85076983926913452</v>
      </c>
      <c r="CI394" s="4">
        <v>0</v>
      </c>
      <c r="CJ394" s="4">
        <f>IF(Base[[#This Row],[Secteur]]&lt;&gt;"Moyenne",Base[[#This Row],['[Prod']'[Turnover']DMC_initiale]]*(1+Base[[#This Row],['[Prod']'[Turnover']Ecart_accidents]]*Base[[#This Row],['[Prod']Impact_motifs_turnover]]),CJ377*CI377+CJ378*CI378+CJ379*CI379+CJ380*CI380+CJ381*CI381+CJ382*CI382+CJ383*CI383+CJ384*CI384+CJ385*CI385+CJ386*CI386+CJ387*CI387+CJ388*CI388+CJ389*CI389+CJ390*CI390+CJ391*CI391+CJ392*CI392+CJ393*CI393)</f>
        <v>11.186216799683796</v>
      </c>
      <c r="CK394" s="4">
        <f>1/Base[[#This Row],['[Prod']'[Turnover']DMC_initiale]]</f>
        <v>9.0909090909090912E-2</v>
      </c>
      <c r="CL394" s="4">
        <f>1/Base[[#This Row],['[Prod']'[Turnover']DMC_finale]]</f>
        <v>8.9395728502979416E-2</v>
      </c>
    </row>
    <row r="395" spans="2:90" x14ac:dyDescent="0.25">
      <c r="B395" s="4" t="s">
        <v>315</v>
      </c>
      <c r="C395">
        <v>15</v>
      </c>
      <c r="D395" t="s">
        <v>83</v>
      </c>
      <c r="E395" t="s">
        <v>12</v>
      </c>
      <c r="F395" s="3">
        <v>0.46956247854973554</v>
      </c>
      <c r="G395" s="3">
        <v>0.1079</v>
      </c>
      <c r="H395" s="3">
        <v>0.1079</v>
      </c>
      <c r="I395" s="3">
        <v>7.6499999999999999E-2</v>
      </c>
      <c r="J395" s="3">
        <v>7.67629534616262</v>
      </c>
      <c r="K395" s="3">
        <v>7.0000000000000007E-2</v>
      </c>
      <c r="L395" s="2">
        <f>Base[[#This Row],[Coût]]*Base[[#This Row],[Part_ménages_dépenses_santé]]</f>
        <v>0.53734067423138343</v>
      </c>
      <c r="M395" s="2">
        <v>0.82690611956969029</v>
      </c>
      <c r="N395" s="6">
        <v>27700000</v>
      </c>
      <c r="O395" s="7">
        <f>Base[[#This Row],[Coût_salarié]]*10^9*Base[[#This Row],[Risque]]*Base[[#This Row],[Prévalence]]*Base[[#This Row],[Part_coûts_salarié]]/Base[[#This Row],[Population_emploi]]</f>
        <v>0.81272006836148358</v>
      </c>
      <c r="P395">
        <v>50</v>
      </c>
      <c r="Q395">
        <v>50</v>
      </c>
      <c r="R395" s="2">
        <v>9.9999999999999978E-2</v>
      </c>
      <c r="S395" s="2">
        <v>0.33340000000000003</v>
      </c>
      <c r="T395" s="4">
        <v>0.1079</v>
      </c>
      <c r="U395" s="4">
        <f>IF(Bases_annexes!$F$5=0,16.6587111018772,0.77*Bases_annexes!$F$5/(IF(OR(ISBLANK('Données_d''entrée'!$E$44),'Données_d''entrée'!$E$44=0),35,'Données_d''entrée'!$E$44)*52))</f>
        <v>16.658711101877199</v>
      </c>
      <c r="V395" s="4">
        <v>4.25</v>
      </c>
      <c r="W3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395" s="4">
        <v>234.5</v>
      </c>
      <c r="Y395" s="4">
        <f>(Base[[#This Row],['[Maladies']Coûts_évités_par_salarié]]+Base[[#This Row],['[Travail']Coûts_évités_par_salarié]])/Base[[#This Row],[Budget_santé_salarié]]</f>
        <v>8.2199598851030176E-2</v>
      </c>
      <c r="Z395" s="4">
        <v>0.8</v>
      </c>
      <c r="AA395" s="4">
        <f>Base[[#This Row],[Coût]]*Base[[#This Row],[Part_société_dépenses_santé]]</f>
        <v>6.1410362769300963</v>
      </c>
      <c r="AB395" s="4">
        <v>67635124</v>
      </c>
      <c r="AC395" s="4">
        <v>82.297079063317852</v>
      </c>
      <c r="AD395" s="4">
        <v>0.1079</v>
      </c>
      <c r="AE395" s="4">
        <f>Base[[#This Row],['[SC']Prévalence_travail]]*Base[[#This Row],[Population_emploi]]</f>
        <v>2988830</v>
      </c>
      <c r="AF395" s="4">
        <f>Base[[#This Row],[Risque]]*Base[[#This Row],['[SC']Patients_en_emploi]]</f>
        <v>1403442.4227638061</v>
      </c>
      <c r="AG395" s="4">
        <v>0</v>
      </c>
      <c r="AH395" s="4">
        <f>IFERROR(Base[[#This Row],['[SC']Prestations]]/Base[[#This Row],['[SC']Patients_en_emploi]],0)</f>
        <v>0</v>
      </c>
      <c r="AI395" s="4">
        <v>51.7</v>
      </c>
      <c r="AJ3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395" s="4">
        <f>Base[[#This Row],['[SC']'[Travail']Coûts_évités]]/Base[[#This Row],[Population_emploi]]</f>
        <v>3.2742767715202512</v>
      </c>
      <c r="AL395" s="4">
        <f>Base[[#This Row],[Coût_société]]*10^9*Base[[#This Row],[Risque]]*Base[[#This Row],[Prévalence]]*Base[[#This Row],[Part_coûts_salarié]]/Base[[#This Row],[Population_emploi]]</f>
        <v>9.2882293527026718</v>
      </c>
      <c r="AM395" s="4">
        <f>IF(Base[[#This Row],[Pathologie]]&lt;&gt;"Dépendance",0,14909.24243952)</f>
        <v>0</v>
      </c>
      <c r="AN395" s="4">
        <f>IF(Base[[#This Row],[Pathologie]]&lt;&gt;"Dépendance",0,1316000)</f>
        <v>0</v>
      </c>
      <c r="AO395" s="4">
        <f>IF(Base[[#This Row],[Pathologie]]&lt;&gt;"Dépendance",0,Base[[#This Row],['[SC']Coût_personne_dépendante]]*Base[[#This Row],['[SC']Nb_personnes_dépendantes]])</f>
        <v>0</v>
      </c>
      <c r="AP395" s="4">
        <f>IF(Base[[#This Row],[Pathologie]]&lt;&gt;"Dépendance",0,Base[[#This Row],['[SC']Coût_total_dépendance]]/Base[[#This Row],[Population_totale]])</f>
        <v>0</v>
      </c>
      <c r="AQ395" s="4">
        <f>IF(Base[[#This Row],[Pathologie]]&lt;&gt;"Dépendance",0,4.5)</f>
        <v>0</v>
      </c>
      <c r="AR395" s="4">
        <v>0.83987615528424797</v>
      </c>
      <c r="AS395" s="4">
        <f>Base[[#This Row],[Espérance_vie]]+Base[[#This Row],['[SC']Hausse_esp_de_vie]]-Base[[#This Row],['[SC']Durée_moyenne_dépendance_avt]]+Base[[#This Row],[Risque]]</f>
        <v>83.60651769715183</v>
      </c>
      <c r="AT3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5" s="4">
        <v>62.9</v>
      </c>
      <c r="AW395" s="4">
        <f t="shared" si="0"/>
        <v>336905600000</v>
      </c>
      <c r="AX395" s="4">
        <v>15049171</v>
      </c>
      <c r="AY395" s="4">
        <f>Base[[#This Row],['[SC']Budget_total_retraites]]/Base[[#This Row],['[SC']Nombre_de_retraités]]</f>
        <v>22386.987296509556</v>
      </c>
      <c r="AZ395" s="4">
        <f>Base[[#This Row],['[SC']Budget_par_retraité]]*Base[[#This Row],['[SC']Nb_personnes_dépendantes]]</f>
        <v>0</v>
      </c>
      <c r="BA395" s="4">
        <f>Base[[#This Row],['[SC']'[Dépendance']Coût_retraite_personnes_dépendantes]]/Base[[#This Row],[Population_totale]]</f>
        <v>0</v>
      </c>
      <c r="BB3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5" s="4">
        <f>Base[[#This Row],['[SC']'[Dépendance']Gains]]-Base[[#This Row],['[SC']'[Dépendance']Coûts]]</f>
        <v>0</v>
      </c>
      <c r="BD395" s="4">
        <f>IF(Base[[#This Row],[Pathologie]]&lt;&gt;"Mort prématurée",0,Base[[#This Row],[Risque]]*Base[[#This Row],[Prévalence]]*Base[[#This Row],[Population_totale]])</f>
        <v>0</v>
      </c>
      <c r="BE395" s="4">
        <v>52.74</v>
      </c>
      <c r="BF395" s="4">
        <f>Base[[#This Row],['[SC']Âge_moyen_retraite]]-Base[[#This Row],['[SC']'[Mort_prématurée']Âge_moyen_mort précoce]]</f>
        <v>10.159999999999997</v>
      </c>
      <c r="BG395" s="4">
        <f>Base[[#This Row],[Espérance_vie]]+Base[[#This Row],['[SC']Hausse_esp_de_vie]]-Base[[#This Row],['[SC']Âge_moyen_retraite]]</f>
        <v>20.236955218602098</v>
      </c>
      <c r="BH395" s="4">
        <v>106583.42676924677</v>
      </c>
      <c r="BI395" s="4">
        <v>97601.789429271477</v>
      </c>
      <c r="BJ395" s="4">
        <v>302038.31496633729</v>
      </c>
      <c r="BK395" s="4">
        <v>117293.58934859755</v>
      </c>
      <c r="BL395" s="4">
        <v>1523999.9999999995</v>
      </c>
      <c r="BM3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5" s="4">
        <v>294804.96027377353</v>
      </c>
      <c r="BO3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5" s="4">
        <f>(Base[[#This Row],['[SC']'[Mort_prématurée']Gains]]-Base[[#This Row],['[SC']'[Mort_prématurée']Coûts]])/Base[[#This Row],[Population_totale]]</f>
        <v>0</v>
      </c>
      <c r="BQ395" s="4">
        <f>IF(Base[[#This Row],[Pathologie]]&lt;&gt;"Mort prématurée",0,Base[[#This Row],[Risque]])</f>
        <v>0</v>
      </c>
      <c r="BR395" s="4">
        <v>2680</v>
      </c>
      <c r="BS3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3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395" s="4">
        <f>Base[[#This Row],[Prévalence_prod]]*(1-Base[[#This Row],[Risque]])*Base[[#This Row],[Durée_arrêt]]*Base[[#This Row],[Population_emploi]]</f>
        <v>6737897.2032538243</v>
      </c>
      <c r="BV395" s="4">
        <f>Base[[#This Row],['[Prod']'[Absentéisme']Total_jours_absence_avant]]-Base[[#This Row],['[Prod']'[Absentéisme']Total_jours_absence_après]]</f>
        <v>5964630.2967461739</v>
      </c>
      <c r="BW395" s="4">
        <f>IF(AND(Base[[#This Row],[Pathologie]]&lt;&gt;"Dépendance",Base[[#This Row],[Pathologie]]&lt;&gt;"Mort prématurée",Base[[#This Row],[Pathologie]]&lt;&gt;"Migraine"),0.0619,0)</f>
        <v>6.1899999999999997E-2</v>
      </c>
      <c r="BX395" s="4">
        <v>254</v>
      </c>
      <c r="BY39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395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395" s="4">
        <f>Base[[#This Row],[Prévalence_prod]]*Base[[#This Row],[Présentéisme]]*Base[[#This Row],['[Prod']Jours_ouvrés]]</f>
        <v>2.0966048999999995</v>
      </c>
      <c r="CB395" s="4">
        <f>Base[[#This Row],[Prévalence_prod]]*(1-Base[[#This Row],[Risque]])*Base[[#This Row],[Présentéisme]]*Base[[#This Row],['[Prod']Jours_ouvrés]]</f>
        <v>1.1121179066164795</v>
      </c>
      <c r="CC395" s="4">
        <f>Base[[#This Row],['[Prod']'[Présentéisme']Jours_avant]]-Base[[#This Row],['[Prod']'[Présentéisme']Jours_après]]</f>
        <v>0.98448699338352008</v>
      </c>
      <c r="CD395" s="4">
        <f>Base[[#This Row],['[Prod']'[Présentéisme']Jours_gagnés]]/Base[[#This Row],['[Prod']Jours_ouvrés]]</f>
        <v>3.875933044817008E-3</v>
      </c>
      <c r="CE395">
        <v>7.5880726467531134E-2</v>
      </c>
      <c r="CF395">
        <v>1.989821358241517E-2</v>
      </c>
      <c r="CG395" s="4">
        <v>11</v>
      </c>
      <c r="CH395" s="4">
        <v>1.3966184516047948</v>
      </c>
      <c r="CI395" s="4">
        <v>1.4392894727292521E-2</v>
      </c>
      <c r="CJ395" s="4">
        <f>IF(Base[[#This Row],[Secteur]]&lt;&gt;"Moyenne",Base[[#This Row],['[Prod']'[Turnover']DMC_initiale]]*(1+Base[[#This Row],['[Prod']'[Turnover']Ecart_accidents]]*Base[[#This Row],['[Prod']Impact_motifs_turnover]]),CJ378*CI378+CJ379*CI379+CJ380*CI380+CJ381*CI381+CJ382*CI382+CJ383*CI383+CJ384*CI384+CJ385*CI385+CJ386*CI386+CJ387*CI387+CJ388*CI388+CJ389*CI389+CJ390*CI390+CJ391*CI391+CJ392*CI392+CJ393*CI393+CJ394*CI394)</f>
        <v>11.305692334674916</v>
      </c>
      <c r="CK395" s="4">
        <f>1/Base[[#This Row],['[Prod']'[Turnover']DMC_initiale]]</f>
        <v>9.0909090909090912E-2</v>
      </c>
      <c r="CL395" s="4">
        <f>1/Base[[#This Row],['[Prod']'[Turnover']DMC_finale]]</f>
        <v>8.8451018336397527E-2</v>
      </c>
    </row>
    <row r="396" spans="2:90" x14ac:dyDescent="0.25">
      <c r="B396" s="4" t="s">
        <v>316</v>
      </c>
      <c r="C396">
        <v>15</v>
      </c>
      <c r="D396" t="s">
        <v>83</v>
      </c>
      <c r="E396" t="s">
        <v>12</v>
      </c>
      <c r="F396" s="3">
        <v>0.46956247854973554</v>
      </c>
      <c r="G396" s="3">
        <v>0.1079</v>
      </c>
      <c r="H396" s="3">
        <v>0.1079</v>
      </c>
      <c r="I396" s="3">
        <v>7.6499999999999999E-2</v>
      </c>
      <c r="J396" s="3">
        <v>7.67629534616262</v>
      </c>
      <c r="K396" s="3">
        <v>7.0000000000000007E-2</v>
      </c>
      <c r="L396" s="2">
        <f>Base[[#This Row],[Coût]]*Base[[#This Row],[Part_ménages_dépenses_santé]]</f>
        <v>0.53734067423138343</v>
      </c>
      <c r="M396" s="2">
        <v>0.82690611956969029</v>
      </c>
      <c r="N396" s="6">
        <v>27700000</v>
      </c>
      <c r="O396" s="7">
        <f>Base[[#This Row],[Coût_salarié]]*10^9*Base[[#This Row],[Risque]]*Base[[#This Row],[Prévalence]]*Base[[#This Row],[Part_coûts_salarié]]/Base[[#This Row],[Population_emploi]]</f>
        <v>0.81272006836148358</v>
      </c>
      <c r="P396">
        <v>50</v>
      </c>
      <c r="Q396">
        <v>50</v>
      </c>
      <c r="R396" s="2">
        <v>9.9999999999999978E-2</v>
      </c>
      <c r="S396" s="2">
        <v>0.33340000000000003</v>
      </c>
      <c r="T396" s="4">
        <v>0.1079</v>
      </c>
      <c r="U396" s="4">
        <f>IF(Bases_annexes!$F$5=0,16.6587111018772,0.77*Bases_annexes!$F$5/(IF(OR(ISBLANK('Données_d''entrée'!$E$44),'Données_d''entrée'!$E$44=0),35,'Données_d''entrée'!$E$44)*52))</f>
        <v>16.658711101877199</v>
      </c>
      <c r="V396" s="4">
        <v>4.25</v>
      </c>
      <c r="W3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396" s="4">
        <v>234.5</v>
      </c>
      <c r="Y396" s="4">
        <f>(Base[[#This Row],['[Maladies']Coûts_évités_par_salarié]]+Base[[#This Row],['[Travail']Coûts_évités_par_salarié]])/Base[[#This Row],[Budget_santé_salarié]]</f>
        <v>8.2199598851030176E-2</v>
      </c>
      <c r="Z396" s="4">
        <v>0.8</v>
      </c>
      <c r="AA396" s="4">
        <f>Base[[#This Row],[Coût]]*Base[[#This Row],[Part_société_dépenses_santé]]</f>
        <v>6.1410362769300963</v>
      </c>
      <c r="AB396" s="4">
        <v>67635124</v>
      </c>
      <c r="AC396" s="4">
        <v>82.297079063317852</v>
      </c>
      <c r="AD396" s="4">
        <v>0.1079</v>
      </c>
      <c r="AE396" s="4">
        <f>Base[[#This Row],['[SC']Prévalence_travail]]*Base[[#This Row],[Population_emploi]]</f>
        <v>2988830</v>
      </c>
      <c r="AF396" s="4">
        <f>Base[[#This Row],[Risque]]*Base[[#This Row],['[SC']Patients_en_emploi]]</f>
        <v>1403442.4227638061</v>
      </c>
      <c r="AG396" s="4">
        <v>0</v>
      </c>
      <c r="AH396" s="4">
        <f>IFERROR(Base[[#This Row],['[SC']Prestations]]/Base[[#This Row],['[SC']Patients_en_emploi]],0)</f>
        <v>0</v>
      </c>
      <c r="AI396" s="4">
        <v>51.7</v>
      </c>
      <c r="AJ3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396" s="4">
        <f>Base[[#This Row],['[SC']'[Travail']Coûts_évités]]/Base[[#This Row],[Population_emploi]]</f>
        <v>3.2742767715202512</v>
      </c>
      <c r="AL396" s="4">
        <f>Base[[#This Row],[Coût_société]]*10^9*Base[[#This Row],[Risque]]*Base[[#This Row],[Prévalence]]*Base[[#This Row],[Part_coûts_salarié]]/Base[[#This Row],[Population_emploi]]</f>
        <v>9.2882293527026718</v>
      </c>
      <c r="AM396" s="4">
        <f>IF(Base[[#This Row],[Pathologie]]&lt;&gt;"Dépendance",0,14909.24243952)</f>
        <v>0</v>
      </c>
      <c r="AN396" s="4">
        <f>IF(Base[[#This Row],[Pathologie]]&lt;&gt;"Dépendance",0,1316000)</f>
        <v>0</v>
      </c>
      <c r="AO396" s="4">
        <f>IF(Base[[#This Row],[Pathologie]]&lt;&gt;"Dépendance",0,Base[[#This Row],['[SC']Coût_personne_dépendante]]*Base[[#This Row],['[SC']Nb_personnes_dépendantes]])</f>
        <v>0</v>
      </c>
      <c r="AP396" s="4">
        <f>IF(Base[[#This Row],[Pathologie]]&lt;&gt;"Dépendance",0,Base[[#This Row],['[SC']Coût_total_dépendance]]/Base[[#This Row],[Population_totale]])</f>
        <v>0</v>
      </c>
      <c r="AQ396" s="4">
        <f>IF(Base[[#This Row],[Pathologie]]&lt;&gt;"Dépendance",0,4.5)</f>
        <v>0</v>
      </c>
      <c r="AR396" s="4">
        <v>0.83987615528424797</v>
      </c>
      <c r="AS396" s="4">
        <f>Base[[#This Row],[Espérance_vie]]+Base[[#This Row],['[SC']Hausse_esp_de_vie]]-Base[[#This Row],['[SC']Durée_moyenne_dépendance_avt]]+Base[[#This Row],[Risque]]</f>
        <v>83.60651769715183</v>
      </c>
      <c r="AT3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6" s="4">
        <v>62.9</v>
      </c>
      <c r="AW396" s="4">
        <f t="shared" ref="AW396:AW412" si="8">336905600000</f>
        <v>336905600000</v>
      </c>
      <c r="AX396" s="4">
        <v>15049171</v>
      </c>
      <c r="AY396" s="4">
        <f>Base[[#This Row],['[SC']Budget_total_retraites]]/Base[[#This Row],['[SC']Nombre_de_retraités]]</f>
        <v>22386.987296509556</v>
      </c>
      <c r="AZ396" s="4">
        <f>Base[[#This Row],['[SC']Budget_par_retraité]]*Base[[#This Row],['[SC']Nb_personnes_dépendantes]]</f>
        <v>0</v>
      </c>
      <c r="BA396" s="4">
        <f>Base[[#This Row],['[SC']'[Dépendance']Coût_retraite_personnes_dépendantes]]/Base[[#This Row],[Population_totale]]</f>
        <v>0</v>
      </c>
      <c r="BB3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6" s="4">
        <f>Base[[#This Row],['[SC']'[Dépendance']Gains]]-Base[[#This Row],['[SC']'[Dépendance']Coûts]]</f>
        <v>0</v>
      </c>
      <c r="BD396" s="4">
        <f>IF(Base[[#This Row],[Pathologie]]&lt;&gt;"Mort prématurée",0,Base[[#This Row],[Risque]]*Base[[#This Row],[Prévalence]]*Base[[#This Row],[Population_totale]])</f>
        <v>0</v>
      </c>
      <c r="BE396" s="4">
        <v>52.74</v>
      </c>
      <c r="BF396" s="4">
        <f>Base[[#This Row],['[SC']Âge_moyen_retraite]]-Base[[#This Row],['[SC']'[Mort_prématurée']Âge_moyen_mort précoce]]</f>
        <v>10.159999999999997</v>
      </c>
      <c r="BG396" s="4">
        <f>Base[[#This Row],[Espérance_vie]]+Base[[#This Row],['[SC']Hausse_esp_de_vie]]-Base[[#This Row],['[SC']Âge_moyen_retraite]]</f>
        <v>20.236955218602098</v>
      </c>
      <c r="BH396" s="4">
        <v>106583.42676924677</v>
      </c>
      <c r="BI396" s="4">
        <v>97601.789429271477</v>
      </c>
      <c r="BJ396" s="4">
        <v>302038.31496633729</v>
      </c>
      <c r="BK396" s="4">
        <v>117293.58934859755</v>
      </c>
      <c r="BL396" s="4">
        <v>1523999.9999999995</v>
      </c>
      <c r="BM3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6" s="4">
        <v>294804.96027377353</v>
      </c>
      <c r="BO3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6" s="4">
        <f>(Base[[#This Row],['[SC']'[Mort_prématurée']Gains]]-Base[[#This Row],['[SC']'[Mort_prématurée']Coûts]])/Base[[#This Row],[Population_totale]]</f>
        <v>0</v>
      </c>
      <c r="BQ396" s="4">
        <f>IF(Base[[#This Row],[Pathologie]]&lt;&gt;"Mort prématurée",0,Base[[#This Row],[Risque]])</f>
        <v>0</v>
      </c>
      <c r="BR396" s="4">
        <v>2680</v>
      </c>
      <c r="BS3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3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396" s="4">
        <f>Base[[#This Row],[Prévalence_prod]]*(1-Base[[#This Row],[Risque]])*Base[[#This Row],[Durée_arrêt]]*Base[[#This Row],[Population_emploi]]</f>
        <v>6737897.2032538243</v>
      </c>
      <c r="BV396" s="4">
        <f>Base[[#This Row],['[Prod']'[Absentéisme']Total_jours_absence_avant]]-Base[[#This Row],['[Prod']'[Absentéisme']Total_jours_absence_après]]</f>
        <v>5964630.2967461739</v>
      </c>
      <c r="BW396" s="4">
        <f>IF(AND(Base[[#This Row],[Pathologie]]&lt;&gt;"Dépendance",Base[[#This Row],[Pathologie]]&lt;&gt;"Mort prématurée",Base[[#This Row],[Pathologie]]&lt;&gt;"Migraine"),0.0619,0)</f>
        <v>6.1899999999999997E-2</v>
      </c>
      <c r="BX396" s="4">
        <v>254</v>
      </c>
      <c r="BY39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396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396" s="4">
        <f>Base[[#This Row],[Prévalence_prod]]*Base[[#This Row],[Présentéisme]]*Base[[#This Row],['[Prod']Jours_ouvrés]]</f>
        <v>2.0966048999999995</v>
      </c>
      <c r="CB396" s="4">
        <f>Base[[#This Row],[Prévalence_prod]]*(1-Base[[#This Row],[Risque]])*Base[[#This Row],[Présentéisme]]*Base[[#This Row],['[Prod']Jours_ouvrés]]</f>
        <v>1.1121179066164795</v>
      </c>
      <c r="CC396" s="4">
        <f>Base[[#This Row],['[Prod']'[Présentéisme']Jours_avant]]-Base[[#This Row],['[Prod']'[Présentéisme']Jours_après]]</f>
        <v>0.98448699338352008</v>
      </c>
      <c r="CD396" s="4">
        <f>Base[[#This Row],['[Prod']'[Présentéisme']Jours_gagnés]]/Base[[#This Row],['[Prod']Jours_ouvrés]]</f>
        <v>3.875933044817008E-3</v>
      </c>
      <c r="CE396">
        <v>7.5880726467531134E-2</v>
      </c>
      <c r="CF396">
        <v>1.989821358241517E-2</v>
      </c>
      <c r="CG396" s="4">
        <v>11</v>
      </c>
      <c r="CH396" s="4">
        <v>0.68054183762612652</v>
      </c>
      <c r="CI396" s="4">
        <v>1.2135452577082654E-2</v>
      </c>
      <c r="CJ396" s="4">
        <f>IF(Base[[#This Row],[Secteur]]&lt;&gt;"Moyenne",Base[[#This Row],['[Prod']'[Turnover']DMC_initiale]]*(1+Base[[#This Row],['[Prod']'[Turnover']Ecart_accidents]]*Base[[#This Row],['[Prod']Impact_motifs_turnover]]),CJ379*CI379+CJ380*CI380+CJ381*CI381+CJ382*CI382+CJ383*CI383+CJ384*CI384+CJ385*CI385+CJ386*CI386+CJ387*CI387+CJ388*CI388+CJ389*CI389+CJ390*CI390+CJ391*CI391+CJ392*CI392+CJ393*CI393+CJ394*CI394+CJ395*CI395)</f>
        <v>11.148957235205394</v>
      </c>
      <c r="CK396" s="4">
        <f>1/Base[[#This Row],['[Prod']'[Turnover']DMC_initiale]]</f>
        <v>9.0909090909090912E-2</v>
      </c>
      <c r="CL396" s="4">
        <f>1/Base[[#This Row],['[Prod']'[Turnover']DMC_finale]]</f>
        <v>8.9694487018236124E-2</v>
      </c>
    </row>
    <row r="397" spans="2:90" x14ac:dyDescent="0.25">
      <c r="B397" s="4" t="s">
        <v>317</v>
      </c>
      <c r="C397">
        <v>15</v>
      </c>
      <c r="D397" t="s">
        <v>83</v>
      </c>
      <c r="E397" t="s">
        <v>12</v>
      </c>
      <c r="F397" s="3">
        <v>0.46956247854973554</v>
      </c>
      <c r="G397" s="3">
        <v>0.1079</v>
      </c>
      <c r="H397" s="3">
        <v>0.1079</v>
      </c>
      <c r="I397" s="3">
        <v>7.6499999999999999E-2</v>
      </c>
      <c r="J397" s="3">
        <v>7.67629534616262</v>
      </c>
      <c r="K397" s="3">
        <v>7.0000000000000007E-2</v>
      </c>
      <c r="L397" s="2">
        <f>Base[[#This Row],[Coût]]*Base[[#This Row],[Part_ménages_dépenses_santé]]</f>
        <v>0.53734067423138343</v>
      </c>
      <c r="M397" s="2">
        <v>0.82690611956969029</v>
      </c>
      <c r="N397" s="6">
        <v>27700000</v>
      </c>
      <c r="O397" s="7">
        <f>Base[[#This Row],[Coût_salarié]]*10^9*Base[[#This Row],[Risque]]*Base[[#This Row],[Prévalence]]*Base[[#This Row],[Part_coûts_salarié]]/Base[[#This Row],[Population_emploi]]</f>
        <v>0.81272006836148358</v>
      </c>
      <c r="P397">
        <v>50</v>
      </c>
      <c r="Q397">
        <v>50</v>
      </c>
      <c r="R397" s="2">
        <v>9.9999999999999978E-2</v>
      </c>
      <c r="S397" s="2">
        <v>0.33340000000000003</v>
      </c>
      <c r="T397" s="4">
        <v>0.1079</v>
      </c>
      <c r="U397" s="4">
        <f>IF(Bases_annexes!$F$5=0,16.6587111018772,0.77*Bases_annexes!$F$5/(IF(OR(ISBLANK('Données_d''entrée'!$E$44),'Données_d''entrée'!$E$44=0),35,'Données_d''entrée'!$E$44)*52))</f>
        <v>16.658711101877199</v>
      </c>
      <c r="V397" s="4">
        <v>4.25</v>
      </c>
      <c r="W3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397" s="4">
        <v>234.5</v>
      </c>
      <c r="Y397" s="4">
        <f>(Base[[#This Row],['[Maladies']Coûts_évités_par_salarié]]+Base[[#This Row],['[Travail']Coûts_évités_par_salarié]])/Base[[#This Row],[Budget_santé_salarié]]</f>
        <v>8.2199598851030176E-2</v>
      </c>
      <c r="Z397" s="4">
        <v>0.8</v>
      </c>
      <c r="AA397" s="4">
        <f>Base[[#This Row],[Coût]]*Base[[#This Row],[Part_société_dépenses_santé]]</f>
        <v>6.1410362769300963</v>
      </c>
      <c r="AB397" s="4">
        <v>67635124</v>
      </c>
      <c r="AC397" s="4">
        <v>82.297079063317852</v>
      </c>
      <c r="AD397" s="4">
        <v>0.1079</v>
      </c>
      <c r="AE397" s="4">
        <f>Base[[#This Row],['[SC']Prévalence_travail]]*Base[[#This Row],[Population_emploi]]</f>
        <v>2988830</v>
      </c>
      <c r="AF397" s="4">
        <f>Base[[#This Row],[Risque]]*Base[[#This Row],['[SC']Patients_en_emploi]]</f>
        <v>1403442.4227638061</v>
      </c>
      <c r="AG397" s="4">
        <v>0</v>
      </c>
      <c r="AH397" s="4">
        <f>IFERROR(Base[[#This Row],['[SC']Prestations]]/Base[[#This Row],['[SC']Patients_en_emploi]],0)</f>
        <v>0</v>
      </c>
      <c r="AI397" s="4">
        <v>51.7</v>
      </c>
      <c r="AJ3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397" s="4">
        <f>Base[[#This Row],['[SC']'[Travail']Coûts_évités]]/Base[[#This Row],[Population_emploi]]</f>
        <v>3.2742767715202512</v>
      </c>
      <c r="AL397" s="4">
        <f>Base[[#This Row],[Coût_société]]*10^9*Base[[#This Row],[Risque]]*Base[[#This Row],[Prévalence]]*Base[[#This Row],[Part_coûts_salarié]]/Base[[#This Row],[Population_emploi]]</f>
        <v>9.2882293527026718</v>
      </c>
      <c r="AM397" s="4">
        <f>IF(Base[[#This Row],[Pathologie]]&lt;&gt;"Dépendance",0,14909.24243952)</f>
        <v>0</v>
      </c>
      <c r="AN397" s="4">
        <f>IF(Base[[#This Row],[Pathologie]]&lt;&gt;"Dépendance",0,1316000)</f>
        <v>0</v>
      </c>
      <c r="AO397" s="4">
        <f>IF(Base[[#This Row],[Pathologie]]&lt;&gt;"Dépendance",0,Base[[#This Row],['[SC']Coût_personne_dépendante]]*Base[[#This Row],['[SC']Nb_personnes_dépendantes]])</f>
        <v>0</v>
      </c>
      <c r="AP397" s="4">
        <f>IF(Base[[#This Row],[Pathologie]]&lt;&gt;"Dépendance",0,Base[[#This Row],['[SC']Coût_total_dépendance]]/Base[[#This Row],[Population_totale]])</f>
        <v>0</v>
      </c>
      <c r="AQ397" s="4">
        <f>IF(Base[[#This Row],[Pathologie]]&lt;&gt;"Dépendance",0,4.5)</f>
        <v>0</v>
      </c>
      <c r="AR397" s="4">
        <v>0.83987615528424797</v>
      </c>
      <c r="AS397" s="4">
        <f>Base[[#This Row],[Espérance_vie]]+Base[[#This Row],['[SC']Hausse_esp_de_vie]]-Base[[#This Row],['[SC']Durée_moyenne_dépendance_avt]]+Base[[#This Row],[Risque]]</f>
        <v>83.60651769715183</v>
      </c>
      <c r="AT3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7" s="4">
        <v>62.9</v>
      </c>
      <c r="AW397" s="4">
        <f t="shared" si="8"/>
        <v>336905600000</v>
      </c>
      <c r="AX397" s="4">
        <v>15049171</v>
      </c>
      <c r="AY397" s="4">
        <f>Base[[#This Row],['[SC']Budget_total_retraites]]/Base[[#This Row],['[SC']Nombre_de_retraités]]</f>
        <v>22386.987296509556</v>
      </c>
      <c r="AZ397" s="4">
        <f>Base[[#This Row],['[SC']Budget_par_retraité]]*Base[[#This Row],['[SC']Nb_personnes_dépendantes]]</f>
        <v>0</v>
      </c>
      <c r="BA397" s="4">
        <f>Base[[#This Row],['[SC']'[Dépendance']Coût_retraite_personnes_dépendantes]]/Base[[#This Row],[Population_totale]]</f>
        <v>0</v>
      </c>
      <c r="BB39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7" s="4">
        <f>Base[[#This Row],['[SC']'[Dépendance']Gains]]-Base[[#This Row],['[SC']'[Dépendance']Coûts]]</f>
        <v>0</v>
      </c>
      <c r="BD397" s="4">
        <f>IF(Base[[#This Row],[Pathologie]]&lt;&gt;"Mort prématurée",0,Base[[#This Row],[Risque]]*Base[[#This Row],[Prévalence]]*Base[[#This Row],[Population_totale]])</f>
        <v>0</v>
      </c>
      <c r="BE397" s="4">
        <v>52.74</v>
      </c>
      <c r="BF397" s="4">
        <f>Base[[#This Row],['[SC']Âge_moyen_retraite]]-Base[[#This Row],['[SC']'[Mort_prématurée']Âge_moyen_mort précoce]]</f>
        <v>10.159999999999997</v>
      </c>
      <c r="BG397" s="4">
        <f>Base[[#This Row],[Espérance_vie]]+Base[[#This Row],['[SC']Hausse_esp_de_vie]]-Base[[#This Row],['[SC']Âge_moyen_retraite]]</f>
        <v>20.236955218602098</v>
      </c>
      <c r="BH397" s="4">
        <v>106583.42676924677</v>
      </c>
      <c r="BI397" s="4">
        <v>97601.789429271477</v>
      </c>
      <c r="BJ397" s="4">
        <v>302038.31496633729</v>
      </c>
      <c r="BK397" s="4">
        <v>117293.58934859755</v>
      </c>
      <c r="BL397" s="4">
        <v>1523999.9999999995</v>
      </c>
      <c r="BM3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7" s="4">
        <v>294804.96027377353</v>
      </c>
      <c r="BO3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7" s="4">
        <f>(Base[[#This Row],['[SC']'[Mort_prématurée']Gains]]-Base[[#This Row],['[SC']'[Mort_prématurée']Coûts]])/Base[[#This Row],[Population_totale]]</f>
        <v>0</v>
      </c>
      <c r="BQ397" s="4">
        <f>IF(Base[[#This Row],[Pathologie]]&lt;&gt;"Mort prématurée",0,Base[[#This Row],[Risque]])</f>
        <v>0</v>
      </c>
      <c r="BR397" s="4">
        <v>2680</v>
      </c>
      <c r="BS3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3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397" s="4">
        <f>Base[[#This Row],[Prévalence_prod]]*(1-Base[[#This Row],[Risque]])*Base[[#This Row],[Durée_arrêt]]*Base[[#This Row],[Population_emploi]]</f>
        <v>6737897.2032538243</v>
      </c>
      <c r="BV397" s="4">
        <f>Base[[#This Row],['[Prod']'[Absentéisme']Total_jours_absence_avant]]-Base[[#This Row],['[Prod']'[Absentéisme']Total_jours_absence_après]]</f>
        <v>5964630.2967461739</v>
      </c>
      <c r="BW397" s="4">
        <f>IF(AND(Base[[#This Row],[Pathologie]]&lt;&gt;"Dépendance",Base[[#This Row],[Pathologie]]&lt;&gt;"Mort prématurée",Base[[#This Row],[Pathologie]]&lt;&gt;"Migraine"),0.0619,0)</f>
        <v>6.1899999999999997E-2</v>
      </c>
      <c r="BX397" s="4">
        <v>254</v>
      </c>
      <c r="BY397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397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397" s="4">
        <f>Base[[#This Row],[Prévalence_prod]]*Base[[#This Row],[Présentéisme]]*Base[[#This Row],['[Prod']Jours_ouvrés]]</f>
        <v>2.0966048999999995</v>
      </c>
      <c r="CB397" s="4">
        <f>Base[[#This Row],[Prévalence_prod]]*(1-Base[[#This Row],[Risque]])*Base[[#This Row],[Présentéisme]]*Base[[#This Row],['[Prod']Jours_ouvrés]]</f>
        <v>1.1121179066164795</v>
      </c>
      <c r="CC397" s="4">
        <f>Base[[#This Row],['[Prod']'[Présentéisme']Jours_avant]]-Base[[#This Row],['[Prod']'[Présentéisme']Jours_après]]</f>
        <v>0.98448699338352008</v>
      </c>
      <c r="CD397" s="4">
        <f>Base[[#This Row],['[Prod']'[Présentéisme']Jours_gagnés]]/Base[[#This Row],['[Prod']Jours_ouvrés]]</f>
        <v>3.875933044817008E-3</v>
      </c>
      <c r="CE397">
        <v>7.5880726467531134E-2</v>
      </c>
      <c r="CF397">
        <v>1.989821358241517E-2</v>
      </c>
      <c r="CG397" s="4">
        <v>11</v>
      </c>
      <c r="CH397" s="4">
        <v>0.31563677172153043</v>
      </c>
      <c r="CI397" s="4">
        <v>1.3003350630813707E-4</v>
      </c>
      <c r="CJ397" s="4">
        <f>IF(Base[[#This Row],[Secteur]]&lt;&gt;"Moyenne",Base[[#This Row],['[Prod']'[Turnover']DMC_initiale]]*(1+Base[[#This Row],['[Prod']'[Turnover']Ecart_accidents]]*Base[[#This Row],['[Prod']Impact_motifs_turnover]]),CJ380*CI380+CJ381*CI381+CJ382*CI382+CJ383*CI383+CJ384*CI384+CJ385*CI385+CJ386*CI386+CJ387*CI387+CJ388*CI388+CJ389*CI389+CJ390*CI390+CJ391*CI391+CJ392*CI392+CJ393*CI393+CJ394*CI394+CJ395*CI395+CJ396*CI396)</f>
        <v>11.069086686879968</v>
      </c>
      <c r="CK397" s="4">
        <f>1/Base[[#This Row],['[Prod']'[Turnover']DMC_initiale]]</f>
        <v>9.0909090909090912E-2</v>
      </c>
      <c r="CL397" s="4">
        <f>1/Base[[#This Row],['[Prod']'[Turnover']DMC_finale]]</f>
        <v>9.0341690176235209E-2</v>
      </c>
    </row>
    <row r="398" spans="2:90" x14ac:dyDescent="0.25">
      <c r="B398" s="4" t="s">
        <v>318</v>
      </c>
      <c r="C398">
        <v>15</v>
      </c>
      <c r="D398" t="s">
        <v>83</v>
      </c>
      <c r="E398" t="s">
        <v>12</v>
      </c>
      <c r="F398" s="3">
        <v>0.46956247854973554</v>
      </c>
      <c r="G398" s="3">
        <v>0.1079</v>
      </c>
      <c r="H398" s="3">
        <v>0.1079</v>
      </c>
      <c r="I398" s="3">
        <v>7.6499999999999999E-2</v>
      </c>
      <c r="J398" s="3">
        <v>7.67629534616262</v>
      </c>
      <c r="K398" s="3">
        <v>7.0000000000000007E-2</v>
      </c>
      <c r="L398" s="2">
        <f>Base[[#This Row],[Coût]]*Base[[#This Row],[Part_ménages_dépenses_santé]]</f>
        <v>0.53734067423138343</v>
      </c>
      <c r="M398" s="2">
        <v>0.82690611956969029</v>
      </c>
      <c r="N398" s="6">
        <v>27700000</v>
      </c>
      <c r="O398" s="7">
        <f>Base[[#This Row],[Coût_salarié]]*10^9*Base[[#This Row],[Risque]]*Base[[#This Row],[Prévalence]]*Base[[#This Row],[Part_coûts_salarié]]/Base[[#This Row],[Population_emploi]]</f>
        <v>0.81272006836148358</v>
      </c>
      <c r="P398">
        <v>50</v>
      </c>
      <c r="Q398">
        <v>50</v>
      </c>
      <c r="R398" s="2">
        <v>9.9999999999999978E-2</v>
      </c>
      <c r="S398" s="2">
        <v>0.33340000000000003</v>
      </c>
      <c r="T398" s="4">
        <v>0.1079</v>
      </c>
      <c r="U398" s="4">
        <f>IF(Bases_annexes!$F$5=0,16.6587111018772,0.77*Bases_annexes!$F$5/(IF(OR(ISBLANK('Données_d''entrée'!$E$44),'Données_d''entrée'!$E$44=0),35,'Données_d''entrée'!$E$44)*52))</f>
        <v>16.658711101877199</v>
      </c>
      <c r="V398" s="4">
        <v>4.25</v>
      </c>
      <c r="W3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398" s="4">
        <v>234.5</v>
      </c>
      <c r="Y398" s="4">
        <f>(Base[[#This Row],['[Maladies']Coûts_évités_par_salarié]]+Base[[#This Row],['[Travail']Coûts_évités_par_salarié]])/Base[[#This Row],[Budget_santé_salarié]]</f>
        <v>8.2199598851030176E-2</v>
      </c>
      <c r="Z398" s="4">
        <v>0.8</v>
      </c>
      <c r="AA398" s="4">
        <f>Base[[#This Row],[Coût]]*Base[[#This Row],[Part_société_dépenses_santé]]</f>
        <v>6.1410362769300963</v>
      </c>
      <c r="AB398" s="4">
        <v>67635124</v>
      </c>
      <c r="AC398" s="4">
        <v>82.297079063317852</v>
      </c>
      <c r="AD398" s="4">
        <v>0.1079</v>
      </c>
      <c r="AE398" s="4">
        <f>Base[[#This Row],['[SC']Prévalence_travail]]*Base[[#This Row],[Population_emploi]]</f>
        <v>2988830</v>
      </c>
      <c r="AF398" s="4">
        <f>Base[[#This Row],[Risque]]*Base[[#This Row],['[SC']Patients_en_emploi]]</f>
        <v>1403442.4227638061</v>
      </c>
      <c r="AG398" s="4">
        <v>0</v>
      </c>
      <c r="AH398" s="4">
        <f>IFERROR(Base[[#This Row],['[SC']Prestations]]/Base[[#This Row],['[SC']Patients_en_emploi]],0)</f>
        <v>0</v>
      </c>
      <c r="AI398" s="4">
        <v>51.7</v>
      </c>
      <c r="AJ3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398" s="4">
        <f>Base[[#This Row],['[SC']'[Travail']Coûts_évités]]/Base[[#This Row],[Population_emploi]]</f>
        <v>3.2742767715202512</v>
      </c>
      <c r="AL398" s="4">
        <f>Base[[#This Row],[Coût_société]]*10^9*Base[[#This Row],[Risque]]*Base[[#This Row],[Prévalence]]*Base[[#This Row],[Part_coûts_salarié]]/Base[[#This Row],[Population_emploi]]</f>
        <v>9.2882293527026718</v>
      </c>
      <c r="AM398" s="4">
        <f>IF(Base[[#This Row],[Pathologie]]&lt;&gt;"Dépendance",0,14909.24243952)</f>
        <v>0</v>
      </c>
      <c r="AN398" s="4">
        <f>IF(Base[[#This Row],[Pathologie]]&lt;&gt;"Dépendance",0,1316000)</f>
        <v>0</v>
      </c>
      <c r="AO398" s="4">
        <f>IF(Base[[#This Row],[Pathologie]]&lt;&gt;"Dépendance",0,Base[[#This Row],['[SC']Coût_personne_dépendante]]*Base[[#This Row],['[SC']Nb_personnes_dépendantes]])</f>
        <v>0</v>
      </c>
      <c r="AP398" s="4">
        <f>IF(Base[[#This Row],[Pathologie]]&lt;&gt;"Dépendance",0,Base[[#This Row],['[SC']Coût_total_dépendance]]/Base[[#This Row],[Population_totale]])</f>
        <v>0</v>
      </c>
      <c r="AQ398" s="4">
        <f>IF(Base[[#This Row],[Pathologie]]&lt;&gt;"Dépendance",0,4.5)</f>
        <v>0</v>
      </c>
      <c r="AR398" s="4">
        <v>0.83987615528424797</v>
      </c>
      <c r="AS398" s="4">
        <f>Base[[#This Row],[Espérance_vie]]+Base[[#This Row],['[SC']Hausse_esp_de_vie]]-Base[[#This Row],['[SC']Durée_moyenne_dépendance_avt]]+Base[[#This Row],[Risque]]</f>
        <v>83.60651769715183</v>
      </c>
      <c r="AT3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8" s="4">
        <v>62.9</v>
      </c>
      <c r="AW398" s="4">
        <f t="shared" si="8"/>
        <v>336905600000</v>
      </c>
      <c r="AX398" s="4">
        <v>15049171</v>
      </c>
      <c r="AY398" s="4">
        <f>Base[[#This Row],['[SC']Budget_total_retraites]]/Base[[#This Row],['[SC']Nombre_de_retraités]]</f>
        <v>22386.987296509556</v>
      </c>
      <c r="AZ398" s="4">
        <f>Base[[#This Row],['[SC']Budget_par_retraité]]*Base[[#This Row],['[SC']Nb_personnes_dépendantes]]</f>
        <v>0</v>
      </c>
      <c r="BA398" s="4">
        <f>Base[[#This Row],['[SC']'[Dépendance']Coût_retraite_personnes_dépendantes]]/Base[[#This Row],[Population_totale]]</f>
        <v>0</v>
      </c>
      <c r="BB39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8" s="4">
        <f>Base[[#This Row],['[SC']'[Dépendance']Gains]]-Base[[#This Row],['[SC']'[Dépendance']Coûts]]</f>
        <v>0</v>
      </c>
      <c r="BD398" s="4">
        <f>IF(Base[[#This Row],[Pathologie]]&lt;&gt;"Mort prématurée",0,Base[[#This Row],[Risque]]*Base[[#This Row],[Prévalence]]*Base[[#This Row],[Population_totale]])</f>
        <v>0</v>
      </c>
      <c r="BE398" s="4">
        <v>52.74</v>
      </c>
      <c r="BF398" s="4">
        <f>Base[[#This Row],['[SC']Âge_moyen_retraite]]-Base[[#This Row],['[SC']'[Mort_prématurée']Âge_moyen_mort précoce]]</f>
        <v>10.159999999999997</v>
      </c>
      <c r="BG398" s="4">
        <f>Base[[#This Row],[Espérance_vie]]+Base[[#This Row],['[SC']Hausse_esp_de_vie]]-Base[[#This Row],['[SC']Âge_moyen_retraite]]</f>
        <v>20.236955218602098</v>
      </c>
      <c r="BH398" s="4">
        <v>106583.42676924677</v>
      </c>
      <c r="BI398" s="4">
        <v>97601.789429271477</v>
      </c>
      <c r="BJ398" s="4">
        <v>302038.31496633729</v>
      </c>
      <c r="BK398" s="4">
        <v>117293.58934859755</v>
      </c>
      <c r="BL398" s="4">
        <v>1523999.9999999995</v>
      </c>
      <c r="BM3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8" s="4">
        <v>294804.96027377353</v>
      </c>
      <c r="BO3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8" s="4">
        <f>(Base[[#This Row],['[SC']'[Mort_prématurée']Gains]]-Base[[#This Row],['[SC']'[Mort_prématurée']Coûts]])/Base[[#This Row],[Population_totale]]</f>
        <v>0</v>
      </c>
      <c r="BQ398" s="4">
        <f>IF(Base[[#This Row],[Pathologie]]&lt;&gt;"Mort prématurée",0,Base[[#This Row],[Risque]])</f>
        <v>0</v>
      </c>
      <c r="BR398" s="4">
        <v>2680</v>
      </c>
      <c r="BS3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3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398" s="4">
        <f>Base[[#This Row],[Prévalence_prod]]*(1-Base[[#This Row],[Risque]])*Base[[#This Row],[Durée_arrêt]]*Base[[#This Row],[Population_emploi]]</f>
        <v>6737897.2032538243</v>
      </c>
      <c r="BV398" s="4">
        <f>Base[[#This Row],['[Prod']'[Absentéisme']Total_jours_absence_avant]]-Base[[#This Row],['[Prod']'[Absentéisme']Total_jours_absence_après]]</f>
        <v>5964630.2967461739</v>
      </c>
      <c r="BW398" s="4">
        <f>IF(AND(Base[[#This Row],[Pathologie]]&lt;&gt;"Dépendance",Base[[#This Row],[Pathologie]]&lt;&gt;"Mort prématurée",Base[[#This Row],[Pathologie]]&lt;&gt;"Migraine"),0.0619,0)</f>
        <v>6.1899999999999997E-2</v>
      </c>
      <c r="BX398" s="4">
        <v>254</v>
      </c>
      <c r="BY398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398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398" s="4">
        <f>Base[[#This Row],[Prévalence_prod]]*Base[[#This Row],[Présentéisme]]*Base[[#This Row],['[Prod']Jours_ouvrés]]</f>
        <v>2.0966048999999995</v>
      </c>
      <c r="CB398" s="4">
        <f>Base[[#This Row],[Prévalence_prod]]*(1-Base[[#This Row],[Risque]])*Base[[#This Row],[Présentéisme]]*Base[[#This Row],['[Prod']Jours_ouvrés]]</f>
        <v>1.1121179066164795</v>
      </c>
      <c r="CC398" s="4">
        <f>Base[[#This Row],['[Prod']'[Présentéisme']Jours_avant]]-Base[[#This Row],['[Prod']'[Présentéisme']Jours_après]]</f>
        <v>0.98448699338352008</v>
      </c>
      <c r="CD398" s="4">
        <f>Base[[#This Row],['[Prod']'[Présentéisme']Jours_gagnés]]/Base[[#This Row],['[Prod']Jours_ouvrés]]</f>
        <v>3.875933044817008E-3</v>
      </c>
      <c r="CE398">
        <v>7.5880726467531134E-2</v>
      </c>
      <c r="CF398">
        <v>1.989821358241517E-2</v>
      </c>
      <c r="CG398" s="4">
        <v>11</v>
      </c>
      <c r="CH398" s="4">
        <v>1.1688035738877327</v>
      </c>
      <c r="CI398" s="4">
        <v>9.6557438521367826E-3</v>
      </c>
      <c r="CJ398" s="4">
        <f>IF(Base[[#This Row],[Secteur]]&lt;&gt;"Moyenne",Base[[#This Row],['[Prod']'[Turnover']DMC_initiale]]*(1+Base[[#This Row],['[Prod']'[Turnover']Ecart_accidents]]*Base[[#This Row],['[Prod']Impact_motifs_turnover]]),CJ381*CI381+CJ382*CI382+CJ383*CI383+CJ384*CI384+CJ385*CI385+CJ386*CI386+CJ387*CI387+CJ388*CI388+CJ389*CI389+CJ390*CI390+CJ391*CI391+CJ392*CI392+CJ393*CI393+CJ394*CI394+CJ395*CI395+CJ396*CI396+CJ397*CI397)</f>
        <v>11.25582813464019</v>
      </c>
      <c r="CK398" s="4">
        <f>1/Base[[#This Row],['[Prod']'[Turnover']DMC_initiale]]</f>
        <v>9.0909090909090912E-2</v>
      </c>
      <c r="CL398" s="4">
        <f>1/Base[[#This Row],['[Prod']'[Turnover']DMC_finale]]</f>
        <v>8.8842863273868436E-2</v>
      </c>
    </row>
    <row r="399" spans="2:90" x14ac:dyDescent="0.25">
      <c r="B399" s="4" t="s">
        <v>319</v>
      </c>
      <c r="C399">
        <v>15</v>
      </c>
      <c r="D399" t="s">
        <v>83</v>
      </c>
      <c r="E399" t="s">
        <v>12</v>
      </c>
      <c r="F399" s="3">
        <v>0.46956247854973554</v>
      </c>
      <c r="G399" s="3">
        <v>0.1079</v>
      </c>
      <c r="H399" s="3">
        <v>0.1079</v>
      </c>
      <c r="I399" s="3">
        <v>7.6499999999999999E-2</v>
      </c>
      <c r="J399" s="3">
        <v>7.67629534616262</v>
      </c>
      <c r="K399" s="3">
        <v>7.0000000000000007E-2</v>
      </c>
      <c r="L399" s="2">
        <f>Base[[#This Row],[Coût]]*Base[[#This Row],[Part_ménages_dépenses_santé]]</f>
        <v>0.53734067423138343</v>
      </c>
      <c r="M399" s="2">
        <v>0.82690611956969029</v>
      </c>
      <c r="N399" s="6">
        <v>27700000</v>
      </c>
      <c r="O399" s="7">
        <f>Base[[#This Row],[Coût_salarié]]*10^9*Base[[#This Row],[Risque]]*Base[[#This Row],[Prévalence]]*Base[[#This Row],[Part_coûts_salarié]]/Base[[#This Row],[Population_emploi]]</f>
        <v>0.81272006836148358</v>
      </c>
      <c r="P399">
        <v>50</v>
      </c>
      <c r="Q399">
        <v>50</v>
      </c>
      <c r="R399" s="2">
        <v>9.9999999999999978E-2</v>
      </c>
      <c r="S399" s="2">
        <v>0.33340000000000003</v>
      </c>
      <c r="T399" s="4">
        <v>0.1079</v>
      </c>
      <c r="U399" s="4">
        <f>IF(Bases_annexes!$F$5=0,16.6587111018772,0.77*Bases_annexes!$F$5/(IF(OR(ISBLANK('Données_d''entrée'!$E$44),'Données_d''entrée'!$E$44=0),35,'Données_d''entrée'!$E$44)*52))</f>
        <v>16.658711101877199</v>
      </c>
      <c r="V399" s="4">
        <v>4.25</v>
      </c>
      <c r="W3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399" s="4">
        <v>234.5</v>
      </c>
      <c r="Y399" s="4">
        <f>(Base[[#This Row],['[Maladies']Coûts_évités_par_salarié]]+Base[[#This Row],['[Travail']Coûts_évités_par_salarié]])/Base[[#This Row],[Budget_santé_salarié]]</f>
        <v>8.2199598851030176E-2</v>
      </c>
      <c r="Z399" s="4">
        <v>0.8</v>
      </c>
      <c r="AA399" s="4">
        <f>Base[[#This Row],[Coût]]*Base[[#This Row],[Part_société_dépenses_santé]]</f>
        <v>6.1410362769300963</v>
      </c>
      <c r="AB399" s="4">
        <v>67635124</v>
      </c>
      <c r="AC399" s="4">
        <v>82.297079063317852</v>
      </c>
      <c r="AD399" s="4">
        <v>0.1079</v>
      </c>
      <c r="AE399" s="4">
        <f>Base[[#This Row],['[SC']Prévalence_travail]]*Base[[#This Row],[Population_emploi]]</f>
        <v>2988830</v>
      </c>
      <c r="AF399" s="4">
        <f>Base[[#This Row],[Risque]]*Base[[#This Row],['[SC']Patients_en_emploi]]</f>
        <v>1403442.4227638061</v>
      </c>
      <c r="AG399" s="4">
        <v>0</v>
      </c>
      <c r="AH399" s="4">
        <f>IFERROR(Base[[#This Row],['[SC']Prestations]]/Base[[#This Row],['[SC']Patients_en_emploi]],0)</f>
        <v>0</v>
      </c>
      <c r="AI399" s="4">
        <v>51.7</v>
      </c>
      <c r="AJ3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399" s="4">
        <f>Base[[#This Row],['[SC']'[Travail']Coûts_évités]]/Base[[#This Row],[Population_emploi]]</f>
        <v>3.2742767715202512</v>
      </c>
      <c r="AL399" s="4">
        <f>Base[[#This Row],[Coût_société]]*10^9*Base[[#This Row],[Risque]]*Base[[#This Row],[Prévalence]]*Base[[#This Row],[Part_coûts_salarié]]/Base[[#This Row],[Population_emploi]]</f>
        <v>9.2882293527026718</v>
      </c>
      <c r="AM399" s="4">
        <f>IF(Base[[#This Row],[Pathologie]]&lt;&gt;"Dépendance",0,14909.24243952)</f>
        <v>0</v>
      </c>
      <c r="AN399" s="4">
        <f>IF(Base[[#This Row],[Pathologie]]&lt;&gt;"Dépendance",0,1316000)</f>
        <v>0</v>
      </c>
      <c r="AO399" s="4">
        <f>IF(Base[[#This Row],[Pathologie]]&lt;&gt;"Dépendance",0,Base[[#This Row],['[SC']Coût_personne_dépendante]]*Base[[#This Row],['[SC']Nb_personnes_dépendantes]])</f>
        <v>0</v>
      </c>
      <c r="AP399" s="4">
        <f>IF(Base[[#This Row],[Pathologie]]&lt;&gt;"Dépendance",0,Base[[#This Row],['[SC']Coût_total_dépendance]]/Base[[#This Row],[Population_totale]])</f>
        <v>0</v>
      </c>
      <c r="AQ399" s="4">
        <f>IF(Base[[#This Row],[Pathologie]]&lt;&gt;"Dépendance",0,4.5)</f>
        <v>0</v>
      </c>
      <c r="AR399" s="4">
        <v>0.83987615528424797</v>
      </c>
      <c r="AS399" s="4">
        <f>Base[[#This Row],[Espérance_vie]]+Base[[#This Row],['[SC']Hausse_esp_de_vie]]-Base[[#This Row],['[SC']Durée_moyenne_dépendance_avt]]+Base[[#This Row],[Risque]]</f>
        <v>83.60651769715183</v>
      </c>
      <c r="AT3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3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399" s="4">
        <v>62.9</v>
      </c>
      <c r="AW399" s="4">
        <f t="shared" si="8"/>
        <v>336905600000</v>
      </c>
      <c r="AX399" s="4">
        <v>15049171</v>
      </c>
      <c r="AY399" s="4">
        <f>Base[[#This Row],['[SC']Budget_total_retraites]]/Base[[#This Row],['[SC']Nombre_de_retraités]]</f>
        <v>22386.987296509556</v>
      </c>
      <c r="AZ399" s="4">
        <f>Base[[#This Row],['[SC']Budget_par_retraité]]*Base[[#This Row],['[SC']Nb_personnes_dépendantes]]</f>
        <v>0</v>
      </c>
      <c r="BA399" s="4">
        <f>Base[[#This Row],['[SC']'[Dépendance']Coût_retraite_personnes_dépendantes]]/Base[[#This Row],[Population_totale]]</f>
        <v>0</v>
      </c>
      <c r="BB39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399" s="4">
        <f>Base[[#This Row],['[SC']'[Dépendance']Gains]]-Base[[#This Row],['[SC']'[Dépendance']Coûts]]</f>
        <v>0</v>
      </c>
      <c r="BD399" s="4">
        <f>IF(Base[[#This Row],[Pathologie]]&lt;&gt;"Mort prématurée",0,Base[[#This Row],[Risque]]*Base[[#This Row],[Prévalence]]*Base[[#This Row],[Population_totale]])</f>
        <v>0</v>
      </c>
      <c r="BE399" s="4">
        <v>52.74</v>
      </c>
      <c r="BF399" s="4">
        <f>Base[[#This Row],['[SC']Âge_moyen_retraite]]-Base[[#This Row],['[SC']'[Mort_prématurée']Âge_moyen_mort précoce]]</f>
        <v>10.159999999999997</v>
      </c>
      <c r="BG399" s="4">
        <f>Base[[#This Row],[Espérance_vie]]+Base[[#This Row],['[SC']Hausse_esp_de_vie]]-Base[[#This Row],['[SC']Âge_moyen_retraite]]</f>
        <v>20.236955218602098</v>
      </c>
      <c r="BH399" s="4">
        <v>106583.42676924677</v>
      </c>
      <c r="BI399" s="4">
        <v>97601.789429271477</v>
      </c>
      <c r="BJ399" s="4">
        <v>302038.31496633729</v>
      </c>
      <c r="BK399" s="4">
        <v>117293.58934859755</v>
      </c>
      <c r="BL399" s="4">
        <v>1523999.9999999995</v>
      </c>
      <c r="BM3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399" s="4">
        <v>294804.96027377353</v>
      </c>
      <c r="BO3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399" s="4">
        <f>(Base[[#This Row],['[SC']'[Mort_prématurée']Gains]]-Base[[#This Row],['[SC']'[Mort_prématurée']Coûts]])/Base[[#This Row],[Population_totale]]</f>
        <v>0</v>
      </c>
      <c r="BQ399" s="4">
        <f>IF(Base[[#This Row],[Pathologie]]&lt;&gt;"Mort prématurée",0,Base[[#This Row],[Risque]])</f>
        <v>0</v>
      </c>
      <c r="BR399" s="4">
        <v>2680</v>
      </c>
      <c r="BS3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3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399" s="4">
        <f>Base[[#This Row],[Prévalence_prod]]*(1-Base[[#This Row],[Risque]])*Base[[#This Row],[Durée_arrêt]]*Base[[#This Row],[Population_emploi]]</f>
        <v>6737897.2032538243</v>
      </c>
      <c r="BV399" s="4">
        <f>Base[[#This Row],['[Prod']'[Absentéisme']Total_jours_absence_avant]]-Base[[#This Row],['[Prod']'[Absentéisme']Total_jours_absence_après]]</f>
        <v>5964630.2967461739</v>
      </c>
      <c r="BW399" s="4">
        <f>IF(AND(Base[[#This Row],[Pathologie]]&lt;&gt;"Dépendance",Base[[#This Row],[Pathologie]]&lt;&gt;"Mort prématurée",Base[[#This Row],[Pathologie]]&lt;&gt;"Migraine"),0.0619,0)</f>
        <v>6.1899999999999997E-2</v>
      </c>
      <c r="BX399" s="4">
        <v>254</v>
      </c>
      <c r="BY399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399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399" s="4">
        <f>Base[[#This Row],[Prévalence_prod]]*Base[[#This Row],[Présentéisme]]*Base[[#This Row],['[Prod']Jours_ouvrés]]</f>
        <v>2.0966048999999995</v>
      </c>
      <c r="CB399" s="4">
        <f>Base[[#This Row],[Prévalence_prod]]*(1-Base[[#This Row],[Risque]])*Base[[#This Row],[Présentéisme]]*Base[[#This Row],['[Prod']Jours_ouvrés]]</f>
        <v>1.1121179066164795</v>
      </c>
      <c r="CC399" s="4">
        <f>Base[[#This Row],['[Prod']'[Présentéisme']Jours_avant]]-Base[[#This Row],['[Prod']'[Présentéisme']Jours_après]]</f>
        <v>0.98448699338352008</v>
      </c>
      <c r="CD399" s="4">
        <f>Base[[#This Row],['[Prod']'[Présentéisme']Jours_gagnés]]/Base[[#This Row],['[Prod']Jours_ouvrés]]</f>
        <v>3.875933044817008E-3</v>
      </c>
      <c r="CE399">
        <v>7.5880726467531134E-2</v>
      </c>
      <c r="CF399">
        <v>1.989821358241517E-2</v>
      </c>
      <c r="CG399" s="4">
        <v>11</v>
      </c>
      <c r="CH399" s="4">
        <v>0.52204401140486179</v>
      </c>
      <c r="CI399" s="4">
        <v>1.2443904150185675E-2</v>
      </c>
      <c r="CJ399" s="4">
        <f>IF(Base[[#This Row],[Secteur]]&lt;&gt;"Moyenne",Base[[#This Row],['[Prod']'[Turnover']DMC_initiale]]*(1+Base[[#This Row],['[Prod']'[Turnover']Ecart_accidents]]*Base[[#This Row],['[Prod']Impact_motifs_turnover]]),CJ382*CI382+CJ383*CI383+CJ384*CI384+CJ385*CI385+CJ386*CI386+CJ387*CI387+CJ388*CI388+CJ389*CI389+CJ390*CI390+CJ391*CI391+CJ392*CI392+CJ393*CI393+CJ394*CI394+CJ395*CI395+CJ396*CI396+CJ397*CI397+CJ398*CI398)</f>
        <v>11.114265175621902</v>
      </c>
      <c r="CK399" s="4">
        <f>1/Base[[#This Row],['[Prod']'[Turnover']DMC_initiale]]</f>
        <v>9.0909090909090912E-2</v>
      </c>
      <c r="CL399" s="4">
        <f>1/Base[[#This Row],['[Prod']'[Turnover']DMC_finale]]</f>
        <v>8.9974459327586145E-2</v>
      </c>
    </row>
    <row r="400" spans="2:90" x14ac:dyDescent="0.25">
      <c r="B400" s="4" t="s">
        <v>320</v>
      </c>
      <c r="C400">
        <v>15</v>
      </c>
      <c r="D400" t="s">
        <v>83</v>
      </c>
      <c r="E400" t="s">
        <v>12</v>
      </c>
      <c r="F400" s="3">
        <v>0.46956247854973554</v>
      </c>
      <c r="G400" s="3">
        <v>0.1079</v>
      </c>
      <c r="H400" s="3">
        <v>0.1079</v>
      </c>
      <c r="I400" s="3">
        <v>7.6499999999999999E-2</v>
      </c>
      <c r="J400" s="3">
        <v>7.67629534616262</v>
      </c>
      <c r="K400" s="3">
        <v>7.0000000000000007E-2</v>
      </c>
      <c r="L400" s="2">
        <f>Base[[#This Row],[Coût]]*Base[[#This Row],[Part_ménages_dépenses_santé]]</f>
        <v>0.53734067423138343</v>
      </c>
      <c r="M400" s="2">
        <v>0.82690611956969029</v>
      </c>
      <c r="N400" s="6">
        <v>27700000</v>
      </c>
      <c r="O400" s="7">
        <f>Base[[#This Row],[Coût_salarié]]*10^9*Base[[#This Row],[Risque]]*Base[[#This Row],[Prévalence]]*Base[[#This Row],[Part_coûts_salarié]]/Base[[#This Row],[Population_emploi]]</f>
        <v>0.81272006836148358</v>
      </c>
      <c r="P400">
        <v>50</v>
      </c>
      <c r="Q400">
        <v>50</v>
      </c>
      <c r="R400" s="2">
        <v>9.9999999999999978E-2</v>
      </c>
      <c r="S400" s="2">
        <v>0.33340000000000003</v>
      </c>
      <c r="T400" s="4">
        <v>0.1079</v>
      </c>
      <c r="U400" s="4">
        <f>IF(Bases_annexes!$F$5=0,16.6587111018772,0.77*Bases_annexes!$F$5/(IF(OR(ISBLANK('Données_d''entrée'!$E$44),'Données_d''entrée'!$E$44=0),35,'Données_d''entrée'!$E$44)*52))</f>
        <v>16.658711101877199</v>
      </c>
      <c r="V400" s="4">
        <v>4.25</v>
      </c>
      <c r="W4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0" s="4">
        <v>234.5</v>
      </c>
      <c r="Y400" s="4">
        <f>(Base[[#This Row],['[Maladies']Coûts_évités_par_salarié]]+Base[[#This Row],['[Travail']Coûts_évités_par_salarié]])/Base[[#This Row],[Budget_santé_salarié]]</f>
        <v>8.2199598851030176E-2</v>
      </c>
      <c r="Z400" s="4">
        <v>0.8</v>
      </c>
      <c r="AA400" s="4">
        <f>Base[[#This Row],[Coût]]*Base[[#This Row],[Part_société_dépenses_santé]]</f>
        <v>6.1410362769300963</v>
      </c>
      <c r="AB400" s="4">
        <v>67635124</v>
      </c>
      <c r="AC400" s="4">
        <v>82.297079063317852</v>
      </c>
      <c r="AD400" s="4">
        <v>0.1079</v>
      </c>
      <c r="AE400" s="4">
        <f>Base[[#This Row],['[SC']Prévalence_travail]]*Base[[#This Row],[Population_emploi]]</f>
        <v>2988830</v>
      </c>
      <c r="AF400" s="4">
        <f>Base[[#This Row],[Risque]]*Base[[#This Row],['[SC']Patients_en_emploi]]</f>
        <v>1403442.4227638061</v>
      </c>
      <c r="AG400" s="4">
        <v>0</v>
      </c>
      <c r="AH400" s="4">
        <f>IFERROR(Base[[#This Row],['[SC']Prestations]]/Base[[#This Row],['[SC']Patients_en_emploi]],0)</f>
        <v>0</v>
      </c>
      <c r="AI400" s="4">
        <v>51.7</v>
      </c>
      <c r="AJ4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0" s="4">
        <f>Base[[#This Row],['[SC']'[Travail']Coûts_évités]]/Base[[#This Row],[Population_emploi]]</f>
        <v>3.2742767715202512</v>
      </c>
      <c r="AL400" s="4">
        <f>Base[[#This Row],[Coût_société]]*10^9*Base[[#This Row],[Risque]]*Base[[#This Row],[Prévalence]]*Base[[#This Row],[Part_coûts_salarié]]/Base[[#This Row],[Population_emploi]]</f>
        <v>9.2882293527026718</v>
      </c>
      <c r="AM400" s="4">
        <f>IF(Base[[#This Row],[Pathologie]]&lt;&gt;"Dépendance",0,14909.24243952)</f>
        <v>0</v>
      </c>
      <c r="AN400" s="4">
        <f>IF(Base[[#This Row],[Pathologie]]&lt;&gt;"Dépendance",0,1316000)</f>
        <v>0</v>
      </c>
      <c r="AO400" s="4">
        <f>IF(Base[[#This Row],[Pathologie]]&lt;&gt;"Dépendance",0,Base[[#This Row],['[SC']Coût_personne_dépendante]]*Base[[#This Row],['[SC']Nb_personnes_dépendantes]])</f>
        <v>0</v>
      </c>
      <c r="AP400" s="4">
        <f>IF(Base[[#This Row],[Pathologie]]&lt;&gt;"Dépendance",0,Base[[#This Row],['[SC']Coût_total_dépendance]]/Base[[#This Row],[Population_totale]])</f>
        <v>0</v>
      </c>
      <c r="AQ400" s="4">
        <f>IF(Base[[#This Row],[Pathologie]]&lt;&gt;"Dépendance",0,4.5)</f>
        <v>0</v>
      </c>
      <c r="AR400" s="4">
        <v>0.83987615528424797</v>
      </c>
      <c r="AS400" s="4">
        <f>Base[[#This Row],[Espérance_vie]]+Base[[#This Row],['[SC']Hausse_esp_de_vie]]-Base[[#This Row],['[SC']Durée_moyenne_dépendance_avt]]+Base[[#This Row],[Risque]]</f>
        <v>83.60651769715183</v>
      </c>
      <c r="AT4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0" s="4">
        <v>62.9</v>
      </c>
      <c r="AW400" s="4">
        <f t="shared" si="8"/>
        <v>336905600000</v>
      </c>
      <c r="AX400" s="4">
        <v>15049171</v>
      </c>
      <c r="AY400" s="4">
        <f>Base[[#This Row],['[SC']Budget_total_retraites]]/Base[[#This Row],['[SC']Nombre_de_retraités]]</f>
        <v>22386.987296509556</v>
      </c>
      <c r="AZ400" s="4">
        <f>Base[[#This Row],['[SC']Budget_par_retraité]]*Base[[#This Row],['[SC']Nb_personnes_dépendantes]]</f>
        <v>0</v>
      </c>
      <c r="BA400" s="4">
        <f>Base[[#This Row],['[SC']'[Dépendance']Coût_retraite_personnes_dépendantes]]/Base[[#This Row],[Population_totale]]</f>
        <v>0</v>
      </c>
      <c r="BB40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0" s="4">
        <f>Base[[#This Row],['[SC']'[Dépendance']Gains]]-Base[[#This Row],['[SC']'[Dépendance']Coûts]]</f>
        <v>0</v>
      </c>
      <c r="BD400" s="4">
        <f>IF(Base[[#This Row],[Pathologie]]&lt;&gt;"Mort prématurée",0,Base[[#This Row],[Risque]]*Base[[#This Row],[Prévalence]]*Base[[#This Row],[Population_totale]])</f>
        <v>0</v>
      </c>
      <c r="BE400" s="4">
        <v>52.74</v>
      </c>
      <c r="BF400" s="4">
        <f>Base[[#This Row],['[SC']Âge_moyen_retraite]]-Base[[#This Row],['[SC']'[Mort_prématurée']Âge_moyen_mort précoce]]</f>
        <v>10.159999999999997</v>
      </c>
      <c r="BG400" s="4">
        <f>Base[[#This Row],[Espérance_vie]]+Base[[#This Row],['[SC']Hausse_esp_de_vie]]-Base[[#This Row],['[SC']Âge_moyen_retraite]]</f>
        <v>20.236955218602098</v>
      </c>
      <c r="BH400" s="4">
        <v>106583.42676924677</v>
      </c>
      <c r="BI400" s="4">
        <v>97601.789429271477</v>
      </c>
      <c r="BJ400" s="4">
        <v>302038.31496633729</v>
      </c>
      <c r="BK400" s="4">
        <v>117293.58934859755</v>
      </c>
      <c r="BL400" s="4">
        <v>1523999.9999999995</v>
      </c>
      <c r="BM4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0" s="4">
        <v>294804.96027377353</v>
      </c>
      <c r="BO4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0" s="4">
        <f>(Base[[#This Row],['[SC']'[Mort_prématurée']Gains]]-Base[[#This Row],['[SC']'[Mort_prématurée']Coûts]])/Base[[#This Row],[Population_totale]]</f>
        <v>0</v>
      </c>
      <c r="BQ400" s="4">
        <f>IF(Base[[#This Row],[Pathologie]]&lt;&gt;"Mort prématurée",0,Base[[#This Row],[Risque]])</f>
        <v>0</v>
      </c>
      <c r="BR400" s="4">
        <v>2680</v>
      </c>
      <c r="BS4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0" s="4">
        <f>Base[[#This Row],[Prévalence_prod]]*(1-Base[[#This Row],[Risque]])*Base[[#This Row],[Durée_arrêt]]*Base[[#This Row],[Population_emploi]]</f>
        <v>6737897.2032538243</v>
      </c>
      <c r="BV400" s="4">
        <f>Base[[#This Row],['[Prod']'[Absentéisme']Total_jours_absence_avant]]-Base[[#This Row],['[Prod']'[Absentéisme']Total_jours_absence_après]]</f>
        <v>5964630.2967461739</v>
      </c>
      <c r="BW400" s="4">
        <f>IF(AND(Base[[#This Row],[Pathologie]]&lt;&gt;"Dépendance",Base[[#This Row],[Pathologie]]&lt;&gt;"Mort prématurée",Base[[#This Row],[Pathologie]]&lt;&gt;"Migraine"),0.0619,0)</f>
        <v>6.1899999999999997E-2</v>
      </c>
      <c r="BX400" s="4">
        <v>254</v>
      </c>
      <c r="BY400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0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0" s="4">
        <f>Base[[#This Row],[Prévalence_prod]]*Base[[#This Row],[Présentéisme]]*Base[[#This Row],['[Prod']Jours_ouvrés]]</f>
        <v>2.0966048999999995</v>
      </c>
      <c r="CB400" s="4">
        <f>Base[[#This Row],[Prévalence_prod]]*(1-Base[[#This Row],[Risque]])*Base[[#This Row],[Présentéisme]]*Base[[#This Row],['[Prod']Jours_ouvrés]]</f>
        <v>1.1121179066164795</v>
      </c>
      <c r="CC400" s="4">
        <f>Base[[#This Row],['[Prod']'[Présentéisme']Jours_avant]]-Base[[#This Row],['[Prod']'[Présentéisme']Jours_après]]</f>
        <v>0.98448699338352008</v>
      </c>
      <c r="CD400" s="4">
        <f>Base[[#This Row],['[Prod']'[Présentéisme']Jours_gagnés]]/Base[[#This Row],['[Prod']Jours_ouvrés]]</f>
        <v>3.875933044817008E-3</v>
      </c>
      <c r="CE400">
        <v>7.5880726467531134E-2</v>
      </c>
      <c r="CF400">
        <v>1.989821358241517E-2</v>
      </c>
      <c r="CG400" s="4">
        <v>11</v>
      </c>
      <c r="CH400" s="4">
        <v>0.49446424657188709</v>
      </c>
      <c r="CI400" s="4">
        <v>1.0795805058605798E-2</v>
      </c>
      <c r="CJ400" s="4">
        <f>IF(Base[[#This Row],[Secteur]]&lt;&gt;"Moyenne",Base[[#This Row],['[Prod']'[Turnover']DMC_initiale]]*(1+Base[[#This Row],['[Prod']'[Turnover']Ecart_accidents]]*Base[[#This Row],['[Prod']Impact_motifs_turnover]]),CJ383*CI383+CJ384*CI384+CJ385*CI385+CJ386*CI386+CJ387*CI387+CJ388*CI388+CJ389*CI389+CJ390*CI390+CJ391*CI391+CJ392*CI392+CJ393*CI393+CJ394*CI394+CJ395*CI395+CJ396*CI396+CJ397*CI397+CJ398*CI398+CJ399*CI399)</f>
        <v>11.108228507058708</v>
      </c>
      <c r="CK400" s="4">
        <f>1/Base[[#This Row],['[Prod']'[Turnover']DMC_initiale]]</f>
        <v>9.0909090909090912E-2</v>
      </c>
      <c r="CL400" s="4">
        <f>1/Base[[#This Row],['[Prod']'[Turnover']DMC_finale]]</f>
        <v>9.0023355151953477E-2</v>
      </c>
    </row>
    <row r="401" spans="2:90" x14ac:dyDescent="0.25">
      <c r="B401" s="4" t="s">
        <v>321</v>
      </c>
      <c r="C401">
        <v>15</v>
      </c>
      <c r="D401" t="s">
        <v>83</v>
      </c>
      <c r="E401" t="s">
        <v>12</v>
      </c>
      <c r="F401" s="3">
        <v>0.46956247854973554</v>
      </c>
      <c r="G401" s="3">
        <v>0.1079</v>
      </c>
      <c r="H401" s="3">
        <v>0.1079</v>
      </c>
      <c r="I401" s="3">
        <v>7.6499999999999999E-2</v>
      </c>
      <c r="J401" s="3">
        <v>7.67629534616262</v>
      </c>
      <c r="K401" s="3">
        <v>7.0000000000000007E-2</v>
      </c>
      <c r="L401" s="2">
        <f>Base[[#This Row],[Coût]]*Base[[#This Row],[Part_ménages_dépenses_santé]]</f>
        <v>0.53734067423138343</v>
      </c>
      <c r="M401" s="2">
        <v>0.82690611956969029</v>
      </c>
      <c r="N401" s="6">
        <v>27700000</v>
      </c>
      <c r="O401" s="7">
        <f>Base[[#This Row],[Coût_salarié]]*10^9*Base[[#This Row],[Risque]]*Base[[#This Row],[Prévalence]]*Base[[#This Row],[Part_coûts_salarié]]/Base[[#This Row],[Population_emploi]]</f>
        <v>0.81272006836148358</v>
      </c>
      <c r="P401">
        <v>50</v>
      </c>
      <c r="Q401">
        <v>50</v>
      </c>
      <c r="R401" s="2">
        <v>9.9999999999999978E-2</v>
      </c>
      <c r="S401" s="2">
        <v>0.33340000000000003</v>
      </c>
      <c r="T401" s="4">
        <v>0.1079</v>
      </c>
      <c r="U401" s="4">
        <f>IF(Bases_annexes!$F$5=0,16.6587111018772,0.77*Bases_annexes!$F$5/(IF(OR(ISBLANK('Données_d''entrée'!$E$44),'Données_d''entrée'!$E$44=0),35,'Données_d''entrée'!$E$44)*52))</f>
        <v>16.658711101877199</v>
      </c>
      <c r="V401" s="4">
        <v>4.25</v>
      </c>
      <c r="W4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1" s="4">
        <v>234.5</v>
      </c>
      <c r="Y401" s="4">
        <f>(Base[[#This Row],['[Maladies']Coûts_évités_par_salarié]]+Base[[#This Row],['[Travail']Coûts_évités_par_salarié]])/Base[[#This Row],[Budget_santé_salarié]]</f>
        <v>8.2199598851030176E-2</v>
      </c>
      <c r="Z401" s="4">
        <v>0.8</v>
      </c>
      <c r="AA401" s="4">
        <f>Base[[#This Row],[Coût]]*Base[[#This Row],[Part_société_dépenses_santé]]</f>
        <v>6.1410362769300963</v>
      </c>
      <c r="AB401" s="4">
        <v>67635124</v>
      </c>
      <c r="AC401" s="4">
        <v>82.297079063317852</v>
      </c>
      <c r="AD401" s="4">
        <v>0.1079</v>
      </c>
      <c r="AE401" s="4">
        <f>Base[[#This Row],['[SC']Prévalence_travail]]*Base[[#This Row],[Population_emploi]]</f>
        <v>2988830</v>
      </c>
      <c r="AF401" s="4">
        <f>Base[[#This Row],[Risque]]*Base[[#This Row],['[SC']Patients_en_emploi]]</f>
        <v>1403442.4227638061</v>
      </c>
      <c r="AG401" s="4">
        <v>0</v>
      </c>
      <c r="AH401" s="4">
        <f>IFERROR(Base[[#This Row],['[SC']Prestations]]/Base[[#This Row],['[SC']Patients_en_emploi]],0)</f>
        <v>0</v>
      </c>
      <c r="AI401" s="4">
        <v>51.7</v>
      </c>
      <c r="AJ4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1" s="4">
        <f>Base[[#This Row],['[SC']'[Travail']Coûts_évités]]/Base[[#This Row],[Population_emploi]]</f>
        <v>3.2742767715202512</v>
      </c>
      <c r="AL401" s="4">
        <f>Base[[#This Row],[Coût_société]]*10^9*Base[[#This Row],[Risque]]*Base[[#This Row],[Prévalence]]*Base[[#This Row],[Part_coûts_salarié]]/Base[[#This Row],[Population_emploi]]</f>
        <v>9.2882293527026718</v>
      </c>
      <c r="AM401" s="4">
        <f>IF(Base[[#This Row],[Pathologie]]&lt;&gt;"Dépendance",0,14909.24243952)</f>
        <v>0</v>
      </c>
      <c r="AN401" s="4">
        <f>IF(Base[[#This Row],[Pathologie]]&lt;&gt;"Dépendance",0,1316000)</f>
        <v>0</v>
      </c>
      <c r="AO401" s="4">
        <f>IF(Base[[#This Row],[Pathologie]]&lt;&gt;"Dépendance",0,Base[[#This Row],['[SC']Coût_personne_dépendante]]*Base[[#This Row],['[SC']Nb_personnes_dépendantes]])</f>
        <v>0</v>
      </c>
      <c r="AP401" s="4">
        <f>IF(Base[[#This Row],[Pathologie]]&lt;&gt;"Dépendance",0,Base[[#This Row],['[SC']Coût_total_dépendance]]/Base[[#This Row],[Population_totale]])</f>
        <v>0</v>
      </c>
      <c r="AQ401" s="4">
        <f>IF(Base[[#This Row],[Pathologie]]&lt;&gt;"Dépendance",0,4.5)</f>
        <v>0</v>
      </c>
      <c r="AR401" s="4">
        <v>0.83987615528424797</v>
      </c>
      <c r="AS401" s="4">
        <f>Base[[#This Row],[Espérance_vie]]+Base[[#This Row],['[SC']Hausse_esp_de_vie]]-Base[[#This Row],['[SC']Durée_moyenne_dépendance_avt]]+Base[[#This Row],[Risque]]</f>
        <v>83.60651769715183</v>
      </c>
      <c r="AT4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1" s="4">
        <v>62.9</v>
      </c>
      <c r="AW401" s="4">
        <f t="shared" si="8"/>
        <v>336905600000</v>
      </c>
      <c r="AX401" s="4">
        <v>15049171</v>
      </c>
      <c r="AY401" s="4">
        <f>Base[[#This Row],['[SC']Budget_total_retraites]]/Base[[#This Row],['[SC']Nombre_de_retraités]]</f>
        <v>22386.987296509556</v>
      </c>
      <c r="AZ401" s="4">
        <f>Base[[#This Row],['[SC']Budget_par_retraité]]*Base[[#This Row],['[SC']Nb_personnes_dépendantes]]</f>
        <v>0</v>
      </c>
      <c r="BA401" s="4">
        <f>Base[[#This Row],['[SC']'[Dépendance']Coût_retraite_personnes_dépendantes]]/Base[[#This Row],[Population_totale]]</f>
        <v>0</v>
      </c>
      <c r="BB40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1" s="4">
        <f>Base[[#This Row],['[SC']'[Dépendance']Gains]]-Base[[#This Row],['[SC']'[Dépendance']Coûts]]</f>
        <v>0</v>
      </c>
      <c r="BD401" s="4">
        <f>IF(Base[[#This Row],[Pathologie]]&lt;&gt;"Mort prématurée",0,Base[[#This Row],[Risque]]*Base[[#This Row],[Prévalence]]*Base[[#This Row],[Population_totale]])</f>
        <v>0</v>
      </c>
      <c r="BE401" s="4">
        <v>52.74</v>
      </c>
      <c r="BF401" s="4">
        <f>Base[[#This Row],['[SC']Âge_moyen_retraite]]-Base[[#This Row],['[SC']'[Mort_prématurée']Âge_moyen_mort précoce]]</f>
        <v>10.159999999999997</v>
      </c>
      <c r="BG401" s="4">
        <f>Base[[#This Row],[Espérance_vie]]+Base[[#This Row],['[SC']Hausse_esp_de_vie]]-Base[[#This Row],['[SC']Âge_moyen_retraite]]</f>
        <v>20.236955218602098</v>
      </c>
      <c r="BH401" s="4">
        <v>106583.42676924677</v>
      </c>
      <c r="BI401" s="4">
        <v>97601.789429271477</v>
      </c>
      <c r="BJ401" s="4">
        <v>302038.31496633729</v>
      </c>
      <c r="BK401" s="4">
        <v>117293.58934859755</v>
      </c>
      <c r="BL401" s="4">
        <v>1523999.9999999995</v>
      </c>
      <c r="BM4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1" s="4">
        <v>294804.96027377353</v>
      </c>
      <c r="BO4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1" s="4">
        <f>(Base[[#This Row],['[SC']'[Mort_prématurée']Gains]]-Base[[#This Row],['[SC']'[Mort_prématurée']Coûts]])/Base[[#This Row],[Population_totale]]</f>
        <v>0</v>
      </c>
      <c r="BQ401" s="4">
        <f>IF(Base[[#This Row],[Pathologie]]&lt;&gt;"Mort prématurée",0,Base[[#This Row],[Risque]])</f>
        <v>0</v>
      </c>
      <c r="BR401" s="4">
        <v>2680</v>
      </c>
      <c r="BS4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1" s="4">
        <f>Base[[#This Row],[Prévalence_prod]]*(1-Base[[#This Row],[Risque]])*Base[[#This Row],[Durée_arrêt]]*Base[[#This Row],[Population_emploi]]</f>
        <v>6737897.2032538243</v>
      </c>
      <c r="BV401" s="4">
        <f>Base[[#This Row],['[Prod']'[Absentéisme']Total_jours_absence_avant]]-Base[[#This Row],['[Prod']'[Absentéisme']Total_jours_absence_après]]</f>
        <v>5964630.2967461739</v>
      </c>
      <c r="BW401" s="4">
        <f>IF(AND(Base[[#This Row],[Pathologie]]&lt;&gt;"Dépendance",Base[[#This Row],[Pathologie]]&lt;&gt;"Mort prématurée",Base[[#This Row],[Pathologie]]&lt;&gt;"Migraine"),0.0619,0)</f>
        <v>6.1899999999999997E-2</v>
      </c>
      <c r="BX401" s="4">
        <v>254</v>
      </c>
      <c r="BY40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1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1" s="4">
        <f>Base[[#This Row],[Prévalence_prod]]*Base[[#This Row],[Présentéisme]]*Base[[#This Row],['[Prod']Jours_ouvrés]]</f>
        <v>2.0966048999999995</v>
      </c>
      <c r="CB401" s="4">
        <f>Base[[#This Row],[Prévalence_prod]]*(1-Base[[#This Row],[Risque]])*Base[[#This Row],[Présentéisme]]*Base[[#This Row],['[Prod']Jours_ouvrés]]</f>
        <v>1.1121179066164795</v>
      </c>
      <c r="CC401" s="4">
        <f>Base[[#This Row],['[Prod']'[Présentéisme']Jours_avant]]-Base[[#This Row],['[Prod']'[Présentéisme']Jours_après]]</f>
        <v>0.98448699338352008</v>
      </c>
      <c r="CD401" s="4">
        <f>Base[[#This Row],['[Prod']'[Présentéisme']Jours_gagnés]]/Base[[#This Row],['[Prod']Jours_ouvrés]]</f>
        <v>3.875933044817008E-3</v>
      </c>
      <c r="CE401">
        <v>7.5880726467531134E-2</v>
      </c>
      <c r="CF401">
        <v>1.989821358241517E-2</v>
      </c>
      <c r="CG401" s="4">
        <v>11</v>
      </c>
      <c r="CH401" s="4">
        <v>0.85274500894619554</v>
      </c>
      <c r="CI401" s="4">
        <v>4.2903496994109176E-2</v>
      </c>
      <c r="CJ401" s="4">
        <f>IF(Base[[#This Row],[Secteur]]&lt;&gt;"Moyenne",Base[[#This Row],['[Prod']'[Turnover']DMC_initiale]]*(1+Base[[#This Row],['[Prod']'[Turnover']Ecart_accidents]]*Base[[#This Row],['[Prod']Impact_motifs_turnover]]),CJ384*CI384+CJ385*CI385+CJ386*CI386+CJ387*CI387+CJ388*CI388+CJ389*CI389+CJ390*CI390+CJ391*CI391+CJ392*CI392+CJ393*CI393+CJ394*CI394+CJ395*CI395+CJ396*CI396+CJ397*CI397+CJ398*CI398+CJ399*CI399+CJ400*CI400)</f>
        <v>11.186649125512849</v>
      </c>
      <c r="CK401" s="4">
        <f>1/Base[[#This Row],['[Prod']'[Turnover']DMC_initiale]]</f>
        <v>9.0909090909090912E-2</v>
      </c>
      <c r="CL401" s="4">
        <f>1/Base[[#This Row],['[Prod']'[Turnover']DMC_finale]]</f>
        <v>8.9392273663017496E-2</v>
      </c>
    </row>
    <row r="402" spans="2:90" x14ac:dyDescent="0.25">
      <c r="B402" s="4" t="s">
        <v>322</v>
      </c>
      <c r="C402">
        <v>15</v>
      </c>
      <c r="D402" t="s">
        <v>83</v>
      </c>
      <c r="E402" t="s">
        <v>12</v>
      </c>
      <c r="F402" s="3">
        <v>0.46956247854973554</v>
      </c>
      <c r="G402" s="3">
        <v>0.1079</v>
      </c>
      <c r="H402" s="3">
        <v>0.1079</v>
      </c>
      <c r="I402" s="3">
        <v>7.6499999999999999E-2</v>
      </c>
      <c r="J402" s="3">
        <v>7.67629534616262</v>
      </c>
      <c r="K402" s="3">
        <v>7.0000000000000007E-2</v>
      </c>
      <c r="L402" s="2">
        <f>Base[[#This Row],[Coût]]*Base[[#This Row],[Part_ménages_dépenses_santé]]</f>
        <v>0.53734067423138343</v>
      </c>
      <c r="M402" s="2">
        <v>0.82690611956969029</v>
      </c>
      <c r="N402" s="6">
        <v>27700000</v>
      </c>
      <c r="O402" s="7">
        <f>Base[[#This Row],[Coût_salarié]]*10^9*Base[[#This Row],[Risque]]*Base[[#This Row],[Prévalence]]*Base[[#This Row],[Part_coûts_salarié]]/Base[[#This Row],[Population_emploi]]</f>
        <v>0.81272006836148358</v>
      </c>
      <c r="P402">
        <v>50</v>
      </c>
      <c r="Q402">
        <v>50</v>
      </c>
      <c r="R402" s="2">
        <v>9.9999999999999978E-2</v>
      </c>
      <c r="S402" s="2">
        <v>0.33340000000000003</v>
      </c>
      <c r="T402" s="4">
        <v>0.1079</v>
      </c>
      <c r="U402" s="4">
        <f>IF(Bases_annexes!$F$5=0,16.6587111018772,0.77*Bases_annexes!$F$5/(IF(OR(ISBLANK('Données_d''entrée'!$E$44),'Données_d''entrée'!$E$44=0),35,'Données_d''entrée'!$E$44)*52))</f>
        <v>16.658711101877199</v>
      </c>
      <c r="V402" s="4">
        <v>4.25</v>
      </c>
      <c r="W4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2" s="4">
        <v>234.5</v>
      </c>
      <c r="Y402" s="4">
        <f>(Base[[#This Row],['[Maladies']Coûts_évités_par_salarié]]+Base[[#This Row],['[Travail']Coûts_évités_par_salarié]])/Base[[#This Row],[Budget_santé_salarié]]</f>
        <v>8.2199598851030176E-2</v>
      </c>
      <c r="Z402" s="4">
        <v>0.8</v>
      </c>
      <c r="AA402" s="4">
        <f>Base[[#This Row],[Coût]]*Base[[#This Row],[Part_société_dépenses_santé]]</f>
        <v>6.1410362769300963</v>
      </c>
      <c r="AB402" s="4">
        <v>67635124</v>
      </c>
      <c r="AC402" s="4">
        <v>82.297079063317852</v>
      </c>
      <c r="AD402" s="4">
        <v>0.1079</v>
      </c>
      <c r="AE402" s="4">
        <f>Base[[#This Row],['[SC']Prévalence_travail]]*Base[[#This Row],[Population_emploi]]</f>
        <v>2988830</v>
      </c>
      <c r="AF402" s="4">
        <f>Base[[#This Row],[Risque]]*Base[[#This Row],['[SC']Patients_en_emploi]]</f>
        <v>1403442.4227638061</v>
      </c>
      <c r="AG402" s="4">
        <v>0</v>
      </c>
      <c r="AH402" s="4">
        <f>IFERROR(Base[[#This Row],['[SC']Prestations]]/Base[[#This Row],['[SC']Patients_en_emploi]],0)</f>
        <v>0</v>
      </c>
      <c r="AI402" s="4">
        <v>51.7</v>
      </c>
      <c r="AJ4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2" s="4">
        <f>Base[[#This Row],['[SC']'[Travail']Coûts_évités]]/Base[[#This Row],[Population_emploi]]</f>
        <v>3.2742767715202512</v>
      </c>
      <c r="AL402" s="4">
        <f>Base[[#This Row],[Coût_société]]*10^9*Base[[#This Row],[Risque]]*Base[[#This Row],[Prévalence]]*Base[[#This Row],[Part_coûts_salarié]]/Base[[#This Row],[Population_emploi]]</f>
        <v>9.2882293527026718</v>
      </c>
      <c r="AM402" s="4">
        <f>IF(Base[[#This Row],[Pathologie]]&lt;&gt;"Dépendance",0,14909.24243952)</f>
        <v>0</v>
      </c>
      <c r="AN402" s="4">
        <f>IF(Base[[#This Row],[Pathologie]]&lt;&gt;"Dépendance",0,1316000)</f>
        <v>0</v>
      </c>
      <c r="AO402" s="4">
        <f>IF(Base[[#This Row],[Pathologie]]&lt;&gt;"Dépendance",0,Base[[#This Row],['[SC']Coût_personne_dépendante]]*Base[[#This Row],['[SC']Nb_personnes_dépendantes]])</f>
        <v>0</v>
      </c>
      <c r="AP402" s="4">
        <f>IF(Base[[#This Row],[Pathologie]]&lt;&gt;"Dépendance",0,Base[[#This Row],['[SC']Coût_total_dépendance]]/Base[[#This Row],[Population_totale]])</f>
        <v>0</v>
      </c>
      <c r="AQ402" s="4">
        <f>IF(Base[[#This Row],[Pathologie]]&lt;&gt;"Dépendance",0,4.5)</f>
        <v>0</v>
      </c>
      <c r="AR402" s="4">
        <v>0.83987615528424797</v>
      </c>
      <c r="AS402" s="4">
        <f>Base[[#This Row],[Espérance_vie]]+Base[[#This Row],['[SC']Hausse_esp_de_vie]]-Base[[#This Row],['[SC']Durée_moyenne_dépendance_avt]]+Base[[#This Row],[Risque]]</f>
        <v>83.60651769715183</v>
      </c>
      <c r="AT4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2" s="4">
        <v>62.9</v>
      </c>
      <c r="AW402" s="4">
        <f t="shared" si="8"/>
        <v>336905600000</v>
      </c>
      <c r="AX402" s="4">
        <v>15049171</v>
      </c>
      <c r="AY402" s="4">
        <f>Base[[#This Row],['[SC']Budget_total_retraites]]/Base[[#This Row],['[SC']Nombre_de_retraités]]</f>
        <v>22386.987296509556</v>
      </c>
      <c r="AZ402" s="4">
        <f>Base[[#This Row],['[SC']Budget_par_retraité]]*Base[[#This Row],['[SC']Nb_personnes_dépendantes]]</f>
        <v>0</v>
      </c>
      <c r="BA402" s="4">
        <f>Base[[#This Row],['[SC']'[Dépendance']Coût_retraite_personnes_dépendantes]]/Base[[#This Row],[Population_totale]]</f>
        <v>0</v>
      </c>
      <c r="BB40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2" s="4">
        <f>Base[[#This Row],['[SC']'[Dépendance']Gains]]-Base[[#This Row],['[SC']'[Dépendance']Coûts]]</f>
        <v>0</v>
      </c>
      <c r="BD402" s="4">
        <f>IF(Base[[#This Row],[Pathologie]]&lt;&gt;"Mort prématurée",0,Base[[#This Row],[Risque]]*Base[[#This Row],[Prévalence]]*Base[[#This Row],[Population_totale]])</f>
        <v>0</v>
      </c>
      <c r="BE402" s="4">
        <v>52.74</v>
      </c>
      <c r="BF402" s="4">
        <f>Base[[#This Row],['[SC']Âge_moyen_retraite]]-Base[[#This Row],['[SC']'[Mort_prématurée']Âge_moyen_mort précoce]]</f>
        <v>10.159999999999997</v>
      </c>
      <c r="BG402" s="4">
        <f>Base[[#This Row],[Espérance_vie]]+Base[[#This Row],['[SC']Hausse_esp_de_vie]]-Base[[#This Row],['[SC']Âge_moyen_retraite]]</f>
        <v>20.236955218602098</v>
      </c>
      <c r="BH402" s="4">
        <v>106583.42676924677</v>
      </c>
      <c r="BI402" s="4">
        <v>97601.789429271477</v>
      </c>
      <c r="BJ402" s="4">
        <v>302038.31496633729</v>
      </c>
      <c r="BK402" s="4">
        <v>117293.58934859755</v>
      </c>
      <c r="BL402" s="4">
        <v>1523999.9999999995</v>
      </c>
      <c r="BM4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2" s="4">
        <v>294804.96027377353</v>
      </c>
      <c r="BO4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2" s="4">
        <f>(Base[[#This Row],['[SC']'[Mort_prématurée']Gains]]-Base[[#This Row],['[SC']'[Mort_prématurée']Coûts]])/Base[[#This Row],[Population_totale]]</f>
        <v>0</v>
      </c>
      <c r="BQ402" s="4">
        <f>IF(Base[[#This Row],[Pathologie]]&lt;&gt;"Mort prématurée",0,Base[[#This Row],[Risque]])</f>
        <v>0</v>
      </c>
      <c r="BR402" s="4">
        <v>2680</v>
      </c>
      <c r="BS4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2" s="4">
        <f>Base[[#This Row],[Prévalence_prod]]*(1-Base[[#This Row],[Risque]])*Base[[#This Row],[Durée_arrêt]]*Base[[#This Row],[Population_emploi]]</f>
        <v>6737897.2032538243</v>
      </c>
      <c r="BV402" s="4">
        <f>Base[[#This Row],['[Prod']'[Absentéisme']Total_jours_absence_avant]]-Base[[#This Row],['[Prod']'[Absentéisme']Total_jours_absence_après]]</f>
        <v>5964630.2967461739</v>
      </c>
      <c r="BW402" s="4">
        <f>IF(AND(Base[[#This Row],[Pathologie]]&lt;&gt;"Dépendance",Base[[#This Row],[Pathologie]]&lt;&gt;"Mort prématurée",Base[[#This Row],[Pathologie]]&lt;&gt;"Migraine"),0.0619,0)</f>
        <v>6.1899999999999997E-2</v>
      </c>
      <c r="BX402" s="4">
        <v>254</v>
      </c>
      <c r="BY40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2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2" s="4">
        <f>Base[[#This Row],[Prévalence_prod]]*Base[[#This Row],[Présentéisme]]*Base[[#This Row],['[Prod']Jours_ouvrés]]</f>
        <v>2.0966048999999995</v>
      </c>
      <c r="CB402" s="4">
        <f>Base[[#This Row],[Prévalence_prod]]*(1-Base[[#This Row],[Risque]])*Base[[#This Row],[Présentéisme]]*Base[[#This Row],['[Prod']Jours_ouvrés]]</f>
        <v>1.1121179066164795</v>
      </c>
      <c r="CC402" s="4">
        <f>Base[[#This Row],['[Prod']'[Présentéisme']Jours_avant]]-Base[[#This Row],['[Prod']'[Présentéisme']Jours_après]]</f>
        <v>0.98448699338352008</v>
      </c>
      <c r="CD402" s="4">
        <f>Base[[#This Row],['[Prod']'[Présentéisme']Jours_gagnés]]/Base[[#This Row],['[Prod']Jours_ouvrés]]</f>
        <v>3.875933044817008E-3</v>
      </c>
      <c r="CE402">
        <v>7.5880726467531134E-2</v>
      </c>
      <c r="CF402">
        <v>1.989821358241517E-2</v>
      </c>
      <c r="CG402" s="4">
        <v>11</v>
      </c>
      <c r="CH402" s="4">
        <v>1.6219398392978641</v>
      </c>
      <c r="CI402" s="4">
        <v>9.628527536862988E-2</v>
      </c>
      <c r="CJ402" s="4">
        <f>IF(Base[[#This Row],[Secteur]]&lt;&gt;"Moyenne",Base[[#This Row],['[Prod']'[Turnover']DMC_initiale]]*(1+Base[[#This Row],['[Prod']'[Turnover']Ecart_accidents]]*Base[[#This Row],['[Prod']Impact_motifs_turnover]]),CJ385*CI385+CJ386*CI386+CJ387*CI387+CJ388*CI388+CJ389*CI389+CJ390*CI390+CJ391*CI391+CJ392*CI392+CJ393*CI393+CJ394*CI394+CJ395*CI395+CJ396*CI396+CJ397*CI397+CJ398*CI398+CJ399*CI399+CJ400*CI400+CJ401*CI401)</f>
        <v>11.355010758741946</v>
      </c>
      <c r="CK402" s="4">
        <f>1/Base[[#This Row],['[Prod']'[Turnover']DMC_initiale]]</f>
        <v>9.0909090909090912E-2</v>
      </c>
      <c r="CL402" s="4">
        <f>1/Base[[#This Row],['[Prod']'[Turnover']DMC_finale]]</f>
        <v>8.8066847425056327E-2</v>
      </c>
    </row>
    <row r="403" spans="2:90" x14ac:dyDescent="0.25">
      <c r="B403" s="4" t="s">
        <v>323</v>
      </c>
      <c r="C403">
        <v>15</v>
      </c>
      <c r="D403" t="s">
        <v>83</v>
      </c>
      <c r="E403" t="s">
        <v>12</v>
      </c>
      <c r="F403" s="3">
        <v>0.46956247854973554</v>
      </c>
      <c r="G403" s="3">
        <v>0.1079</v>
      </c>
      <c r="H403" s="3">
        <v>0.1079</v>
      </c>
      <c r="I403" s="3">
        <v>7.6499999999999999E-2</v>
      </c>
      <c r="J403" s="3">
        <v>7.67629534616262</v>
      </c>
      <c r="K403" s="3">
        <v>7.0000000000000007E-2</v>
      </c>
      <c r="L403" s="2">
        <f>Base[[#This Row],[Coût]]*Base[[#This Row],[Part_ménages_dépenses_santé]]</f>
        <v>0.53734067423138343</v>
      </c>
      <c r="M403" s="2">
        <v>0.82690611956969029</v>
      </c>
      <c r="N403" s="6">
        <v>27700000</v>
      </c>
      <c r="O403" s="7">
        <f>Base[[#This Row],[Coût_salarié]]*10^9*Base[[#This Row],[Risque]]*Base[[#This Row],[Prévalence]]*Base[[#This Row],[Part_coûts_salarié]]/Base[[#This Row],[Population_emploi]]</f>
        <v>0.81272006836148358</v>
      </c>
      <c r="P403">
        <v>50</v>
      </c>
      <c r="Q403">
        <v>50</v>
      </c>
      <c r="R403" s="2">
        <v>9.9999999999999978E-2</v>
      </c>
      <c r="S403" s="2">
        <v>0.33340000000000003</v>
      </c>
      <c r="T403" s="4">
        <v>0.1079</v>
      </c>
      <c r="U403" s="4">
        <f>IF(Bases_annexes!$F$5=0,16.6587111018772,0.77*Bases_annexes!$F$5/(IF(OR(ISBLANK('Données_d''entrée'!$E$44),'Données_d''entrée'!$E$44=0),35,'Données_d''entrée'!$E$44)*52))</f>
        <v>16.658711101877199</v>
      </c>
      <c r="V403" s="4">
        <v>4.25</v>
      </c>
      <c r="W4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3" s="4">
        <v>234.5</v>
      </c>
      <c r="Y403" s="4">
        <f>(Base[[#This Row],['[Maladies']Coûts_évités_par_salarié]]+Base[[#This Row],['[Travail']Coûts_évités_par_salarié]])/Base[[#This Row],[Budget_santé_salarié]]</f>
        <v>8.2199598851030176E-2</v>
      </c>
      <c r="Z403" s="4">
        <v>0.8</v>
      </c>
      <c r="AA403" s="4">
        <f>Base[[#This Row],[Coût]]*Base[[#This Row],[Part_société_dépenses_santé]]</f>
        <v>6.1410362769300963</v>
      </c>
      <c r="AB403" s="4">
        <v>67635124</v>
      </c>
      <c r="AC403" s="4">
        <v>82.297079063317852</v>
      </c>
      <c r="AD403" s="4">
        <v>0.1079</v>
      </c>
      <c r="AE403" s="4">
        <f>Base[[#This Row],['[SC']Prévalence_travail]]*Base[[#This Row],[Population_emploi]]</f>
        <v>2988830</v>
      </c>
      <c r="AF403" s="4">
        <f>Base[[#This Row],[Risque]]*Base[[#This Row],['[SC']Patients_en_emploi]]</f>
        <v>1403442.4227638061</v>
      </c>
      <c r="AG403" s="4">
        <v>0</v>
      </c>
      <c r="AH403" s="4">
        <f>IFERROR(Base[[#This Row],['[SC']Prestations]]/Base[[#This Row],['[SC']Patients_en_emploi]],0)</f>
        <v>0</v>
      </c>
      <c r="AI403" s="4">
        <v>51.7</v>
      </c>
      <c r="AJ4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3" s="4">
        <f>Base[[#This Row],['[SC']'[Travail']Coûts_évités]]/Base[[#This Row],[Population_emploi]]</f>
        <v>3.2742767715202512</v>
      </c>
      <c r="AL403" s="4">
        <f>Base[[#This Row],[Coût_société]]*10^9*Base[[#This Row],[Risque]]*Base[[#This Row],[Prévalence]]*Base[[#This Row],[Part_coûts_salarié]]/Base[[#This Row],[Population_emploi]]</f>
        <v>9.2882293527026718</v>
      </c>
      <c r="AM403" s="4">
        <f>IF(Base[[#This Row],[Pathologie]]&lt;&gt;"Dépendance",0,14909.24243952)</f>
        <v>0</v>
      </c>
      <c r="AN403" s="4">
        <f>IF(Base[[#This Row],[Pathologie]]&lt;&gt;"Dépendance",0,1316000)</f>
        <v>0</v>
      </c>
      <c r="AO403" s="4">
        <f>IF(Base[[#This Row],[Pathologie]]&lt;&gt;"Dépendance",0,Base[[#This Row],['[SC']Coût_personne_dépendante]]*Base[[#This Row],['[SC']Nb_personnes_dépendantes]])</f>
        <v>0</v>
      </c>
      <c r="AP403" s="4">
        <f>IF(Base[[#This Row],[Pathologie]]&lt;&gt;"Dépendance",0,Base[[#This Row],['[SC']Coût_total_dépendance]]/Base[[#This Row],[Population_totale]])</f>
        <v>0</v>
      </c>
      <c r="AQ403" s="4">
        <f>IF(Base[[#This Row],[Pathologie]]&lt;&gt;"Dépendance",0,4.5)</f>
        <v>0</v>
      </c>
      <c r="AR403" s="4">
        <v>0.83987615528424797</v>
      </c>
      <c r="AS403" s="4">
        <f>Base[[#This Row],[Espérance_vie]]+Base[[#This Row],['[SC']Hausse_esp_de_vie]]-Base[[#This Row],['[SC']Durée_moyenne_dépendance_avt]]+Base[[#This Row],[Risque]]</f>
        <v>83.60651769715183</v>
      </c>
      <c r="AT4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3" s="4">
        <v>62.9</v>
      </c>
      <c r="AW403" s="4">
        <f t="shared" si="8"/>
        <v>336905600000</v>
      </c>
      <c r="AX403" s="4">
        <v>15049171</v>
      </c>
      <c r="AY403" s="4">
        <f>Base[[#This Row],['[SC']Budget_total_retraites]]/Base[[#This Row],['[SC']Nombre_de_retraités]]</f>
        <v>22386.987296509556</v>
      </c>
      <c r="AZ403" s="4">
        <f>Base[[#This Row],['[SC']Budget_par_retraité]]*Base[[#This Row],['[SC']Nb_personnes_dépendantes]]</f>
        <v>0</v>
      </c>
      <c r="BA403" s="4">
        <f>Base[[#This Row],['[SC']'[Dépendance']Coût_retraite_personnes_dépendantes]]/Base[[#This Row],[Population_totale]]</f>
        <v>0</v>
      </c>
      <c r="BB40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3" s="4">
        <f>Base[[#This Row],['[SC']'[Dépendance']Gains]]-Base[[#This Row],['[SC']'[Dépendance']Coûts]]</f>
        <v>0</v>
      </c>
      <c r="BD403" s="4">
        <f>IF(Base[[#This Row],[Pathologie]]&lt;&gt;"Mort prématurée",0,Base[[#This Row],[Risque]]*Base[[#This Row],[Prévalence]]*Base[[#This Row],[Population_totale]])</f>
        <v>0</v>
      </c>
      <c r="BE403" s="4">
        <v>52.74</v>
      </c>
      <c r="BF403" s="4">
        <f>Base[[#This Row],['[SC']Âge_moyen_retraite]]-Base[[#This Row],['[SC']'[Mort_prématurée']Âge_moyen_mort précoce]]</f>
        <v>10.159999999999997</v>
      </c>
      <c r="BG403" s="4">
        <f>Base[[#This Row],[Espérance_vie]]+Base[[#This Row],['[SC']Hausse_esp_de_vie]]-Base[[#This Row],['[SC']Âge_moyen_retraite]]</f>
        <v>20.236955218602098</v>
      </c>
      <c r="BH403" s="4">
        <v>106583.42676924677</v>
      </c>
      <c r="BI403" s="4">
        <v>97601.789429271477</v>
      </c>
      <c r="BJ403" s="4">
        <v>302038.31496633729</v>
      </c>
      <c r="BK403" s="4">
        <v>117293.58934859755</v>
      </c>
      <c r="BL403" s="4">
        <v>1523999.9999999995</v>
      </c>
      <c r="BM4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3" s="4">
        <v>294804.96027377353</v>
      </c>
      <c r="BO4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3" s="4">
        <f>(Base[[#This Row],['[SC']'[Mort_prématurée']Gains]]-Base[[#This Row],['[SC']'[Mort_prématurée']Coûts]])/Base[[#This Row],[Population_totale]]</f>
        <v>0</v>
      </c>
      <c r="BQ403" s="4">
        <f>IF(Base[[#This Row],[Pathologie]]&lt;&gt;"Mort prématurée",0,Base[[#This Row],[Risque]])</f>
        <v>0</v>
      </c>
      <c r="BR403" s="4">
        <v>2680</v>
      </c>
      <c r="BS4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3" s="4">
        <f>Base[[#This Row],[Prévalence_prod]]*(1-Base[[#This Row],[Risque]])*Base[[#This Row],[Durée_arrêt]]*Base[[#This Row],[Population_emploi]]</f>
        <v>6737897.2032538243</v>
      </c>
      <c r="BV403" s="4">
        <f>Base[[#This Row],['[Prod']'[Absentéisme']Total_jours_absence_avant]]-Base[[#This Row],['[Prod']'[Absentéisme']Total_jours_absence_après]]</f>
        <v>5964630.2967461739</v>
      </c>
      <c r="BW403" s="4">
        <f>IF(AND(Base[[#This Row],[Pathologie]]&lt;&gt;"Dépendance",Base[[#This Row],[Pathologie]]&lt;&gt;"Mort prématurée",Base[[#This Row],[Pathologie]]&lt;&gt;"Migraine"),0.0619,0)</f>
        <v>6.1899999999999997E-2</v>
      </c>
      <c r="BX403" s="4">
        <v>254</v>
      </c>
      <c r="BY403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3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3" s="4">
        <f>Base[[#This Row],[Prévalence_prod]]*Base[[#This Row],[Présentéisme]]*Base[[#This Row],['[Prod']Jours_ouvrés]]</f>
        <v>2.0966048999999995</v>
      </c>
      <c r="CB403" s="4">
        <f>Base[[#This Row],[Prévalence_prod]]*(1-Base[[#This Row],[Risque]])*Base[[#This Row],[Présentéisme]]*Base[[#This Row],['[Prod']Jours_ouvrés]]</f>
        <v>1.1121179066164795</v>
      </c>
      <c r="CC403" s="4">
        <f>Base[[#This Row],['[Prod']'[Présentéisme']Jours_avant]]-Base[[#This Row],['[Prod']'[Présentéisme']Jours_après]]</f>
        <v>0.98448699338352008</v>
      </c>
      <c r="CD403" s="4">
        <f>Base[[#This Row],['[Prod']'[Présentéisme']Jours_gagnés]]/Base[[#This Row],['[Prod']Jours_ouvrés]]</f>
        <v>3.875933044817008E-3</v>
      </c>
      <c r="CE403">
        <v>7.5880726467531134E-2</v>
      </c>
      <c r="CF403">
        <v>1.989821358241517E-2</v>
      </c>
      <c r="CG403" s="4">
        <v>11</v>
      </c>
      <c r="CH403" s="4">
        <v>0.96913802401210614</v>
      </c>
      <c r="CI403" s="4">
        <v>0.10293966445307301</v>
      </c>
      <c r="CJ403" s="4">
        <f>IF(Base[[#This Row],[Secteur]]&lt;&gt;"Moyenne",Base[[#This Row],['[Prod']'[Turnover']DMC_initiale]]*(1+Base[[#This Row],['[Prod']'[Turnover']Ecart_accidents]]*Base[[#This Row],['[Prod']Impact_motifs_turnover]]),CJ386*CI386+CJ387*CI387+CJ388*CI388+CJ389*CI389+CJ390*CI390+CJ391*CI391+CJ392*CI392+CJ393*CI393+CJ394*CI394+CJ395*CI395+CJ396*CI396+CJ397*CI397+CJ398*CI398+CJ399*CI399+CJ400*CI400+CJ401*CI401+CJ402*CI402)</f>
        <v>11.212125269318959</v>
      </c>
      <c r="CK403" s="4">
        <f>1/Base[[#This Row],['[Prod']'[Turnover']DMC_initiale]]</f>
        <v>9.0909090909090912E-2</v>
      </c>
      <c r="CL403" s="4">
        <f>1/Base[[#This Row],['[Prod']'[Turnover']DMC_finale]]</f>
        <v>8.9189156915363429E-2</v>
      </c>
    </row>
    <row r="404" spans="2:90" x14ac:dyDescent="0.25">
      <c r="B404" s="4" t="s">
        <v>324</v>
      </c>
      <c r="C404">
        <v>15</v>
      </c>
      <c r="D404" t="s">
        <v>83</v>
      </c>
      <c r="E404" t="s">
        <v>12</v>
      </c>
      <c r="F404" s="3">
        <v>0.46956247854973554</v>
      </c>
      <c r="G404" s="3">
        <v>0.1079</v>
      </c>
      <c r="H404" s="3">
        <v>0.1079</v>
      </c>
      <c r="I404" s="3">
        <v>7.6499999999999999E-2</v>
      </c>
      <c r="J404" s="3">
        <v>7.67629534616262</v>
      </c>
      <c r="K404" s="3">
        <v>7.0000000000000007E-2</v>
      </c>
      <c r="L404" s="2">
        <f>Base[[#This Row],[Coût]]*Base[[#This Row],[Part_ménages_dépenses_santé]]</f>
        <v>0.53734067423138343</v>
      </c>
      <c r="M404" s="2">
        <v>0.82690611956969029</v>
      </c>
      <c r="N404" s="6">
        <v>27700000</v>
      </c>
      <c r="O404" s="7">
        <f>Base[[#This Row],[Coût_salarié]]*10^9*Base[[#This Row],[Risque]]*Base[[#This Row],[Prévalence]]*Base[[#This Row],[Part_coûts_salarié]]/Base[[#This Row],[Population_emploi]]</f>
        <v>0.81272006836148358</v>
      </c>
      <c r="P404">
        <v>50</v>
      </c>
      <c r="Q404">
        <v>50</v>
      </c>
      <c r="R404" s="2">
        <v>9.9999999999999978E-2</v>
      </c>
      <c r="S404" s="2">
        <v>0.33340000000000003</v>
      </c>
      <c r="T404" s="4">
        <v>0.1079</v>
      </c>
      <c r="U404" s="4">
        <f>IF(Bases_annexes!$F$5=0,16.6587111018772,0.77*Bases_annexes!$F$5/(IF(OR(ISBLANK('Données_d''entrée'!$E$44),'Données_d''entrée'!$E$44=0),35,'Données_d''entrée'!$E$44)*52))</f>
        <v>16.658711101877199</v>
      </c>
      <c r="V404" s="4">
        <v>4.25</v>
      </c>
      <c r="W4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4" s="4">
        <v>234.5</v>
      </c>
      <c r="Y404" s="4">
        <f>(Base[[#This Row],['[Maladies']Coûts_évités_par_salarié]]+Base[[#This Row],['[Travail']Coûts_évités_par_salarié]])/Base[[#This Row],[Budget_santé_salarié]]</f>
        <v>8.2199598851030176E-2</v>
      </c>
      <c r="Z404" s="4">
        <v>0.8</v>
      </c>
      <c r="AA404" s="4">
        <f>Base[[#This Row],[Coût]]*Base[[#This Row],[Part_société_dépenses_santé]]</f>
        <v>6.1410362769300963</v>
      </c>
      <c r="AB404" s="4">
        <v>67635124</v>
      </c>
      <c r="AC404" s="4">
        <v>82.297079063317852</v>
      </c>
      <c r="AD404" s="4">
        <v>0.1079</v>
      </c>
      <c r="AE404" s="4">
        <f>Base[[#This Row],['[SC']Prévalence_travail]]*Base[[#This Row],[Population_emploi]]</f>
        <v>2988830</v>
      </c>
      <c r="AF404" s="4">
        <f>Base[[#This Row],[Risque]]*Base[[#This Row],['[SC']Patients_en_emploi]]</f>
        <v>1403442.4227638061</v>
      </c>
      <c r="AG404" s="4">
        <v>0</v>
      </c>
      <c r="AH404" s="4">
        <f>IFERROR(Base[[#This Row],['[SC']Prestations]]/Base[[#This Row],['[SC']Patients_en_emploi]],0)</f>
        <v>0</v>
      </c>
      <c r="AI404" s="4">
        <v>51.7</v>
      </c>
      <c r="AJ4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4" s="4">
        <f>Base[[#This Row],['[SC']'[Travail']Coûts_évités]]/Base[[#This Row],[Population_emploi]]</f>
        <v>3.2742767715202512</v>
      </c>
      <c r="AL404" s="4">
        <f>Base[[#This Row],[Coût_société]]*10^9*Base[[#This Row],[Risque]]*Base[[#This Row],[Prévalence]]*Base[[#This Row],[Part_coûts_salarié]]/Base[[#This Row],[Population_emploi]]</f>
        <v>9.2882293527026718</v>
      </c>
      <c r="AM404" s="4">
        <f>IF(Base[[#This Row],[Pathologie]]&lt;&gt;"Dépendance",0,14909.24243952)</f>
        <v>0</v>
      </c>
      <c r="AN404" s="4">
        <f>IF(Base[[#This Row],[Pathologie]]&lt;&gt;"Dépendance",0,1316000)</f>
        <v>0</v>
      </c>
      <c r="AO404" s="4">
        <f>IF(Base[[#This Row],[Pathologie]]&lt;&gt;"Dépendance",0,Base[[#This Row],['[SC']Coût_personne_dépendante]]*Base[[#This Row],['[SC']Nb_personnes_dépendantes]])</f>
        <v>0</v>
      </c>
      <c r="AP404" s="4">
        <f>IF(Base[[#This Row],[Pathologie]]&lt;&gt;"Dépendance",0,Base[[#This Row],['[SC']Coût_total_dépendance]]/Base[[#This Row],[Population_totale]])</f>
        <v>0</v>
      </c>
      <c r="AQ404" s="4">
        <f>IF(Base[[#This Row],[Pathologie]]&lt;&gt;"Dépendance",0,4.5)</f>
        <v>0</v>
      </c>
      <c r="AR404" s="4">
        <v>0.83987615528424797</v>
      </c>
      <c r="AS404" s="4">
        <f>Base[[#This Row],[Espérance_vie]]+Base[[#This Row],['[SC']Hausse_esp_de_vie]]-Base[[#This Row],['[SC']Durée_moyenne_dépendance_avt]]+Base[[#This Row],[Risque]]</f>
        <v>83.60651769715183</v>
      </c>
      <c r="AT4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4" s="4">
        <v>62.9</v>
      </c>
      <c r="AW404" s="4">
        <f t="shared" si="8"/>
        <v>336905600000</v>
      </c>
      <c r="AX404" s="4">
        <v>15049171</v>
      </c>
      <c r="AY404" s="4">
        <f>Base[[#This Row],['[SC']Budget_total_retraites]]/Base[[#This Row],['[SC']Nombre_de_retraités]]</f>
        <v>22386.987296509556</v>
      </c>
      <c r="AZ404" s="4">
        <f>Base[[#This Row],['[SC']Budget_par_retraité]]*Base[[#This Row],['[SC']Nb_personnes_dépendantes]]</f>
        <v>0</v>
      </c>
      <c r="BA404" s="4">
        <f>Base[[#This Row],['[SC']'[Dépendance']Coût_retraite_personnes_dépendantes]]/Base[[#This Row],[Population_totale]]</f>
        <v>0</v>
      </c>
      <c r="BB40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4" s="4">
        <f>Base[[#This Row],['[SC']'[Dépendance']Gains]]-Base[[#This Row],['[SC']'[Dépendance']Coûts]]</f>
        <v>0</v>
      </c>
      <c r="BD404" s="4">
        <f>IF(Base[[#This Row],[Pathologie]]&lt;&gt;"Mort prématurée",0,Base[[#This Row],[Risque]]*Base[[#This Row],[Prévalence]]*Base[[#This Row],[Population_totale]])</f>
        <v>0</v>
      </c>
      <c r="BE404" s="4">
        <v>52.74</v>
      </c>
      <c r="BF404" s="4">
        <f>Base[[#This Row],['[SC']Âge_moyen_retraite]]-Base[[#This Row],['[SC']'[Mort_prématurée']Âge_moyen_mort précoce]]</f>
        <v>10.159999999999997</v>
      </c>
      <c r="BG404" s="4">
        <f>Base[[#This Row],[Espérance_vie]]+Base[[#This Row],['[SC']Hausse_esp_de_vie]]-Base[[#This Row],['[SC']Âge_moyen_retraite]]</f>
        <v>20.236955218602098</v>
      </c>
      <c r="BH404" s="4">
        <v>106583.42676924677</v>
      </c>
      <c r="BI404" s="4">
        <v>97601.789429271477</v>
      </c>
      <c r="BJ404" s="4">
        <v>302038.31496633729</v>
      </c>
      <c r="BK404" s="4">
        <v>117293.58934859755</v>
      </c>
      <c r="BL404" s="4">
        <v>1523999.9999999995</v>
      </c>
      <c r="BM4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4" s="4">
        <v>294804.96027377353</v>
      </c>
      <c r="BO4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4" s="4">
        <f>(Base[[#This Row],['[SC']'[Mort_prématurée']Gains]]-Base[[#This Row],['[SC']'[Mort_prématurée']Coûts]])/Base[[#This Row],[Population_totale]]</f>
        <v>0</v>
      </c>
      <c r="BQ404" s="4">
        <f>IF(Base[[#This Row],[Pathologie]]&lt;&gt;"Mort prématurée",0,Base[[#This Row],[Risque]])</f>
        <v>0</v>
      </c>
      <c r="BR404" s="4">
        <v>2680</v>
      </c>
      <c r="BS4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4" s="4">
        <f>Base[[#This Row],[Prévalence_prod]]*(1-Base[[#This Row],[Risque]])*Base[[#This Row],[Durée_arrêt]]*Base[[#This Row],[Population_emploi]]</f>
        <v>6737897.2032538243</v>
      </c>
      <c r="BV404" s="4">
        <f>Base[[#This Row],['[Prod']'[Absentéisme']Total_jours_absence_avant]]-Base[[#This Row],['[Prod']'[Absentéisme']Total_jours_absence_après]]</f>
        <v>5964630.2967461739</v>
      </c>
      <c r="BW404" s="4">
        <f>IF(AND(Base[[#This Row],[Pathologie]]&lt;&gt;"Dépendance",Base[[#This Row],[Pathologie]]&lt;&gt;"Mort prématurée",Base[[#This Row],[Pathologie]]&lt;&gt;"Migraine"),0.0619,0)</f>
        <v>6.1899999999999997E-2</v>
      </c>
      <c r="BX404" s="4">
        <v>254</v>
      </c>
      <c r="BY404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4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4" s="4">
        <f>Base[[#This Row],[Prévalence_prod]]*Base[[#This Row],[Présentéisme]]*Base[[#This Row],['[Prod']Jours_ouvrés]]</f>
        <v>2.0966048999999995</v>
      </c>
      <c r="CB404" s="4">
        <f>Base[[#This Row],[Prévalence_prod]]*(1-Base[[#This Row],[Risque]])*Base[[#This Row],[Présentéisme]]*Base[[#This Row],['[Prod']Jours_ouvrés]]</f>
        <v>1.1121179066164795</v>
      </c>
      <c r="CC404" s="4">
        <f>Base[[#This Row],['[Prod']'[Présentéisme']Jours_avant]]-Base[[#This Row],['[Prod']'[Présentéisme']Jours_après]]</f>
        <v>0.98448699338352008</v>
      </c>
      <c r="CD404" s="4">
        <f>Base[[#This Row],['[Prod']'[Présentéisme']Jours_gagnés]]/Base[[#This Row],['[Prod']Jours_ouvrés]]</f>
        <v>3.875933044817008E-3</v>
      </c>
      <c r="CE404">
        <v>7.5880726467531134E-2</v>
      </c>
      <c r="CF404">
        <v>1.989821358241517E-2</v>
      </c>
      <c r="CG404" s="4">
        <v>11</v>
      </c>
      <c r="CH404" s="4">
        <v>1.3987208237662601</v>
      </c>
      <c r="CI404" s="4">
        <v>2.1768516166491274E-2</v>
      </c>
      <c r="CJ404" s="4">
        <f>IF(Base[[#This Row],[Secteur]]&lt;&gt;"Moyenne",Base[[#This Row],['[Prod']'[Turnover']DMC_initiale]]*(1+Base[[#This Row],['[Prod']'[Turnover']Ecart_accidents]]*Base[[#This Row],['[Prod']Impact_motifs_turnover]]),CJ387*CI387+CJ388*CI388+CJ389*CI389+CJ390*CI390+CJ391*CI391+CJ392*CI392+CJ393*CI393+CJ394*CI394+CJ395*CI395+CJ396*CI396+CJ397*CI397+CJ398*CI398+CJ399*CI399+CJ400*CI400+CJ401*CI401+CJ402*CI402+CJ403*CI403)</f>
        <v>11.306152502628199</v>
      </c>
      <c r="CK404" s="4">
        <f>1/Base[[#This Row],['[Prod']'[Turnover']DMC_initiale]]</f>
        <v>9.0909090909090912E-2</v>
      </c>
      <c r="CL404" s="4">
        <f>1/Base[[#This Row],['[Prod']'[Turnover']DMC_finale]]</f>
        <v>8.8447418320913546E-2</v>
      </c>
    </row>
    <row r="405" spans="2:90" x14ac:dyDescent="0.25">
      <c r="B405" s="4" t="s">
        <v>325</v>
      </c>
      <c r="C405">
        <v>15</v>
      </c>
      <c r="D405" t="s">
        <v>83</v>
      </c>
      <c r="E405" t="s">
        <v>12</v>
      </c>
      <c r="F405" s="3">
        <v>0.46956247854973554</v>
      </c>
      <c r="G405" s="3">
        <v>0.1079</v>
      </c>
      <c r="H405" s="3">
        <v>0.1079</v>
      </c>
      <c r="I405" s="3">
        <v>7.6499999999999999E-2</v>
      </c>
      <c r="J405" s="3">
        <v>7.67629534616262</v>
      </c>
      <c r="K405" s="3">
        <v>7.0000000000000007E-2</v>
      </c>
      <c r="L405" s="2">
        <f>Base[[#This Row],[Coût]]*Base[[#This Row],[Part_ménages_dépenses_santé]]</f>
        <v>0.53734067423138343</v>
      </c>
      <c r="M405" s="2">
        <v>0.82690611956969029</v>
      </c>
      <c r="N405" s="6">
        <v>27700000</v>
      </c>
      <c r="O405" s="7">
        <f>Base[[#This Row],[Coût_salarié]]*10^9*Base[[#This Row],[Risque]]*Base[[#This Row],[Prévalence]]*Base[[#This Row],[Part_coûts_salarié]]/Base[[#This Row],[Population_emploi]]</f>
        <v>0.81272006836148358</v>
      </c>
      <c r="P405">
        <v>50</v>
      </c>
      <c r="Q405">
        <v>50</v>
      </c>
      <c r="R405" s="2">
        <v>9.9999999999999978E-2</v>
      </c>
      <c r="S405" s="2">
        <v>0.33340000000000003</v>
      </c>
      <c r="T405" s="4">
        <v>0.1079</v>
      </c>
      <c r="U405" s="4">
        <f>IF(Bases_annexes!$F$5=0,16.6587111018772,0.77*Bases_annexes!$F$5/(IF(OR(ISBLANK('Données_d''entrée'!$E$44),'Données_d''entrée'!$E$44=0),35,'Données_d''entrée'!$E$44)*52))</f>
        <v>16.658711101877199</v>
      </c>
      <c r="V405" s="4">
        <v>4.25</v>
      </c>
      <c r="W4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5" s="4">
        <v>234.5</v>
      </c>
      <c r="Y405" s="4">
        <f>(Base[[#This Row],['[Maladies']Coûts_évités_par_salarié]]+Base[[#This Row],['[Travail']Coûts_évités_par_salarié]])/Base[[#This Row],[Budget_santé_salarié]]</f>
        <v>8.2199598851030176E-2</v>
      </c>
      <c r="Z405" s="4">
        <v>0.8</v>
      </c>
      <c r="AA405" s="4">
        <f>Base[[#This Row],[Coût]]*Base[[#This Row],[Part_société_dépenses_santé]]</f>
        <v>6.1410362769300963</v>
      </c>
      <c r="AB405" s="4">
        <v>67635124</v>
      </c>
      <c r="AC405" s="4">
        <v>82.297079063317852</v>
      </c>
      <c r="AD405" s="4">
        <v>0.1079</v>
      </c>
      <c r="AE405" s="4">
        <f>Base[[#This Row],['[SC']Prévalence_travail]]*Base[[#This Row],[Population_emploi]]</f>
        <v>2988830</v>
      </c>
      <c r="AF405" s="4">
        <f>Base[[#This Row],[Risque]]*Base[[#This Row],['[SC']Patients_en_emploi]]</f>
        <v>1403442.4227638061</v>
      </c>
      <c r="AG405" s="4">
        <v>0</v>
      </c>
      <c r="AH405" s="4">
        <f>IFERROR(Base[[#This Row],['[SC']Prestations]]/Base[[#This Row],['[SC']Patients_en_emploi]],0)</f>
        <v>0</v>
      </c>
      <c r="AI405" s="4">
        <v>51.7</v>
      </c>
      <c r="AJ4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5" s="4">
        <f>Base[[#This Row],['[SC']'[Travail']Coûts_évités]]/Base[[#This Row],[Population_emploi]]</f>
        <v>3.2742767715202512</v>
      </c>
      <c r="AL405" s="4">
        <f>Base[[#This Row],[Coût_société]]*10^9*Base[[#This Row],[Risque]]*Base[[#This Row],[Prévalence]]*Base[[#This Row],[Part_coûts_salarié]]/Base[[#This Row],[Population_emploi]]</f>
        <v>9.2882293527026718</v>
      </c>
      <c r="AM405" s="4">
        <f>IF(Base[[#This Row],[Pathologie]]&lt;&gt;"Dépendance",0,14909.24243952)</f>
        <v>0</v>
      </c>
      <c r="AN405" s="4">
        <f>IF(Base[[#This Row],[Pathologie]]&lt;&gt;"Dépendance",0,1316000)</f>
        <v>0</v>
      </c>
      <c r="AO405" s="4">
        <f>IF(Base[[#This Row],[Pathologie]]&lt;&gt;"Dépendance",0,Base[[#This Row],['[SC']Coût_personne_dépendante]]*Base[[#This Row],['[SC']Nb_personnes_dépendantes]])</f>
        <v>0</v>
      </c>
      <c r="AP405" s="4">
        <f>IF(Base[[#This Row],[Pathologie]]&lt;&gt;"Dépendance",0,Base[[#This Row],['[SC']Coût_total_dépendance]]/Base[[#This Row],[Population_totale]])</f>
        <v>0</v>
      </c>
      <c r="AQ405" s="4">
        <f>IF(Base[[#This Row],[Pathologie]]&lt;&gt;"Dépendance",0,4.5)</f>
        <v>0</v>
      </c>
      <c r="AR405" s="4">
        <v>0.83987615528424797</v>
      </c>
      <c r="AS405" s="4">
        <f>Base[[#This Row],[Espérance_vie]]+Base[[#This Row],['[SC']Hausse_esp_de_vie]]-Base[[#This Row],['[SC']Durée_moyenne_dépendance_avt]]+Base[[#This Row],[Risque]]</f>
        <v>83.60651769715183</v>
      </c>
      <c r="AT4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5" s="4">
        <v>62.9</v>
      </c>
      <c r="AW405" s="4">
        <f t="shared" si="8"/>
        <v>336905600000</v>
      </c>
      <c r="AX405" s="4">
        <v>15049171</v>
      </c>
      <c r="AY405" s="4">
        <f>Base[[#This Row],['[SC']Budget_total_retraites]]/Base[[#This Row],['[SC']Nombre_de_retraités]]</f>
        <v>22386.987296509556</v>
      </c>
      <c r="AZ405" s="4">
        <f>Base[[#This Row],['[SC']Budget_par_retraité]]*Base[[#This Row],['[SC']Nb_personnes_dépendantes]]</f>
        <v>0</v>
      </c>
      <c r="BA405" s="4">
        <f>Base[[#This Row],['[SC']'[Dépendance']Coût_retraite_personnes_dépendantes]]/Base[[#This Row],[Population_totale]]</f>
        <v>0</v>
      </c>
      <c r="BB40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5" s="4">
        <f>Base[[#This Row],['[SC']'[Dépendance']Gains]]-Base[[#This Row],['[SC']'[Dépendance']Coûts]]</f>
        <v>0</v>
      </c>
      <c r="BD405" s="4">
        <f>IF(Base[[#This Row],[Pathologie]]&lt;&gt;"Mort prématurée",0,Base[[#This Row],[Risque]]*Base[[#This Row],[Prévalence]]*Base[[#This Row],[Population_totale]])</f>
        <v>0</v>
      </c>
      <c r="BE405" s="4">
        <v>52.74</v>
      </c>
      <c r="BF405" s="4">
        <f>Base[[#This Row],['[SC']Âge_moyen_retraite]]-Base[[#This Row],['[SC']'[Mort_prématurée']Âge_moyen_mort précoce]]</f>
        <v>10.159999999999997</v>
      </c>
      <c r="BG405" s="4">
        <f>Base[[#This Row],[Espérance_vie]]+Base[[#This Row],['[SC']Hausse_esp_de_vie]]-Base[[#This Row],['[SC']Âge_moyen_retraite]]</f>
        <v>20.236955218602098</v>
      </c>
      <c r="BH405" s="4">
        <v>106583.42676924677</v>
      </c>
      <c r="BI405" s="4">
        <v>97601.789429271477</v>
      </c>
      <c r="BJ405" s="4">
        <v>302038.31496633729</v>
      </c>
      <c r="BK405" s="4">
        <v>117293.58934859755</v>
      </c>
      <c r="BL405" s="4">
        <v>1523999.9999999995</v>
      </c>
      <c r="BM4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5" s="4">
        <v>294804.96027377353</v>
      </c>
      <c r="BO4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5" s="4">
        <f>(Base[[#This Row],['[SC']'[Mort_prématurée']Gains]]-Base[[#This Row],['[SC']'[Mort_prématurée']Coûts]])/Base[[#This Row],[Population_totale]]</f>
        <v>0</v>
      </c>
      <c r="BQ405" s="4">
        <f>IF(Base[[#This Row],[Pathologie]]&lt;&gt;"Mort prématurée",0,Base[[#This Row],[Risque]])</f>
        <v>0</v>
      </c>
      <c r="BR405" s="4">
        <v>2680</v>
      </c>
      <c r="BS4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5" s="4">
        <f>Base[[#This Row],[Prévalence_prod]]*(1-Base[[#This Row],[Risque]])*Base[[#This Row],[Durée_arrêt]]*Base[[#This Row],[Population_emploi]]</f>
        <v>6737897.2032538243</v>
      </c>
      <c r="BV405" s="4">
        <f>Base[[#This Row],['[Prod']'[Absentéisme']Total_jours_absence_avant]]-Base[[#This Row],['[Prod']'[Absentéisme']Total_jours_absence_après]]</f>
        <v>5964630.2967461739</v>
      </c>
      <c r="BW405" s="4">
        <f>IF(AND(Base[[#This Row],[Pathologie]]&lt;&gt;"Dépendance",Base[[#This Row],[Pathologie]]&lt;&gt;"Mort prématurée",Base[[#This Row],[Pathologie]]&lt;&gt;"Migraine"),0.0619,0)</f>
        <v>6.1899999999999997E-2</v>
      </c>
      <c r="BX405" s="4">
        <v>254</v>
      </c>
      <c r="BY40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5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5" s="4">
        <f>Base[[#This Row],[Prévalence_prod]]*Base[[#This Row],[Présentéisme]]*Base[[#This Row],['[Prod']Jours_ouvrés]]</f>
        <v>2.0966048999999995</v>
      </c>
      <c r="CB405" s="4">
        <f>Base[[#This Row],[Prévalence_prod]]*(1-Base[[#This Row],[Risque]])*Base[[#This Row],[Présentéisme]]*Base[[#This Row],['[Prod']Jours_ouvrés]]</f>
        <v>1.1121179066164795</v>
      </c>
      <c r="CC405" s="4">
        <f>Base[[#This Row],['[Prod']'[Présentéisme']Jours_avant]]-Base[[#This Row],['[Prod']'[Présentéisme']Jours_après]]</f>
        <v>0.98448699338352008</v>
      </c>
      <c r="CD405" s="4">
        <f>Base[[#This Row],['[Prod']'[Présentéisme']Jours_gagnés]]/Base[[#This Row],['[Prod']Jours_ouvrés]]</f>
        <v>3.875933044817008E-3</v>
      </c>
      <c r="CE405">
        <v>7.5880726467531134E-2</v>
      </c>
      <c r="CF405">
        <v>1.989821358241517E-2</v>
      </c>
      <c r="CG405" s="4">
        <v>11</v>
      </c>
      <c r="CH405" s="4">
        <v>1.1624525375985588</v>
      </c>
      <c r="CI405" s="4">
        <v>3.7953151649308701E-2</v>
      </c>
      <c r="CJ405" s="4">
        <f>IF(Base[[#This Row],[Secteur]]&lt;&gt;"Moyenne",Base[[#This Row],['[Prod']'[Turnover']DMC_initiale]]*(1+Base[[#This Row],['[Prod']'[Turnover']Ecart_accidents]]*Base[[#This Row],['[Prod']Impact_motifs_turnover]]),CJ388*CI388+CJ389*CI389+CJ390*CI390+CJ391*CI391+CJ392*CI392+CJ393*CI393+CJ394*CI394+CJ395*CI395+CJ396*CI396+CJ397*CI397+CJ398*CI398+CJ399*CI399+CJ400*CI400+CJ401*CI401+CJ402*CI402+CJ403*CI403+CJ404*CI404)</f>
        <v>11.254438017598122</v>
      </c>
      <c r="CK405" s="4">
        <f>1/Base[[#This Row],['[Prod']'[Turnover']DMC_initiale]]</f>
        <v>9.0909090909090912E-2</v>
      </c>
      <c r="CL405" s="4">
        <f>1/Base[[#This Row],['[Prod']'[Turnover']DMC_finale]]</f>
        <v>8.885383689850522E-2</v>
      </c>
    </row>
    <row r="406" spans="2:90" x14ac:dyDescent="0.25">
      <c r="B406" s="4" t="s">
        <v>326</v>
      </c>
      <c r="C406">
        <v>15</v>
      </c>
      <c r="D406" t="s">
        <v>83</v>
      </c>
      <c r="E406" t="s">
        <v>12</v>
      </c>
      <c r="F406" s="3">
        <v>0.46956247854973554</v>
      </c>
      <c r="G406" s="3">
        <v>0.1079</v>
      </c>
      <c r="H406" s="3">
        <v>0.1079</v>
      </c>
      <c r="I406" s="3">
        <v>7.6499999999999999E-2</v>
      </c>
      <c r="J406" s="3">
        <v>7.67629534616262</v>
      </c>
      <c r="K406" s="3">
        <v>7.0000000000000007E-2</v>
      </c>
      <c r="L406" s="2">
        <f>Base[[#This Row],[Coût]]*Base[[#This Row],[Part_ménages_dépenses_santé]]</f>
        <v>0.53734067423138343</v>
      </c>
      <c r="M406" s="2">
        <v>0.82690611956969029</v>
      </c>
      <c r="N406" s="6">
        <v>27700000</v>
      </c>
      <c r="O406" s="7">
        <f>Base[[#This Row],[Coût_salarié]]*10^9*Base[[#This Row],[Risque]]*Base[[#This Row],[Prévalence]]*Base[[#This Row],[Part_coûts_salarié]]/Base[[#This Row],[Population_emploi]]</f>
        <v>0.81272006836148358</v>
      </c>
      <c r="P406">
        <v>50</v>
      </c>
      <c r="Q406">
        <v>50</v>
      </c>
      <c r="R406" s="2">
        <v>9.9999999999999978E-2</v>
      </c>
      <c r="S406" s="2">
        <v>0.33340000000000003</v>
      </c>
      <c r="T406" s="4">
        <v>0.1079</v>
      </c>
      <c r="U406" s="4">
        <f>IF(Bases_annexes!$F$5=0,16.6587111018772,0.77*Bases_annexes!$F$5/(IF(OR(ISBLANK('Données_d''entrée'!$E$44),'Données_d''entrée'!$E$44=0),35,'Données_d''entrée'!$E$44)*52))</f>
        <v>16.658711101877199</v>
      </c>
      <c r="V406" s="4">
        <v>4.25</v>
      </c>
      <c r="W4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6" s="4">
        <v>234.5</v>
      </c>
      <c r="Y406" s="4">
        <f>(Base[[#This Row],['[Maladies']Coûts_évités_par_salarié]]+Base[[#This Row],['[Travail']Coûts_évités_par_salarié]])/Base[[#This Row],[Budget_santé_salarié]]</f>
        <v>8.2199598851030176E-2</v>
      </c>
      <c r="Z406" s="4">
        <v>0.8</v>
      </c>
      <c r="AA406" s="4">
        <f>Base[[#This Row],[Coût]]*Base[[#This Row],[Part_société_dépenses_santé]]</f>
        <v>6.1410362769300963</v>
      </c>
      <c r="AB406" s="4">
        <v>67635124</v>
      </c>
      <c r="AC406" s="4">
        <v>82.297079063317852</v>
      </c>
      <c r="AD406" s="4">
        <v>0.1079</v>
      </c>
      <c r="AE406" s="4">
        <f>Base[[#This Row],['[SC']Prévalence_travail]]*Base[[#This Row],[Population_emploi]]</f>
        <v>2988830</v>
      </c>
      <c r="AF406" s="4">
        <f>Base[[#This Row],[Risque]]*Base[[#This Row],['[SC']Patients_en_emploi]]</f>
        <v>1403442.4227638061</v>
      </c>
      <c r="AG406" s="4">
        <v>0</v>
      </c>
      <c r="AH406" s="4">
        <f>IFERROR(Base[[#This Row],['[SC']Prestations]]/Base[[#This Row],['[SC']Patients_en_emploi]],0)</f>
        <v>0</v>
      </c>
      <c r="AI406" s="4">
        <v>51.7</v>
      </c>
      <c r="AJ4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6" s="4">
        <f>Base[[#This Row],['[SC']'[Travail']Coûts_évités]]/Base[[#This Row],[Population_emploi]]</f>
        <v>3.2742767715202512</v>
      </c>
      <c r="AL406" s="4">
        <f>Base[[#This Row],[Coût_société]]*10^9*Base[[#This Row],[Risque]]*Base[[#This Row],[Prévalence]]*Base[[#This Row],[Part_coûts_salarié]]/Base[[#This Row],[Population_emploi]]</f>
        <v>9.2882293527026718</v>
      </c>
      <c r="AM406" s="4">
        <f>IF(Base[[#This Row],[Pathologie]]&lt;&gt;"Dépendance",0,14909.24243952)</f>
        <v>0</v>
      </c>
      <c r="AN406" s="4">
        <f>IF(Base[[#This Row],[Pathologie]]&lt;&gt;"Dépendance",0,1316000)</f>
        <v>0</v>
      </c>
      <c r="AO406" s="4">
        <f>IF(Base[[#This Row],[Pathologie]]&lt;&gt;"Dépendance",0,Base[[#This Row],['[SC']Coût_personne_dépendante]]*Base[[#This Row],['[SC']Nb_personnes_dépendantes]])</f>
        <v>0</v>
      </c>
      <c r="AP406" s="4">
        <f>IF(Base[[#This Row],[Pathologie]]&lt;&gt;"Dépendance",0,Base[[#This Row],['[SC']Coût_total_dépendance]]/Base[[#This Row],[Population_totale]])</f>
        <v>0</v>
      </c>
      <c r="AQ406" s="4">
        <f>IF(Base[[#This Row],[Pathologie]]&lt;&gt;"Dépendance",0,4.5)</f>
        <v>0</v>
      </c>
      <c r="AR406" s="4">
        <v>0.83987615528424797</v>
      </c>
      <c r="AS406" s="4">
        <f>Base[[#This Row],[Espérance_vie]]+Base[[#This Row],['[SC']Hausse_esp_de_vie]]-Base[[#This Row],['[SC']Durée_moyenne_dépendance_avt]]+Base[[#This Row],[Risque]]</f>
        <v>83.60651769715183</v>
      </c>
      <c r="AT4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6" s="4">
        <v>62.9</v>
      </c>
      <c r="AW406" s="4">
        <f t="shared" si="8"/>
        <v>336905600000</v>
      </c>
      <c r="AX406" s="4">
        <v>15049171</v>
      </c>
      <c r="AY406" s="4">
        <f>Base[[#This Row],['[SC']Budget_total_retraites]]/Base[[#This Row],['[SC']Nombre_de_retraités]]</f>
        <v>22386.987296509556</v>
      </c>
      <c r="AZ406" s="4">
        <f>Base[[#This Row],['[SC']Budget_par_retraité]]*Base[[#This Row],['[SC']Nb_personnes_dépendantes]]</f>
        <v>0</v>
      </c>
      <c r="BA406" s="4">
        <f>Base[[#This Row],['[SC']'[Dépendance']Coût_retraite_personnes_dépendantes]]/Base[[#This Row],[Population_totale]]</f>
        <v>0</v>
      </c>
      <c r="BB40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6" s="4">
        <f>Base[[#This Row],['[SC']'[Dépendance']Gains]]-Base[[#This Row],['[SC']'[Dépendance']Coûts]]</f>
        <v>0</v>
      </c>
      <c r="BD406" s="4">
        <f>IF(Base[[#This Row],[Pathologie]]&lt;&gt;"Mort prématurée",0,Base[[#This Row],[Risque]]*Base[[#This Row],[Prévalence]]*Base[[#This Row],[Population_totale]])</f>
        <v>0</v>
      </c>
      <c r="BE406" s="4">
        <v>52.74</v>
      </c>
      <c r="BF406" s="4">
        <f>Base[[#This Row],['[SC']Âge_moyen_retraite]]-Base[[#This Row],['[SC']'[Mort_prématurée']Âge_moyen_mort précoce]]</f>
        <v>10.159999999999997</v>
      </c>
      <c r="BG406" s="4">
        <f>Base[[#This Row],[Espérance_vie]]+Base[[#This Row],['[SC']Hausse_esp_de_vie]]-Base[[#This Row],['[SC']Âge_moyen_retraite]]</f>
        <v>20.236955218602098</v>
      </c>
      <c r="BH406" s="4">
        <v>106583.42676924677</v>
      </c>
      <c r="BI406" s="4">
        <v>97601.789429271477</v>
      </c>
      <c r="BJ406" s="4">
        <v>302038.31496633729</v>
      </c>
      <c r="BK406" s="4">
        <v>117293.58934859755</v>
      </c>
      <c r="BL406" s="4">
        <v>1523999.9999999995</v>
      </c>
      <c r="BM4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6" s="4">
        <v>294804.96027377353</v>
      </c>
      <c r="BO4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6" s="4">
        <f>(Base[[#This Row],['[SC']'[Mort_prématurée']Gains]]-Base[[#This Row],['[SC']'[Mort_prématurée']Coûts]])/Base[[#This Row],[Population_totale]]</f>
        <v>0</v>
      </c>
      <c r="BQ406" s="4">
        <f>IF(Base[[#This Row],[Pathologie]]&lt;&gt;"Mort prématurée",0,Base[[#This Row],[Risque]])</f>
        <v>0</v>
      </c>
      <c r="BR406" s="4">
        <v>2680</v>
      </c>
      <c r="BS4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6" s="4">
        <f>Base[[#This Row],[Prévalence_prod]]*(1-Base[[#This Row],[Risque]])*Base[[#This Row],[Durée_arrêt]]*Base[[#This Row],[Population_emploi]]</f>
        <v>6737897.2032538243</v>
      </c>
      <c r="BV406" s="4">
        <f>Base[[#This Row],['[Prod']'[Absentéisme']Total_jours_absence_avant]]-Base[[#This Row],['[Prod']'[Absentéisme']Total_jours_absence_après]]</f>
        <v>5964630.2967461739</v>
      </c>
      <c r="BW406" s="4">
        <f>IF(AND(Base[[#This Row],[Pathologie]]&lt;&gt;"Dépendance",Base[[#This Row],[Pathologie]]&lt;&gt;"Mort prématurée",Base[[#This Row],[Pathologie]]&lt;&gt;"Migraine"),0.0619,0)</f>
        <v>6.1899999999999997E-2</v>
      </c>
      <c r="BX406" s="4">
        <v>254</v>
      </c>
      <c r="BY40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6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6" s="4">
        <f>Base[[#This Row],[Prévalence_prod]]*Base[[#This Row],[Présentéisme]]*Base[[#This Row],['[Prod']Jours_ouvrés]]</f>
        <v>2.0966048999999995</v>
      </c>
      <c r="CB406" s="4">
        <f>Base[[#This Row],[Prévalence_prod]]*(1-Base[[#This Row],[Risque]])*Base[[#This Row],[Présentéisme]]*Base[[#This Row],['[Prod']Jours_ouvrés]]</f>
        <v>1.1121179066164795</v>
      </c>
      <c r="CC406" s="4">
        <f>Base[[#This Row],['[Prod']'[Présentéisme']Jours_avant]]-Base[[#This Row],['[Prod']'[Présentéisme']Jours_après]]</f>
        <v>0.98448699338352008</v>
      </c>
      <c r="CD406" s="4">
        <f>Base[[#This Row],['[Prod']'[Présentéisme']Jours_gagnés]]/Base[[#This Row],['[Prod']Jours_ouvrés]]</f>
        <v>3.875933044817008E-3</v>
      </c>
      <c r="CE406">
        <v>7.5880726467531134E-2</v>
      </c>
      <c r="CF406">
        <v>1.989821358241517E-2</v>
      </c>
      <c r="CG406" s="4">
        <v>11</v>
      </c>
      <c r="CH406" s="4">
        <v>0.19346787829229528</v>
      </c>
      <c r="CI406" s="4">
        <v>2.8126549817953091E-2</v>
      </c>
      <c r="CJ406" s="4">
        <f>IF(Base[[#This Row],[Secteur]]&lt;&gt;"Moyenne",Base[[#This Row],['[Prod']'[Turnover']DMC_initiale]]*(1+Base[[#This Row],['[Prod']'[Turnover']Ecart_accidents]]*Base[[#This Row],['[Prod']Impact_motifs_turnover]]),CJ389*CI389+CJ390*CI390+CJ391*CI391+CJ392*CI392+CJ393*CI393+CJ394*CI394+CJ395*CI395+CJ396*CI396+CJ397*CI397+CJ398*CI398+CJ399*CI399+CJ400*CI400+CJ401*CI401+CJ402*CI402+CJ403*CI403+CJ404*CI404+CJ405*CI405)</f>
        <v>11.042346316799566</v>
      </c>
      <c r="CK406" s="4">
        <f>1/Base[[#This Row],['[Prod']'[Turnover']DMC_initiale]]</f>
        <v>9.0909090909090912E-2</v>
      </c>
      <c r="CL406" s="4">
        <f>1/Base[[#This Row],['[Prod']'[Turnover']DMC_finale]]</f>
        <v>9.0560463447756881E-2</v>
      </c>
    </row>
    <row r="407" spans="2:90" x14ac:dyDescent="0.25">
      <c r="B407" s="4" t="s">
        <v>327</v>
      </c>
      <c r="C407">
        <v>15</v>
      </c>
      <c r="D407" t="s">
        <v>83</v>
      </c>
      <c r="E407" t="s">
        <v>12</v>
      </c>
      <c r="F407" s="3">
        <v>0.46956247854973554</v>
      </c>
      <c r="G407" s="3">
        <v>0.1079</v>
      </c>
      <c r="H407" s="3">
        <v>0.1079</v>
      </c>
      <c r="I407" s="3">
        <v>7.6499999999999999E-2</v>
      </c>
      <c r="J407" s="3">
        <v>7.67629534616262</v>
      </c>
      <c r="K407" s="3">
        <v>7.0000000000000007E-2</v>
      </c>
      <c r="L407" s="2">
        <f>Base[[#This Row],[Coût]]*Base[[#This Row],[Part_ménages_dépenses_santé]]</f>
        <v>0.53734067423138343</v>
      </c>
      <c r="M407" s="2">
        <v>0.82690611956969029</v>
      </c>
      <c r="N407" s="6">
        <v>27700000</v>
      </c>
      <c r="O407" s="7">
        <f>Base[[#This Row],[Coût_salarié]]*10^9*Base[[#This Row],[Risque]]*Base[[#This Row],[Prévalence]]*Base[[#This Row],[Part_coûts_salarié]]/Base[[#This Row],[Population_emploi]]</f>
        <v>0.81272006836148358</v>
      </c>
      <c r="P407">
        <v>50</v>
      </c>
      <c r="Q407">
        <v>50</v>
      </c>
      <c r="R407" s="2">
        <v>9.9999999999999978E-2</v>
      </c>
      <c r="S407" s="2">
        <v>0.33340000000000003</v>
      </c>
      <c r="T407" s="4">
        <v>0.1079</v>
      </c>
      <c r="U407" s="4">
        <f>IF(Bases_annexes!$F$5=0,16.6587111018772,0.77*Bases_annexes!$F$5/(IF(OR(ISBLANK('Données_d''entrée'!$E$44),'Données_d''entrée'!$E$44=0),35,'Données_d''entrée'!$E$44)*52))</f>
        <v>16.658711101877199</v>
      </c>
      <c r="V407" s="4">
        <v>4.25</v>
      </c>
      <c r="W4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7" s="4">
        <v>234.5</v>
      </c>
      <c r="Y407" s="4">
        <f>(Base[[#This Row],['[Maladies']Coûts_évités_par_salarié]]+Base[[#This Row],['[Travail']Coûts_évités_par_salarié]])/Base[[#This Row],[Budget_santé_salarié]]</f>
        <v>8.2199598851030176E-2</v>
      </c>
      <c r="Z407" s="4">
        <v>0.8</v>
      </c>
      <c r="AA407" s="4">
        <f>Base[[#This Row],[Coût]]*Base[[#This Row],[Part_société_dépenses_santé]]</f>
        <v>6.1410362769300963</v>
      </c>
      <c r="AB407" s="4">
        <v>67635124</v>
      </c>
      <c r="AC407" s="4">
        <v>82.297079063317852</v>
      </c>
      <c r="AD407" s="4">
        <v>0.1079</v>
      </c>
      <c r="AE407" s="4">
        <f>Base[[#This Row],['[SC']Prévalence_travail]]*Base[[#This Row],[Population_emploi]]</f>
        <v>2988830</v>
      </c>
      <c r="AF407" s="4">
        <f>Base[[#This Row],[Risque]]*Base[[#This Row],['[SC']Patients_en_emploi]]</f>
        <v>1403442.4227638061</v>
      </c>
      <c r="AG407" s="4">
        <v>0</v>
      </c>
      <c r="AH407" s="4">
        <f>IFERROR(Base[[#This Row],['[SC']Prestations]]/Base[[#This Row],['[SC']Patients_en_emploi]],0)</f>
        <v>0</v>
      </c>
      <c r="AI407" s="4">
        <v>51.7</v>
      </c>
      <c r="AJ4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7" s="4">
        <f>Base[[#This Row],['[SC']'[Travail']Coûts_évités]]/Base[[#This Row],[Population_emploi]]</f>
        <v>3.2742767715202512</v>
      </c>
      <c r="AL407" s="4">
        <f>Base[[#This Row],[Coût_société]]*10^9*Base[[#This Row],[Risque]]*Base[[#This Row],[Prévalence]]*Base[[#This Row],[Part_coûts_salarié]]/Base[[#This Row],[Population_emploi]]</f>
        <v>9.2882293527026718</v>
      </c>
      <c r="AM407" s="4">
        <f>IF(Base[[#This Row],[Pathologie]]&lt;&gt;"Dépendance",0,14909.24243952)</f>
        <v>0</v>
      </c>
      <c r="AN407" s="4">
        <f>IF(Base[[#This Row],[Pathologie]]&lt;&gt;"Dépendance",0,1316000)</f>
        <v>0</v>
      </c>
      <c r="AO407" s="4">
        <f>IF(Base[[#This Row],[Pathologie]]&lt;&gt;"Dépendance",0,Base[[#This Row],['[SC']Coût_personne_dépendante]]*Base[[#This Row],['[SC']Nb_personnes_dépendantes]])</f>
        <v>0</v>
      </c>
      <c r="AP407" s="4">
        <f>IF(Base[[#This Row],[Pathologie]]&lt;&gt;"Dépendance",0,Base[[#This Row],['[SC']Coût_total_dépendance]]/Base[[#This Row],[Population_totale]])</f>
        <v>0</v>
      </c>
      <c r="AQ407" s="4">
        <f>IF(Base[[#This Row],[Pathologie]]&lt;&gt;"Dépendance",0,4.5)</f>
        <v>0</v>
      </c>
      <c r="AR407" s="4">
        <v>0.83987615528424797</v>
      </c>
      <c r="AS407" s="4">
        <f>Base[[#This Row],[Espérance_vie]]+Base[[#This Row],['[SC']Hausse_esp_de_vie]]-Base[[#This Row],['[SC']Durée_moyenne_dépendance_avt]]+Base[[#This Row],[Risque]]</f>
        <v>83.60651769715183</v>
      </c>
      <c r="AT4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7" s="4">
        <v>62.9</v>
      </c>
      <c r="AW407" s="4">
        <f t="shared" si="8"/>
        <v>336905600000</v>
      </c>
      <c r="AX407" s="4">
        <v>15049171</v>
      </c>
      <c r="AY407" s="4">
        <f>Base[[#This Row],['[SC']Budget_total_retraites]]/Base[[#This Row],['[SC']Nombre_de_retraités]]</f>
        <v>22386.987296509556</v>
      </c>
      <c r="AZ407" s="4">
        <f>Base[[#This Row],['[SC']Budget_par_retraité]]*Base[[#This Row],['[SC']Nb_personnes_dépendantes]]</f>
        <v>0</v>
      </c>
      <c r="BA407" s="4">
        <f>Base[[#This Row],['[SC']'[Dépendance']Coût_retraite_personnes_dépendantes]]/Base[[#This Row],[Population_totale]]</f>
        <v>0</v>
      </c>
      <c r="BB40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7" s="4">
        <f>Base[[#This Row],['[SC']'[Dépendance']Gains]]-Base[[#This Row],['[SC']'[Dépendance']Coûts]]</f>
        <v>0</v>
      </c>
      <c r="BD407" s="4">
        <f>IF(Base[[#This Row],[Pathologie]]&lt;&gt;"Mort prématurée",0,Base[[#This Row],[Risque]]*Base[[#This Row],[Prévalence]]*Base[[#This Row],[Population_totale]])</f>
        <v>0</v>
      </c>
      <c r="BE407" s="4">
        <v>52.74</v>
      </c>
      <c r="BF407" s="4">
        <f>Base[[#This Row],['[SC']Âge_moyen_retraite]]-Base[[#This Row],['[SC']'[Mort_prématurée']Âge_moyen_mort précoce]]</f>
        <v>10.159999999999997</v>
      </c>
      <c r="BG407" s="4">
        <f>Base[[#This Row],[Espérance_vie]]+Base[[#This Row],['[SC']Hausse_esp_de_vie]]-Base[[#This Row],['[SC']Âge_moyen_retraite]]</f>
        <v>20.236955218602098</v>
      </c>
      <c r="BH407" s="4">
        <v>106583.42676924677</v>
      </c>
      <c r="BI407" s="4">
        <v>97601.789429271477</v>
      </c>
      <c r="BJ407" s="4">
        <v>302038.31496633729</v>
      </c>
      <c r="BK407" s="4">
        <v>117293.58934859755</v>
      </c>
      <c r="BL407" s="4">
        <v>1523999.9999999995</v>
      </c>
      <c r="BM4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7" s="4">
        <v>294804.96027377353</v>
      </c>
      <c r="BO4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7" s="4">
        <f>(Base[[#This Row],['[SC']'[Mort_prématurée']Gains]]-Base[[#This Row],['[SC']'[Mort_prématurée']Coûts]])/Base[[#This Row],[Population_totale]]</f>
        <v>0</v>
      </c>
      <c r="BQ407" s="4">
        <f>IF(Base[[#This Row],[Pathologie]]&lt;&gt;"Mort prématurée",0,Base[[#This Row],[Risque]])</f>
        <v>0</v>
      </c>
      <c r="BR407" s="4">
        <v>2680</v>
      </c>
      <c r="BS4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7" s="4">
        <f>Base[[#This Row],[Prévalence_prod]]*(1-Base[[#This Row],[Risque]])*Base[[#This Row],[Durée_arrêt]]*Base[[#This Row],[Population_emploi]]</f>
        <v>6737897.2032538243</v>
      </c>
      <c r="BV407" s="4">
        <f>Base[[#This Row],['[Prod']'[Absentéisme']Total_jours_absence_avant]]-Base[[#This Row],['[Prod']'[Absentéisme']Total_jours_absence_après]]</f>
        <v>5964630.2967461739</v>
      </c>
      <c r="BW407" s="4">
        <f>IF(AND(Base[[#This Row],[Pathologie]]&lt;&gt;"Dépendance",Base[[#This Row],[Pathologie]]&lt;&gt;"Mort prématurée",Base[[#This Row],[Pathologie]]&lt;&gt;"Migraine"),0.0619,0)</f>
        <v>6.1899999999999997E-2</v>
      </c>
      <c r="BX407" s="4">
        <v>254</v>
      </c>
      <c r="BY407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7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7" s="4">
        <f>Base[[#This Row],[Prévalence_prod]]*Base[[#This Row],[Présentéisme]]*Base[[#This Row],['[Prod']Jours_ouvrés]]</f>
        <v>2.0966048999999995</v>
      </c>
      <c r="CB407" s="4">
        <f>Base[[#This Row],[Prévalence_prod]]*(1-Base[[#This Row],[Risque]])*Base[[#This Row],[Présentéisme]]*Base[[#This Row],['[Prod']Jours_ouvrés]]</f>
        <v>1.1121179066164795</v>
      </c>
      <c r="CC407" s="4">
        <f>Base[[#This Row],['[Prod']'[Présentéisme']Jours_avant]]-Base[[#This Row],['[Prod']'[Présentéisme']Jours_après]]</f>
        <v>0.98448699338352008</v>
      </c>
      <c r="CD407" s="4">
        <f>Base[[#This Row],['[Prod']'[Présentéisme']Jours_gagnés]]/Base[[#This Row],['[Prod']Jours_ouvrés]]</f>
        <v>3.875933044817008E-3</v>
      </c>
      <c r="CE407">
        <v>7.5880726467531134E-2</v>
      </c>
      <c r="CF407">
        <v>1.989821358241517E-2</v>
      </c>
      <c r="CG407" s="4">
        <v>11</v>
      </c>
      <c r="CH407" s="4">
        <v>0.13729577077682142</v>
      </c>
      <c r="CI407" s="4">
        <v>1.373516710817578E-2</v>
      </c>
      <c r="CJ407" s="4">
        <f>IF(Base[[#This Row],[Secteur]]&lt;&gt;"Moyenne",Base[[#This Row],['[Prod']'[Turnover']DMC_initiale]]*(1+Base[[#This Row],['[Prod']'[Turnover']Ecart_accidents]]*Base[[#This Row],['[Prod']Impact_motifs_turnover]]),CJ390*CI390+CJ391*CI391+CJ392*CI392+CJ393*CI393+CJ394*CI394+CJ395*CI395+CJ396*CI396+CJ397*CI397+CJ398*CI398+CJ399*CI399+CJ400*CI400+CJ401*CI401+CJ402*CI402+CJ403*CI403+CJ404*CI404+CJ405*CI405+CJ406*CI406)</f>
        <v>11.030051346279674</v>
      </c>
      <c r="CK407" s="4">
        <f>1/Base[[#This Row],['[Prod']'[Turnover']DMC_initiale]]</f>
        <v>9.0909090909090912E-2</v>
      </c>
      <c r="CL407" s="4">
        <f>1/Base[[#This Row],['[Prod']'[Turnover']DMC_finale]]</f>
        <v>9.0661409326738093E-2</v>
      </c>
    </row>
    <row r="408" spans="2:90" x14ac:dyDescent="0.25">
      <c r="B408" s="4" t="s">
        <v>328</v>
      </c>
      <c r="C408">
        <v>15</v>
      </c>
      <c r="D408" t="s">
        <v>83</v>
      </c>
      <c r="E408" t="s">
        <v>12</v>
      </c>
      <c r="F408" s="3">
        <v>0.46956247854973554</v>
      </c>
      <c r="G408" s="3">
        <v>0.1079</v>
      </c>
      <c r="H408" s="3">
        <v>0.1079</v>
      </c>
      <c r="I408" s="3">
        <v>7.6499999999999999E-2</v>
      </c>
      <c r="J408" s="3">
        <v>7.67629534616262</v>
      </c>
      <c r="K408" s="3">
        <v>7.0000000000000007E-2</v>
      </c>
      <c r="L408" s="2">
        <f>Base[[#This Row],[Coût]]*Base[[#This Row],[Part_ménages_dépenses_santé]]</f>
        <v>0.53734067423138343</v>
      </c>
      <c r="M408" s="2">
        <v>0.82690611956969029</v>
      </c>
      <c r="N408" s="6">
        <v>27700000</v>
      </c>
      <c r="O408" s="7">
        <f>Base[[#This Row],[Coût_salarié]]*10^9*Base[[#This Row],[Risque]]*Base[[#This Row],[Prévalence]]*Base[[#This Row],[Part_coûts_salarié]]/Base[[#This Row],[Population_emploi]]</f>
        <v>0.81272006836148358</v>
      </c>
      <c r="P408">
        <v>50</v>
      </c>
      <c r="Q408">
        <v>50</v>
      </c>
      <c r="R408" s="2">
        <v>9.9999999999999978E-2</v>
      </c>
      <c r="S408" s="2">
        <v>0.33340000000000003</v>
      </c>
      <c r="T408" s="4">
        <v>0.1079</v>
      </c>
      <c r="U408" s="4">
        <f>IF(Bases_annexes!$F$5=0,16.6587111018772,0.77*Bases_annexes!$F$5/(IF(OR(ISBLANK('Données_d''entrée'!$E$44),'Données_d''entrée'!$E$44=0),35,'Données_d''entrée'!$E$44)*52))</f>
        <v>16.658711101877199</v>
      </c>
      <c r="V408" s="4">
        <v>4.25</v>
      </c>
      <c r="W4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8" s="4">
        <v>234.5</v>
      </c>
      <c r="Y408" s="4">
        <f>(Base[[#This Row],['[Maladies']Coûts_évités_par_salarié]]+Base[[#This Row],['[Travail']Coûts_évités_par_salarié]])/Base[[#This Row],[Budget_santé_salarié]]</f>
        <v>8.2199598851030176E-2</v>
      </c>
      <c r="Z408" s="4">
        <v>0.8</v>
      </c>
      <c r="AA408" s="4">
        <f>Base[[#This Row],[Coût]]*Base[[#This Row],[Part_société_dépenses_santé]]</f>
        <v>6.1410362769300963</v>
      </c>
      <c r="AB408" s="4">
        <v>67635124</v>
      </c>
      <c r="AC408" s="4">
        <v>82.297079063317852</v>
      </c>
      <c r="AD408" s="4">
        <v>0.1079</v>
      </c>
      <c r="AE408" s="4">
        <f>Base[[#This Row],['[SC']Prévalence_travail]]*Base[[#This Row],[Population_emploi]]</f>
        <v>2988830</v>
      </c>
      <c r="AF408" s="4">
        <f>Base[[#This Row],[Risque]]*Base[[#This Row],['[SC']Patients_en_emploi]]</f>
        <v>1403442.4227638061</v>
      </c>
      <c r="AG408" s="4">
        <v>0</v>
      </c>
      <c r="AH408" s="4">
        <f>IFERROR(Base[[#This Row],['[SC']Prestations]]/Base[[#This Row],['[SC']Patients_en_emploi]],0)</f>
        <v>0</v>
      </c>
      <c r="AI408" s="4">
        <v>51.7</v>
      </c>
      <c r="AJ4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8" s="4">
        <f>Base[[#This Row],['[SC']'[Travail']Coûts_évités]]/Base[[#This Row],[Population_emploi]]</f>
        <v>3.2742767715202512</v>
      </c>
      <c r="AL408" s="4">
        <f>Base[[#This Row],[Coût_société]]*10^9*Base[[#This Row],[Risque]]*Base[[#This Row],[Prévalence]]*Base[[#This Row],[Part_coûts_salarié]]/Base[[#This Row],[Population_emploi]]</f>
        <v>9.2882293527026718</v>
      </c>
      <c r="AM408" s="4">
        <f>IF(Base[[#This Row],[Pathologie]]&lt;&gt;"Dépendance",0,14909.24243952)</f>
        <v>0</v>
      </c>
      <c r="AN408" s="4">
        <f>IF(Base[[#This Row],[Pathologie]]&lt;&gt;"Dépendance",0,1316000)</f>
        <v>0</v>
      </c>
      <c r="AO408" s="4">
        <f>IF(Base[[#This Row],[Pathologie]]&lt;&gt;"Dépendance",0,Base[[#This Row],['[SC']Coût_personne_dépendante]]*Base[[#This Row],['[SC']Nb_personnes_dépendantes]])</f>
        <v>0</v>
      </c>
      <c r="AP408" s="4">
        <f>IF(Base[[#This Row],[Pathologie]]&lt;&gt;"Dépendance",0,Base[[#This Row],['[SC']Coût_total_dépendance]]/Base[[#This Row],[Population_totale]])</f>
        <v>0</v>
      </c>
      <c r="AQ408" s="4">
        <f>IF(Base[[#This Row],[Pathologie]]&lt;&gt;"Dépendance",0,4.5)</f>
        <v>0</v>
      </c>
      <c r="AR408" s="4">
        <v>0.83987615528424797</v>
      </c>
      <c r="AS408" s="4">
        <f>Base[[#This Row],[Espérance_vie]]+Base[[#This Row],['[SC']Hausse_esp_de_vie]]-Base[[#This Row],['[SC']Durée_moyenne_dépendance_avt]]+Base[[#This Row],[Risque]]</f>
        <v>83.60651769715183</v>
      </c>
      <c r="AT4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8" s="4">
        <v>62.9</v>
      </c>
      <c r="AW408" s="4">
        <f t="shared" si="8"/>
        <v>336905600000</v>
      </c>
      <c r="AX408" s="4">
        <v>15049171</v>
      </c>
      <c r="AY408" s="4">
        <f>Base[[#This Row],['[SC']Budget_total_retraites]]/Base[[#This Row],['[SC']Nombre_de_retraités]]</f>
        <v>22386.987296509556</v>
      </c>
      <c r="AZ408" s="4">
        <f>Base[[#This Row],['[SC']Budget_par_retraité]]*Base[[#This Row],['[SC']Nb_personnes_dépendantes]]</f>
        <v>0</v>
      </c>
      <c r="BA408" s="4">
        <f>Base[[#This Row],['[SC']'[Dépendance']Coût_retraite_personnes_dépendantes]]/Base[[#This Row],[Population_totale]]</f>
        <v>0</v>
      </c>
      <c r="BB40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8" s="4">
        <f>Base[[#This Row],['[SC']'[Dépendance']Gains]]-Base[[#This Row],['[SC']'[Dépendance']Coûts]]</f>
        <v>0</v>
      </c>
      <c r="BD408" s="4">
        <f>IF(Base[[#This Row],[Pathologie]]&lt;&gt;"Mort prématurée",0,Base[[#This Row],[Risque]]*Base[[#This Row],[Prévalence]]*Base[[#This Row],[Population_totale]])</f>
        <v>0</v>
      </c>
      <c r="BE408" s="4">
        <v>52.74</v>
      </c>
      <c r="BF408" s="4">
        <f>Base[[#This Row],['[SC']Âge_moyen_retraite]]-Base[[#This Row],['[SC']'[Mort_prématurée']Âge_moyen_mort précoce]]</f>
        <v>10.159999999999997</v>
      </c>
      <c r="BG408" s="4">
        <f>Base[[#This Row],[Espérance_vie]]+Base[[#This Row],['[SC']Hausse_esp_de_vie]]-Base[[#This Row],['[SC']Âge_moyen_retraite]]</f>
        <v>20.236955218602098</v>
      </c>
      <c r="BH408" s="4">
        <v>106583.42676924677</v>
      </c>
      <c r="BI408" s="4">
        <v>97601.789429271477</v>
      </c>
      <c r="BJ408" s="4">
        <v>302038.31496633729</v>
      </c>
      <c r="BK408" s="4">
        <v>117293.58934859755</v>
      </c>
      <c r="BL408" s="4">
        <v>1523999.9999999995</v>
      </c>
      <c r="BM4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8" s="4">
        <v>294804.96027377353</v>
      </c>
      <c r="BO4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8" s="4">
        <f>(Base[[#This Row],['[SC']'[Mort_prématurée']Gains]]-Base[[#This Row],['[SC']'[Mort_prématurée']Coûts]])/Base[[#This Row],[Population_totale]]</f>
        <v>0</v>
      </c>
      <c r="BQ408" s="4">
        <f>IF(Base[[#This Row],[Pathologie]]&lt;&gt;"Mort prématurée",0,Base[[#This Row],[Risque]])</f>
        <v>0</v>
      </c>
      <c r="BR408" s="4">
        <v>2680</v>
      </c>
      <c r="BS4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8" s="4">
        <f>Base[[#This Row],[Prévalence_prod]]*(1-Base[[#This Row],[Risque]])*Base[[#This Row],[Durée_arrêt]]*Base[[#This Row],[Population_emploi]]</f>
        <v>6737897.2032538243</v>
      </c>
      <c r="BV408" s="4">
        <f>Base[[#This Row],['[Prod']'[Absentéisme']Total_jours_absence_avant]]-Base[[#This Row],['[Prod']'[Absentéisme']Total_jours_absence_après]]</f>
        <v>5964630.2967461739</v>
      </c>
      <c r="BW408" s="4">
        <f>IF(AND(Base[[#This Row],[Pathologie]]&lt;&gt;"Dépendance",Base[[#This Row],[Pathologie]]&lt;&gt;"Mort prématurée",Base[[#This Row],[Pathologie]]&lt;&gt;"Migraine"),0.0619,0)</f>
        <v>6.1899999999999997E-2</v>
      </c>
      <c r="BX408" s="4">
        <v>254</v>
      </c>
      <c r="BY408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8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8" s="4">
        <f>Base[[#This Row],[Prévalence_prod]]*Base[[#This Row],[Présentéisme]]*Base[[#This Row],['[Prod']Jours_ouvrés]]</f>
        <v>2.0966048999999995</v>
      </c>
      <c r="CB408" s="4">
        <f>Base[[#This Row],[Prévalence_prod]]*(1-Base[[#This Row],[Risque]])*Base[[#This Row],[Présentéisme]]*Base[[#This Row],['[Prod']Jours_ouvrés]]</f>
        <v>1.1121179066164795</v>
      </c>
      <c r="CC408" s="4">
        <f>Base[[#This Row],['[Prod']'[Présentéisme']Jours_avant]]-Base[[#This Row],['[Prod']'[Présentéisme']Jours_après]]</f>
        <v>0.98448699338352008</v>
      </c>
      <c r="CD408" s="4">
        <f>Base[[#This Row],['[Prod']'[Présentéisme']Jours_gagnés]]/Base[[#This Row],['[Prod']Jours_ouvrés]]</f>
        <v>3.875933044817008E-3</v>
      </c>
      <c r="CE408">
        <v>7.5880726467531134E-2</v>
      </c>
      <c r="CF408">
        <v>1.989821358241517E-2</v>
      </c>
      <c r="CG408" s="4">
        <v>11</v>
      </c>
      <c r="CH408" s="4">
        <v>0.60922528771817497</v>
      </c>
      <c r="CI408" s="4">
        <v>3.8601807163334179E-3</v>
      </c>
      <c r="CJ408" s="4">
        <f>IF(Base[[#This Row],[Secteur]]&lt;&gt;"Moyenne",Base[[#This Row],['[Prod']'[Turnover']DMC_initiale]]*(1+Base[[#This Row],['[Prod']'[Turnover']Ecart_accidents]]*Base[[#This Row],['[Prod']Impact_motifs_turnover]]),CJ391*CI391+CJ392*CI392+CJ393*CI393+CJ394*CI394+CJ395*CI395+CJ396*CI396+CJ397*CI397+CJ398*CI398+CJ399*CI399+CJ400*CI400+CJ401*CI401+CJ402*CI402+CJ403*CI403+CJ404*CI404+CJ405*CI405+CJ406*CI406+CJ407*CI407)</f>
        <v>11.133347443843071</v>
      </c>
      <c r="CK408" s="4">
        <f>1/Base[[#This Row],['[Prod']'[Turnover']DMC_initiale]]</f>
        <v>9.0909090909090912E-2</v>
      </c>
      <c r="CL408" s="4">
        <f>1/Base[[#This Row],['[Prod']'[Turnover']DMC_finale]]</f>
        <v>8.9820245442265148E-2</v>
      </c>
    </row>
    <row r="409" spans="2:90" x14ac:dyDescent="0.25">
      <c r="B409" s="4" t="s">
        <v>329</v>
      </c>
      <c r="C409">
        <v>15</v>
      </c>
      <c r="D409" t="s">
        <v>83</v>
      </c>
      <c r="E409" t="s">
        <v>12</v>
      </c>
      <c r="F409" s="3">
        <v>0.46956247854973554</v>
      </c>
      <c r="G409" s="3">
        <v>0.1079</v>
      </c>
      <c r="H409" s="3">
        <v>0.1079</v>
      </c>
      <c r="I409" s="3">
        <v>7.6499999999999999E-2</v>
      </c>
      <c r="J409" s="3">
        <v>7.67629534616262</v>
      </c>
      <c r="K409" s="3">
        <v>7.0000000000000007E-2</v>
      </c>
      <c r="L409" s="2">
        <f>Base[[#This Row],[Coût]]*Base[[#This Row],[Part_ménages_dépenses_santé]]</f>
        <v>0.53734067423138343</v>
      </c>
      <c r="M409" s="2">
        <v>0.82690611956969029</v>
      </c>
      <c r="N409" s="6">
        <v>27700000</v>
      </c>
      <c r="O409" s="7">
        <f>Base[[#This Row],[Coût_salarié]]*10^9*Base[[#This Row],[Risque]]*Base[[#This Row],[Prévalence]]*Base[[#This Row],[Part_coûts_salarié]]/Base[[#This Row],[Population_emploi]]</f>
        <v>0.81272006836148358</v>
      </c>
      <c r="P409">
        <v>50</v>
      </c>
      <c r="Q409">
        <v>50</v>
      </c>
      <c r="R409" s="2">
        <v>9.9999999999999978E-2</v>
      </c>
      <c r="S409" s="2">
        <v>0.33340000000000003</v>
      </c>
      <c r="T409" s="4">
        <v>0.1079</v>
      </c>
      <c r="U409" s="4">
        <f>IF(Bases_annexes!$F$5=0,16.6587111018772,0.77*Bases_annexes!$F$5/(IF(OR(ISBLANK('Données_d''entrée'!$E$44),'Données_d''entrée'!$E$44=0),35,'Données_d''entrée'!$E$44)*52))</f>
        <v>16.658711101877199</v>
      </c>
      <c r="V409" s="4">
        <v>4.25</v>
      </c>
      <c r="W4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09" s="4">
        <v>234.5</v>
      </c>
      <c r="Y409" s="4">
        <f>(Base[[#This Row],['[Maladies']Coûts_évités_par_salarié]]+Base[[#This Row],['[Travail']Coûts_évités_par_salarié]])/Base[[#This Row],[Budget_santé_salarié]]</f>
        <v>8.2199598851030176E-2</v>
      </c>
      <c r="Z409" s="4">
        <v>0.8</v>
      </c>
      <c r="AA409" s="4">
        <f>Base[[#This Row],[Coût]]*Base[[#This Row],[Part_société_dépenses_santé]]</f>
        <v>6.1410362769300963</v>
      </c>
      <c r="AB409" s="4">
        <v>67635124</v>
      </c>
      <c r="AC409" s="4">
        <v>82.297079063317852</v>
      </c>
      <c r="AD409" s="4">
        <v>0.1079</v>
      </c>
      <c r="AE409" s="4">
        <f>Base[[#This Row],['[SC']Prévalence_travail]]*Base[[#This Row],[Population_emploi]]</f>
        <v>2988830</v>
      </c>
      <c r="AF409" s="4">
        <f>Base[[#This Row],[Risque]]*Base[[#This Row],['[SC']Patients_en_emploi]]</f>
        <v>1403442.4227638061</v>
      </c>
      <c r="AG409" s="4">
        <v>0</v>
      </c>
      <c r="AH409" s="4">
        <f>IFERROR(Base[[#This Row],['[SC']Prestations]]/Base[[#This Row],['[SC']Patients_en_emploi]],0)</f>
        <v>0</v>
      </c>
      <c r="AI409" s="4">
        <v>51.7</v>
      </c>
      <c r="AJ4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09" s="4">
        <f>Base[[#This Row],['[SC']'[Travail']Coûts_évités]]/Base[[#This Row],[Population_emploi]]</f>
        <v>3.2742767715202512</v>
      </c>
      <c r="AL409" s="4">
        <f>Base[[#This Row],[Coût_société]]*10^9*Base[[#This Row],[Risque]]*Base[[#This Row],[Prévalence]]*Base[[#This Row],[Part_coûts_salarié]]/Base[[#This Row],[Population_emploi]]</f>
        <v>9.2882293527026718</v>
      </c>
      <c r="AM409" s="4">
        <f>IF(Base[[#This Row],[Pathologie]]&lt;&gt;"Dépendance",0,14909.24243952)</f>
        <v>0</v>
      </c>
      <c r="AN409" s="4">
        <f>IF(Base[[#This Row],[Pathologie]]&lt;&gt;"Dépendance",0,1316000)</f>
        <v>0</v>
      </c>
      <c r="AO409" s="4">
        <f>IF(Base[[#This Row],[Pathologie]]&lt;&gt;"Dépendance",0,Base[[#This Row],['[SC']Coût_personne_dépendante]]*Base[[#This Row],['[SC']Nb_personnes_dépendantes]])</f>
        <v>0</v>
      </c>
      <c r="AP409" s="4">
        <f>IF(Base[[#This Row],[Pathologie]]&lt;&gt;"Dépendance",0,Base[[#This Row],['[SC']Coût_total_dépendance]]/Base[[#This Row],[Population_totale]])</f>
        <v>0</v>
      </c>
      <c r="AQ409" s="4">
        <f>IF(Base[[#This Row],[Pathologie]]&lt;&gt;"Dépendance",0,4.5)</f>
        <v>0</v>
      </c>
      <c r="AR409" s="4">
        <v>0.83987615528424797</v>
      </c>
      <c r="AS409" s="4">
        <f>Base[[#This Row],[Espérance_vie]]+Base[[#This Row],['[SC']Hausse_esp_de_vie]]-Base[[#This Row],['[SC']Durée_moyenne_dépendance_avt]]+Base[[#This Row],[Risque]]</f>
        <v>83.60651769715183</v>
      </c>
      <c r="AT4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09" s="4">
        <v>62.9</v>
      </c>
      <c r="AW409" s="4">
        <f t="shared" si="8"/>
        <v>336905600000</v>
      </c>
      <c r="AX409" s="4">
        <v>15049171</v>
      </c>
      <c r="AY409" s="4">
        <f>Base[[#This Row],['[SC']Budget_total_retraites]]/Base[[#This Row],['[SC']Nombre_de_retraités]]</f>
        <v>22386.987296509556</v>
      </c>
      <c r="AZ409" s="4">
        <f>Base[[#This Row],['[SC']Budget_par_retraité]]*Base[[#This Row],['[SC']Nb_personnes_dépendantes]]</f>
        <v>0</v>
      </c>
      <c r="BA409" s="4">
        <f>Base[[#This Row],['[SC']'[Dépendance']Coût_retraite_personnes_dépendantes]]/Base[[#This Row],[Population_totale]]</f>
        <v>0</v>
      </c>
      <c r="BB40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09" s="4">
        <f>Base[[#This Row],['[SC']'[Dépendance']Gains]]-Base[[#This Row],['[SC']'[Dépendance']Coûts]]</f>
        <v>0</v>
      </c>
      <c r="BD409" s="4">
        <f>IF(Base[[#This Row],[Pathologie]]&lt;&gt;"Mort prématurée",0,Base[[#This Row],[Risque]]*Base[[#This Row],[Prévalence]]*Base[[#This Row],[Population_totale]])</f>
        <v>0</v>
      </c>
      <c r="BE409" s="4">
        <v>52.74</v>
      </c>
      <c r="BF409" s="4">
        <f>Base[[#This Row],['[SC']Âge_moyen_retraite]]-Base[[#This Row],['[SC']'[Mort_prématurée']Âge_moyen_mort précoce]]</f>
        <v>10.159999999999997</v>
      </c>
      <c r="BG409" s="4">
        <f>Base[[#This Row],[Espérance_vie]]+Base[[#This Row],['[SC']Hausse_esp_de_vie]]-Base[[#This Row],['[SC']Âge_moyen_retraite]]</f>
        <v>20.236955218602098</v>
      </c>
      <c r="BH409" s="4">
        <v>106583.42676924677</v>
      </c>
      <c r="BI409" s="4">
        <v>97601.789429271477</v>
      </c>
      <c r="BJ409" s="4">
        <v>302038.31496633729</v>
      </c>
      <c r="BK409" s="4">
        <v>117293.58934859755</v>
      </c>
      <c r="BL409" s="4">
        <v>1523999.9999999995</v>
      </c>
      <c r="BM4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09" s="4">
        <v>294804.96027377353</v>
      </c>
      <c r="BO4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09" s="4">
        <f>(Base[[#This Row],['[SC']'[Mort_prématurée']Gains]]-Base[[#This Row],['[SC']'[Mort_prématurée']Coûts]])/Base[[#This Row],[Population_totale]]</f>
        <v>0</v>
      </c>
      <c r="BQ409" s="4">
        <f>IF(Base[[#This Row],[Pathologie]]&lt;&gt;"Mort prématurée",0,Base[[#This Row],[Risque]])</f>
        <v>0</v>
      </c>
      <c r="BR409" s="4">
        <v>2680</v>
      </c>
      <c r="BS4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09" s="4">
        <f>Base[[#This Row],[Prévalence_prod]]*(1-Base[[#This Row],[Risque]])*Base[[#This Row],[Durée_arrêt]]*Base[[#This Row],[Population_emploi]]</f>
        <v>6737897.2032538243</v>
      </c>
      <c r="BV409" s="4">
        <f>Base[[#This Row],['[Prod']'[Absentéisme']Total_jours_absence_avant]]-Base[[#This Row],['[Prod']'[Absentéisme']Total_jours_absence_après]]</f>
        <v>5964630.2967461739</v>
      </c>
      <c r="BW409" s="4">
        <f>IF(AND(Base[[#This Row],[Pathologie]]&lt;&gt;"Dépendance",Base[[#This Row],[Pathologie]]&lt;&gt;"Mort prématurée",Base[[#This Row],[Pathologie]]&lt;&gt;"Migraine"),0.0619,0)</f>
        <v>6.1899999999999997E-2</v>
      </c>
      <c r="BX409" s="4">
        <v>254</v>
      </c>
      <c r="BY409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09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09" s="4">
        <f>Base[[#This Row],[Prévalence_prod]]*Base[[#This Row],[Présentéisme]]*Base[[#This Row],['[Prod']Jours_ouvrés]]</f>
        <v>2.0966048999999995</v>
      </c>
      <c r="CB409" s="4">
        <f>Base[[#This Row],[Prévalence_prod]]*(1-Base[[#This Row],[Risque]])*Base[[#This Row],[Présentéisme]]*Base[[#This Row],['[Prod']Jours_ouvrés]]</f>
        <v>1.1121179066164795</v>
      </c>
      <c r="CC409" s="4">
        <f>Base[[#This Row],['[Prod']'[Présentéisme']Jours_avant]]-Base[[#This Row],['[Prod']'[Présentéisme']Jours_après]]</f>
        <v>0.98448699338352008</v>
      </c>
      <c r="CD409" s="4">
        <f>Base[[#This Row],['[Prod']'[Présentéisme']Jours_gagnés]]/Base[[#This Row],['[Prod']Jours_ouvrés]]</f>
        <v>3.875933044817008E-3</v>
      </c>
      <c r="CE409">
        <v>7.5880726467531134E-2</v>
      </c>
      <c r="CF409">
        <v>1.989821358241517E-2</v>
      </c>
      <c r="CG409" s="4">
        <v>11</v>
      </c>
      <c r="CH409" s="4">
        <v>0.78414927716175975</v>
      </c>
      <c r="CI409" s="4">
        <v>0.12835819090128339</v>
      </c>
      <c r="CJ409" s="4">
        <f>IF(Base[[#This Row],[Secteur]]&lt;&gt;"Moyenne",Base[[#This Row],['[Prod']'[Turnover']DMC_initiale]]*(1+Base[[#This Row],['[Prod']'[Turnover']Ecart_accidents]]*Base[[#This Row],['[Prod']Impact_motifs_turnover]]),CJ392*CI392+CJ393*CI393+CJ394*CI394+CJ395*CI395+CJ396*CI396+CJ397*CI397+CJ398*CI398+CJ399*CI399+CJ400*CI400+CJ401*CI401+CJ402*CI402+CJ403*CI403+CJ404*CI404+CJ405*CI405+CJ406*CI406+CJ407*CI407+CJ408*CI408)</f>
        <v>11.171634867772074</v>
      </c>
      <c r="CK409" s="4">
        <f>1/Base[[#This Row],['[Prod']'[Turnover']DMC_initiale]]</f>
        <v>9.0909090909090912E-2</v>
      </c>
      <c r="CL409" s="4">
        <f>1/Base[[#This Row],['[Prod']'[Turnover']DMC_finale]]</f>
        <v>8.9512413521927708E-2</v>
      </c>
    </row>
    <row r="410" spans="2:90" x14ac:dyDescent="0.25">
      <c r="B410" s="4" t="s">
        <v>330</v>
      </c>
      <c r="C410">
        <v>15</v>
      </c>
      <c r="D410" t="s">
        <v>83</v>
      </c>
      <c r="E410" t="s">
        <v>12</v>
      </c>
      <c r="F410" s="3">
        <v>0.46956247854973554</v>
      </c>
      <c r="G410" s="3">
        <v>0.1079</v>
      </c>
      <c r="H410" s="3">
        <v>0.1079</v>
      </c>
      <c r="I410" s="3">
        <v>7.6499999999999999E-2</v>
      </c>
      <c r="J410" s="3">
        <v>7.67629534616262</v>
      </c>
      <c r="K410" s="3">
        <v>7.0000000000000007E-2</v>
      </c>
      <c r="L410" s="2">
        <f>Base[[#This Row],[Coût]]*Base[[#This Row],[Part_ménages_dépenses_santé]]</f>
        <v>0.53734067423138343</v>
      </c>
      <c r="M410" s="2">
        <v>0.82690611956969029</v>
      </c>
      <c r="N410" s="6">
        <v>27700000</v>
      </c>
      <c r="O410" s="7">
        <f>Base[[#This Row],[Coût_salarié]]*10^9*Base[[#This Row],[Risque]]*Base[[#This Row],[Prévalence]]*Base[[#This Row],[Part_coûts_salarié]]/Base[[#This Row],[Population_emploi]]</f>
        <v>0.81272006836148358</v>
      </c>
      <c r="P410">
        <v>50</v>
      </c>
      <c r="Q410">
        <v>50</v>
      </c>
      <c r="R410" s="2">
        <v>9.9999999999999978E-2</v>
      </c>
      <c r="S410" s="2">
        <v>0.33340000000000003</v>
      </c>
      <c r="T410" s="4">
        <v>0.1079</v>
      </c>
      <c r="U410" s="4">
        <f>IF(Bases_annexes!$F$5=0,16.6587111018772,0.77*Bases_annexes!$F$5/(IF(OR(ISBLANK('Données_d''entrée'!$E$44),'Données_d''entrée'!$E$44=0),35,'Données_d''entrée'!$E$44)*52))</f>
        <v>16.658711101877199</v>
      </c>
      <c r="V410" s="4">
        <v>4.25</v>
      </c>
      <c r="W4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10" s="4">
        <v>234.5</v>
      </c>
      <c r="Y410" s="4">
        <f>(Base[[#This Row],['[Maladies']Coûts_évités_par_salarié]]+Base[[#This Row],['[Travail']Coûts_évités_par_salarié]])/Base[[#This Row],[Budget_santé_salarié]]</f>
        <v>8.2199598851030176E-2</v>
      </c>
      <c r="Z410" s="4">
        <v>0.8</v>
      </c>
      <c r="AA410" s="4">
        <f>Base[[#This Row],[Coût]]*Base[[#This Row],[Part_société_dépenses_santé]]</f>
        <v>6.1410362769300963</v>
      </c>
      <c r="AB410" s="4">
        <v>67635124</v>
      </c>
      <c r="AC410" s="4">
        <v>82.297079063317852</v>
      </c>
      <c r="AD410" s="4">
        <v>0.1079</v>
      </c>
      <c r="AE410" s="4">
        <f>Base[[#This Row],['[SC']Prévalence_travail]]*Base[[#This Row],[Population_emploi]]</f>
        <v>2988830</v>
      </c>
      <c r="AF410" s="4">
        <f>Base[[#This Row],[Risque]]*Base[[#This Row],['[SC']Patients_en_emploi]]</f>
        <v>1403442.4227638061</v>
      </c>
      <c r="AG410" s="4">
        <v>0</v>
      </c>
      <c r="AH410" s="4">
        <f>IFERROR(Base[[#This Row],['[SC']Prestations]]/Base[[#This Row],['[SC']Patients_en_emploi]],0)</f>
        <v>0</v>
      </c>
      <c r="AI410" s="4">
        <v>51.7</v>
      </c>
      <c r="AJ4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10" s="4">
        <f>Base[[#This Row],['[SC']'[Travail']Coûts_évités]]/Base[[#This Row],[Population_emploi]]</f>
        <v>3.2742767715202512</v>
      </c>
      <c r="AL410" s="4">
        <f>Base[[#This Row],[Coût_société]]*10^9*Base[[#This Row],[Risque]]*Base[[#This Row],[Prévalence]]*Base[[#This Row],[Part_coûts_salarié]]/Base[[#This Row],[Population_emploi]]</f>
        <v>9.2882293527026718</v>
      </c>
      <c r="AM410" s="4">
        <f>IF(Base[[#This Row],[Pathologie]]&lt;&gt;"Dépendance",0,14909.24243952)</f>
        <v>0</v>
      </c>
      <c r="AN410" s="4">
        <f>IF(Base[[#This Row],[Pathologie]]&lt;&gt;"Dépendance",0,1316000)</f>
        <v>0</v>
      </c>
      <c r="AO410" s="4">
        <f>IF(Base[[#This Row],[Pathologie]]&lt;&gt;"Dépendance",0,Base[[#This Row],['[SC']Coût_personne_dépendante]]*Base[[#This Row],['[SC']Nb_personnes_dépendantes]])</f>
        <v>0</v>
      </c>
      <c r="AP410" s="4">
        <f>IF(Base[[#This Row],[Pathologie]]&lt;&gt;"Dépendance",0,Base[[#This Row],['[SC']Coût_total_dépendance]]/Base[[#This Row],[Population_totale]])</f>
        <v>0</v>
      </c>
      <c r="AQ410" s="4">
        <f>IF(Base[[#This Row],[Pathologie]]&lt;&gt;"Dépendance",0,4.5)</f>
        <v>0</v>
      </c>
      <c r="AR410" s="4">
        <v>0.83987615528424797</v>
      </c>
      <c r="AS410" s="4">
        <f>Base[[#This Row],[Espérance_vie]]+Base[[#This Row],['[SC']Hausse_esp_de_vie]]-Base[[#This Row],['[SC']Durée_moyenne_dépendance_avt]]+Base[[#This Row],[Risque]]</f>
        <v>83.60651769715183</v>
      </c>
      <c r="AT4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10" s="4">
        <v>62.9</v>
      </c>
      <c r="AW410" s="4">
        <f t="shared" si="8"/>
        <v>336905600000</v>
      </c>
      <c r="AX410" s="4">
        <v>15049171</v>
      </c>
      <c r="AY410" s="4">
        <f>Base[[#This Row],['[SC']Budget_total_retraites]]/Base[[#This Row],['[SC']Nombre_de_retraités]]</f>
        <v>22386.987296509556</v>
      </c>
      <c r="AZ410" s="4">
        <f>Base[[#This Row],['[SC']Budget_par_retraité]]*Base[[#This Row],['[SC']Nb_personnes_dépendantes]]</f>
        <v>0</v>
      </c>
      <c r="BA410" s="4">
        <f>Base[[#This Row],['[SC']'[Dépendance']Coût_retraite_personnes_dépendantes]]/Base[[#This Row],[Population_totale]]</f>
        <v>0</v>
      </c>
      <c r="BB41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10" s="4">
        <f>Base[[#This Row],['[SC']'[Dépendance']Gains]]-Base[[#This Row],['[SC']'[Dépendance']Coûts]]</f>
        <v>0</v>
      </c>
      <c r="BD410" s="4">
        <f>IF(Base[[#This Row],[Pathologie]]&lt;&gt;"Mort prématurée",0,Base[[#This Row],[Risque]]*Base[[#This Row],[Prévalence]]*Base[[#This Row],[Population_totale]])</f>
        <v>0</v>
      </c>
      <c r="BE410" s="4">
        <v>52.74</v>
      </c>
      <c r="BF410" s="4">
        <f>Base[[#This Row],['[SC']Âge_moyen_retraite]]-Base[[#This Row],['[SC']'[Mort_prématurée']Âge_moyen_mort précoce]]</f>
        <v>10.159999999999997</v>
      </c>
      <c r="BG410" s="4">
        <f>Base[[#This Row],[Espérance_vie]]+Base[[#This Row],['[SC']Hausse_esp_de_vie]]-Base[[#This Row],['[SC']Âge_moyen_retraite]]</f>
        <v>20.236955218602098</v>
      </c>
      <c r="BH410" s="4">
        <v>106583.42676924677</v>
      </c>
      <c r="BI410" s="4">
        <v>97601.789429271477</v>
      </c>
      <c r="BJ410" s="4">
        <v>302038.31496633729</v>
      </c>
      <c r="BK410" s="4">
        <v>117293.58934859755</v>
      </c>
      <c r="BL410" s="4">
        <v>1523999.9999999995</v>
      </c>
      <c r="BM4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0" s="4">
        <v>294804.96027377353</v>
      </c>
      <c r="BO4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0" s="4">
        <f>(Base[[#This Row],['[SC']'[Mort_prématurée']Gains]]-Base[[#This Row],['[SC']'[Mort_prématurée']Coûts]])/Base[[#This Row],[Population_totale]]</f>
        <v>0</v>
      </c>
      <c r="BQ410" s="4">
        <f>IF(Base[[#This Row],[Pathologie]]&lt;&gt;"Mort prématurée",0,Base[[#This Row],[Risque]])</f>
        <v>0</v>
      </c>
      <c r="BR410" s="4">
        <v>2680</v>
      </c>
      <c r="BS4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10" s="4">
        <f>Base[[#This Row],[Prévalence_prod]]*(1-Base[[#This Row],[Risque]])*Base[[#This Row],[Durée_arrêt]]*Base[[#This Row],[Population_emploi]]</f>
        <v>6737897.2032538243</v>
      </c>
      <c r="BV410" s="4">
        <f>Base[[#This Row],['[Prod']'[Absentéisme']Total_jours_absence_avant]]-Base[[#This Row],['[Prod']'[Absentéisme']Total_jours_absence_après]]</f>
        <v>5964630.2967461739</v>
      </c>
      <c r="BW410" s="4">
        <f>IF(AND(Base[[#This Row],[Pathologie]]&lt;&gt;"Dépendance",Base[[#This Row],[Pathologie]]&lt;&gt;"Mort prématurée",Base[[#This Row],[Pathologie]]&lt;&gt;"Migraine"),0.0619,0)</f>
        <v>6.1899999999999997E-2</v>
      </c>
      <c r="BX410" s="4">
        <v>254</v>
      </c>
      <c r="BY410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10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10" s="4">
        <f>Base[[#This Row],[Prévalence_prod]]*Base[[#This Row],[Présentéisme]]*Base[[#This Row],['[Prod']Jours_ouvrés]]</f>
        <v>2.0966048999999995</v>
      </c>
      <c r="CB410" s="4">
        <f>Base[[#This Row],[Prévalence_prod]]*(1-Base[[#This Row],[Risque]])*Base[[#This Row],[Présentéisme]]*Base[[#This Row],['[Prod']Jours_ouvrés]]</f>
        <v>1.1121179066164795</v>
      </c>
      <c r="CC410" s="4">
        <f>Base[[#This Row],['[Prod']'[Présentéisme']Jours_avant]]-Base[[#This Row],['[Prod']'[Présentéisme']Jours_après]]</f>
        <v>0.98448699338352008</v>
      </c>
      <c r="CD410" s="4">
        <f>Base[[#This Row],['[Prod']'[Présentéisme']Jours_gagnés]]/Base[[#This Row],['[Prod']Jours_ouvrés]]</f>
        <v>3.875933044817008E-3</v>
      </c>
      <c r="CE410">
        <v>7.5880726467531134E-2</v>
      </c>
      <c r="CF410">
        <v>1.989821358241517E-2</v>
      </c>
      <c r="CG410" s="4">
        <v>11</v>
      </c>
      <c r="CH410" s="4">
        <v>0.99648427619813984</v>
      </c>
      <c r="CI410" s="4">
        <v>0.42377466100567313</v>
      </c>
      <c r="CJ410" s="4">
        <f>IF(Base[[#This Row],[Secteur]]&lt;&gt;"Moyenne",Base[[#This Row],['[Prod']'[Turnover']DMC_initiale]]*(1+Base[[#This Row],['[Prod']'[Turnover']Ecart_accidents]]*Base[[#This Row],['[Prod']Impact_motifs_turnover]]),CJ393*CI393+CJ394*CI394+CJ395*CI395+CJ396*CI396+CJ397*CI397+CJ398*CI398+CJ399*CI399+CJ400*CI400+CJ401*CI401+CJ402*CI402+CJ403*CI403+CJ404*CI404+CJ405*CI405+CJ406*CI406+CJ407*CI407+CJ408*CI408+CJ409*CI409)</f>
        <v>11.218110826552397</v>
      </c>
      <c r="CK410" s="4">
        <f>1/Base[[#This Row],['[Prod']'[Turnover']DMC_initiale]]</f>
        <v>9.0909090909090912E-2</v>
      </c>
      <c r="CL410" s="4">
        <f>1/Base[[#This Row],['[Prod']'[Turnover']DMC_finale]]</f>
        <v>8.9141568973723953E-2</v>
      </c>
    </row>
    <row r="411" spans="2:90" x14ac:dyDescent="0.25">
      <c r="B411" s="4" t="s">
        <v>331</v>
      </c>
      <c r="C411">
        <v>15</v>
      </c>
      <c r="D411" t="s">
        <v>83</v>
      </c>
      <c r="E411" t="s">
        <v>12</v>
      </c>
      <c r="F411" s="3">
        <v>0.46956247854973554</v>
      </c>
      <c r="G411" s="3">
        <v>0.1079</v>
      </c>
      <c r="H411" s="3">
        <v>0.1079</v>
      </c>
      <c r="I411" s="3">
        <v>7.6499999999999999E-2</v>
      </c>
      <c r="J411" s="3">
        <v>7.67629534616262</v>
      </c>
      <c r="K411" s="3">
        <v>7.0000000000000007E-2</v>
      </c>
      <c r="L411" s="2">
        <f>Base[[#This Row],[Coût]]*Base[[#This Row],[Part_ménages_dépenses_santé]]</f>
        <v>0.53734067423138343</v>
      </c>
      <c r="M411" s="2">
        <v>0.82690611956969029</v>
      </c>
      <c r="N411" s="6">
        <v>27700000</v>
      </c>
      <c r="O411" s="7">
        <f>Base[[#This Row],[Coût_salarié]]*10^9*Base[[#This Row],[Risque]]*Base[[#This Row],[Prévalence]]*Base[[#This Row],[Part_coûts_salarié]]/Base[[#This Row],[Population_emploi]]</f>
        <v>0.81272006836148358</v>
      </c>
      <c r="P411">
        <v>50</v>
      </c>
      <c r="Q411">
        <v>50</v>
      </c>
      <c r="R411" s="2">
        <v>9.9999999999999978E-2</v>
      </c>
      <c r="S411" s="2">
        <v>0.33340000000000003</v>
      </c>
      <c r="T411" s="4">
        <v>0.1079</v>
      </c>
      <c r="U411" s="4">
        <f>IF(Bases_annexes!$F$5=0,16.6587111018772,0.77*Bases_annexes!$F$5/(IF(OR(ISBLANK('Données_d''entrée'!$E$44),'Données_d''entrée'!$E$44=0),35,'Données_d''entrée'!$E$44)*52))</f>
        <v>16.658711101877199</v>
      </c>
      <c r="V411" s="4">
        <v>4.25</v>
      </c>
      <c r="W4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11" s="4">
        <v>234.5</v>
      </c>
      <c r="Y411" s="4">
        <f>(Base[[#This Row],['[Maladies']Coûts_évités_par_salarié]]+Base[[#This Row],['[Travail']Coûts_évités_par_salarié]])/Base[[#This Row],[Budget_santé_salarié]]</f>
        <v>8.2199598851030176E-2</v>
      </c>
      <c r="Z411" s="4">
        <v>0.8</v>
      </c>
      <c r="AA411" s="4">
        <f>Base[[#This Row],[Coût]]*Base[[#This Row],[Part_société_dépenses_santé]]</f>
        <v>6.1410362769300963</v>
      </c>
      <c r="AB411" s="4">
        <v>67635124</v>
      </c>
      <c r="AC411" s="4">
        <v>82.297079063317852</v>
      </c>
      <c r="AD411" s="4">
        <v>0.1079</v>
      </c>
      <c r="AE411" s="4">
        <f>Base[[#This Row],['[SC']Prévalence_travail]]*Base[[#This Row],[Population_emploi]]</f>
        <v>2988830</v>
      </c>
      <c r="AF411" s="4">
        <f>Base[[#This Row],[Risque]]*Base[[#This Row],['[SC']Patients_en_emploi]]</f>
        <v>1403442.4227638061</v>
      </c>
      <c r="AG411" s="4">
        <v>0</v>
      </c>
      <c r="AH411" s="4">
        <f>IFERROR(Base[[#This Row],['[SC']Prestations]]/Base[[#This Row],['[SC']Patients_en_emploi]],0)</f>
        <v>0</v>
      </c>
      <c r="AI411" s="4">
        <v>51.7</v>
      </c>
      <c r="AJ4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11" s="4">
        <f>Base[[#This Row],['[SC']'[Travail']Coûts_évités]]/Base[[#This Row],[Population_emploi]]</f>
        <v>3.2742767715202512</v>
      </c>
      <c r="AL411" s="4">
        <f>Base[[#This Row],[Coût_société]]*10^9*Base[[#This Row],[Risque]]*Base[[#This Row],[Prévalence]]*Base[[#This Row],[Part_coûts_salarié]]/Base[[#This Row],[Population_emploi]]</f>
        <v>9.2882293527026718</v>
      </c>
      <c r="AM411" s="4">
        <f>IF(Base[[#This Row],[Pathologie]]&lt;&gt;"Dépendance",0,14909.24243952)</f>
        <v>0</v>
      </c>
      <c r="AN411" s="4">
        <f>IF(Base[[#This Row],[Pathologie]]&lt;&gt;"Dépendance",0,1316000)</f>
        <v>0</v>
      </c>
      <c r="AO411" s="4">
        <f>IF(Base[[#This Row],[Pathologie]]&lt;&gt;"Dépendance",0,Base[[#This Row],['[SC']Coût_personne_dépendante]]*Base[[#This Row],['[SC']Nb_personnes_dépendantes]])</f>
        <v>0</v>
      </c>
      <c r="AP411" s="4">
        <f>IF(Base[[#This Row],[Pathologie]]&lt;&gt;"Dépendance",0,Base[[#This Row],['[SC']Coût_total_dépendance]]/Base[[#This Row],[Population_totale]])</f>
        <v>0</v>
      </c>
      <c r="AQ411" s="4">
        <f>IF(Base[[#This Row],[Pathologie]]&lt;&gt;"Dépendance",0,4.5)</f>
        <v>0</v>
      </c>
      <c r="AR411" s="4">
        <v>0.83987615528424797</v>
      </c>
      <c r="AS411" s="4">
        <f>Base[[#This Row],[Espérance_vie]]+Base[[#This Row],['[SC']Hausse_esp_de_vie]]-Base[[#This Row],['[SC']Durée_moyenne_dépendance_avt]]+Base[[#This Row],[Risque]]</f>
        <v>83.60651769715183</v>
      </c>
      <c r="AT4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11" s="4">
        <v>62.9</v>
      </c>
      <c r="AW411" s="4">
        <f t="shared" si="8"/>
        <v>336905600000</v>
      </c>
      <c r="AX411" s="4">
        <v>15049171</v>
      </c>
      <c r="AY411" s="4">
        <f>Base[[#This Row],['[SC']Budget_total_retraites]]/Base[[#This Row],['[SC']Nombre_de_retraités]]</f>
        <v>22386.987296509556</v>
      </c>
      <c r="AZ411" s="4">
        <f>Base[[#This Row],['[SC']Budget_par_retraité]]*Base[[#This Row],['[SC']Nb_personnes_dépendantes]]</f>
        <v>0</v>
      </c>
      <c r="BA411" s="4">
        <f>Base[[#This Row],['[SC']'[Dépendance']Coût_retraite_personnes_dépendantes]]/Base[[#This Row],[Population_totale]]</f>
        <v>0</v>
      </c>
      <c r="BB41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11" s="4">
        <f>Base[[#This Row],['[SC']'[Dépendance']Gains]]-Base[[#This Row],['[SC']'[Dépendance']Coûts]]</f>
        <v>0</v>
      </c>
      <c r="BD411" s="4">
        <f>IF(Base[[#This Row],[Pathologie]]&lt;&gt;"Mort prématurée",0,Base[[#This Row],[Risque]]*Base[[#This Row],[Prévalence]]*Base[[#This Row],[Population_totale]])</f>
        <v>0</v>
      </c>
      <c r="BE411" s="4">
        <v>52.74</v>
      </c>
      <c r="BF411" s="4">
        <f>Base[[#This Row],['[SC']Âge_moyen_retraite]]-Base[[#This Row],['[SC']'[Mort_prématurée']Âge_moyen_mort précoce]]</f>
        <v>10.159999999999997</v>
      </c>
      <c r="BG411" s="4">
        <f>Base[[#This Row],[Espérance_vie]]+Base[[#This Row],['[SC']Hausse_esp_de_vie]]-Base[[#This Row],['[SC']Âge_moyen_retraite]]</f>
        <v>20.236955218602098</v>
      </c>
      <c r="BH411" s="4">
        <v>106583.42676924677</v>
      </c>
      <c r="BI411" s="4">
        <v>97601.789429271477</v>
      </c>
      <c r="BJ411" s="4">
        <v>302038.31496633729</v>
      </c>
      <c r="BK411" s="4">
        <v>117293.58934859755</v>
      </c>
      <c r="BL411" s="4">
        <v>1523999.9999999995</v>
      </c>
      <c r="BM4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1" s="4">
        <v>294804.96027377353</v>
      </c>
      <c r="BO4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1" s="4">
        <f>(Base[[#This Row],['[SC']'[Mort_prématurée']Gains]]-Base[[#This Row],['[SC']'[Mort_prématurée']Coûts]])/Base[[#This Row],[Population_totale]]</f>
        <v>0</v>
      </c>
      <c r="BQ411" s="4">
        <f>IF(Base[[#This Row],[Pathologie]]&lt;&gt;"Mort prématurée",0,Base[[#This Row],[Risque]])</f>
        <v>0</v>
      </c>
      <c r="BR411" s="4">
        <v>2680</v>
      </c>
      <c r="BS4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11" s="4">
        <f>Base[[#This Row],[Prévalence_prod]]*(1-Base[[#This Row],[Risque]])*Base[[#This Row],[Durée_arrêt]]*Base[[#This Row],[Population_emploi]]</f>
        <v>6737897.2032538243</v>
      </c>
      <c r="BV411" s="4">
        <f>Base[[#This Row],['[Prod']'[Absentéisme']Total_jours_absence_avant]]-Base[[#This Row],['[Prod']'[Absentéisme']Total_jours_absence_après]]</f>
        <v>5964630.2967461739</v>
      </c>
      <c r="BW411" s="4">
        <f>IF(AND(Base[[#This Row],[Pathologie]]&lt;&gt;"Dépendance",Base[[#This Row],[Pathologie]]&lt;&gt;"Mort prématurée",Base[[#This Row],[Pathologie]]&lt;&gt;"Migraine"),0.0619,0)</f>
        <v>6.1899999999999997E-2</v>
      </c>
      <c r="BX411" s="4">
        <v>254</v>
      </c>
      <c r="BY41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11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11" s="4">
        <f>Base[[#This Row],[Prévalence_prod]]*Base[[#This Row],[Présentéisme]]*Base[[#This Row],['[Prod']Jours_ouvrés]]</f>
        <v>2.0966048999999995</v>
      </c>
      <c r="CB411" s="4">
        <f>Base[[#This Row],[Prévalence_prod]]*(1-Base[[#This Row],[Risque]])*Base[[#This Row],[Présentéisme]]*Base[[#This Row],['[Prod']Jours_ouvrés]]</f>
        <v>1.1121179066164795</v>
      </c>
      <c r="CC411" s="4">
        <f>Base[[#This Row],['[Prod']'[Présentéisme']Jours_avant]]-Base[[#This Row],['[Prod']'[Présentéisme']Jours_après]]</f>
        <v>0.98448699338352008</v>
      </c>
      <c r="CD411" s="4">
        <f>Base[[#This Row],['[Prod']'[Présentéisme']Jours_gagnés]]/Base[[#This Row],['[Prod']Jours_ouvrés]]</f>
        <v>3.875933044817008E-3</v>
      </c>
      <c r="CE411">
        <v>7.5880726467531134E-2</v>
      </c>
      <c r="CF411">
        <v>1.989821358241517E-2</v>
      </c>
      <c r="CG411" s="4">
        <v>11</v>
      </c>
      <c r="CH411" s="4">
        <v>1.1593596509901765</v>
      </c>
      <c r="CI411" s="4">
        <v>4.0741311947357597E-2</v>
      </c>
      <c r="CJ411" s="4">
        <f>IF(Base[[#This Row],[Secteur]]&lt;&gt;"Moyenne",Base[[#This Row],['[Prod']'[Turnover']DMC_initiale]]*(1+Base[[#This Row],['[Prod']'[Turnover']Ecart_accidents]]*Base[[#This Row],['[Prod']Impact_motifs_turnover]]),CJ394*CI394+CJ395*CI395+CJ396*CI396+CJ397*CI397+CJ398*CI398+CJ399*CI399+CJ400*CI400+CJ401*CI401+CJ402*CI402+CJ403*CI403+CJ404*CI404+CJ405*CI405+CJ406*CI406+CJ407*CI407+CJ408*CI408+CJ409*CI409+CJ410*CI410)</f>
        <v>11.253761045496606</v>
      </c>
      <c r="CK411" s="4">
        <f>1/Base[[#This Row],['[Prod']'[Turnover']DMC_initiale]]</f>
        <v>9.0909090909090912E-2</v>
      </c>
      <c r="CL411" s="4">
        <f>1/Base[[#This Row],['[Prod']'[Turnover']DMC_finale]]</f>
        <v>8.8859181917690336E-2</v>
      </c>
    </row>
    <row r="412" spans="2:90" x14ac:dyDescent="0.25">
      <c r="B412" s="4" t="s">
        <v>332</v>
      </c>
      <c r="C412">
        <v>15</v>
      </c>
      <c r="D412" t="s">
        <v>83</v>
      </c>
      <c r="E412" t="s">
        <v>12</v>
      </c>
      <c r="F412" s="3">
        <v>0.46956247854973554</v>
      </c>
      <c r="G412" s="3">
        <v>0.1079</v>
      </c>
      <c r="H412" s="3">
        <v>0.1079</v>
      </c>
      <c r="I412" s="3">
        <v>7.6499999999999999E-2</v>
      </c>
      <c r="J412" s="3">
        <v>7.67629534616262</v>
      </c>
      <c r="K412" s="3">
        <v>7.0000000000000007E-2</v>
      </c>
      <c r="L412" s="2">
        <f>Base[[#This Row],[Coût]]*Base[[#This Row],[Part_ménages_dépenses_santé]]</f>
        <v>0.53734067423138343</v>
      </c>
      <c r="M412" s="2">
        <v>0.82690611956969029</v>
      </c>
      <c r="N412" s="6">
        <v>27700000</v>
      </c>
      <c r="O412" s="7">
        <f>Base[[#This Row],[Coût_salarié]]*10^9*Base[[#This Row],[Risque]]*Base[[#This Row],[Prévalence]]*Base[[#This Row],[Part_coûts_salarié]]/Base[[#This Row],[Population_emploi]]</f>
        <v>0.81272006836148358</v>
      </c>
      <c r="P412">
        <v>50</v>
      </c>
      <c r="Q412">
        <v>50</v>
      </c>
      <c r="R412" s="2">
        <v>9.9999999999999978E-2</v>
      </c>
      <c r="S412" s="2">
        <v>0.33340000000000003</v>
      </c>
      <c r="T412" s="4">
        <v>0.1079</v>
      </c>
      <c r="U412" s="4">
        <f>IF(Bases_annexes!$F$5=0,16.6587111018772,0.77*Bases_annexes!$F$5/(IF(OR(ISBLANK('Données_d''entrée'!$E$44),'Données_d''entrée'!$E$44=0),35,'Données_d''entrée'!$E$44)*52))</f>
        <v>16.658711101877199</v>
      </c>
      <c r="V412" s="4">
        <v>4.25</v>
      </c>
      <c r="W4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18.463085862205094</v>
      </c>
      <c r="X412" s="4">
        <v>234.5</v>
      </c>
      <c r="Y412" s="4">
        <f>(Base[[#This Row],['[Maladies']Coûts_évités_par_salarié]]+Base[[#This Row],['[Travail']Coûts_évités_par_salarié]])/Base[[#This Row],[Budget_santé_salarié]]</f>
        <v>8.2199598851030176E-2</v>
      </c>
      <c r="Z412" s="4">
        <v>0.8</v>
      </c>
      <c r="AA412" s="4">
        <f>Base[[#This Row],[Coût]]*Base[[#This Row],[Part_société_dépenses_santé]]</f>
        <v>6.1410362769300963</v>
      </c>
      <c r="AB412" s="4">
        <v>67635124</v>
      </c>
      <c r="AC412" s="4">
        <v>82.297079063317852</v>
      </c>
      <c r="AD412" s="4">
        <v>0.1079</v>
      </c>
      <c r="AE412" s="4">
        <f>Base[[#This Row],['[SC']Prévalence_travail]]*Base[[#This Row],[Population_emploi]]</f>
        <v>2988830</v>
      </c>
      <c r="AF412" s="4">
        <f>Base[[#This Row],[Risque]]*Base[[#This Row],['[SC']Patients_en_emploi]]</f>
        <v>1403442.4227638061</v>
      </c>
      <c r="AG412" s="4">
        <v>0</v>
      </c>
      <c r="AH412" s="4">
        <f>IFERROR(Base[[#This Row],['[SC']Prestations]]/Base[[#This Row],['[SC']Patients_en_emploi]],0)</f>
        <v>0</v>
      </c>
      <c r="AI412" s="4">
        <v>51.7</v>
      </c>
      <c r="AJ4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90697466.571110964</v>
      </c>
      <c r="AK412" s="4">
        <f>Base[[#This Row],['[SC']'[Travail']Coûts_évités]]/Base[[#This Row],[Population_emploi]]</f>
        <v>3.2742767715202512</v>
      </c>
      <c r="AL412" s="4">
        <f>Base[[#This Row],[Coût_société]]*10^9*Base[[#This Row],[Risque]]*Base[[#This Row],[Prévalence]]*Base[[#This Row],[Part_coûts_salarié]]/Base[[#This Row],[Population_emploi]]</f>
        <v>9.2882293527026718</v>
      </c>
      <c r="AM412" s="4">
        <f>IF(Base[[#This Row],[Pathologie]]&lt;&gt;"Dépendance",0,14909.24243952)</f>
        <v>0</v>
      </c>
      <c r="AN412" s="4">
        <f>IF(Base[[#This Row],[Pathologie]]&lt;&gt;"Dépendance",0,1316000)</f>
        <v>0</v>
      </c>
      <c r="AO412" s="4">
        <f>IF(Base[[#This Row],[Pathologie]]&lt;&gt;"Dépendance",0,Base[[#This Row],['[SC']Coût_personne_dépendante]]*Base[[#This Row],['[SC']Nb_personnes_dépendantes]])</f>
        <v>0</v>
      </c>
      <c r="AP412" s="4">
        <f>IF(Base[[#This Row],[Pathologie]]&lt;&gt;"Dépendance",0,Base[[#This Row],['[SC']Coût_total_dépendance]]/Base[[#This Row],[Population_totale]])</f>
        <v>0</v>
      </c>
      <c r="AQ412" s="4">
        <f>IF(Base[[#This Row],[Pathologie]]&lt;&gt;"Dépendance",0,4.5)</f>
        <v>0</v>
      </c>
      <c r="AR412" s="4">
        <v>0.83987615528424797</v>
      </c>
      <c r="AS412" s="4">
        <f>Base[[#This Row],[Espérance_vie]]+Base[[#This Row],['[SC']Hausse_esp_de_vie]]-Base[[#This Row],['[SC']Durée_moyenne_dépendance_avt]]+Base[[#This Row],[Risque]]</f>
        <v>83.60651769715183</v>
      </c>
      <c r="AT4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12" s="4">
        <v>62.9</v>
      </c>
      <c r="AW412" s="4">
        <f t="shared" si="8"/>
        <v>336905600000</v>
      </c>
      <c r="AX412" s="4">
        <v>15049171</v>
      </c>
      <c r="AY412" s="4">
        <f>Base[[#This Row],['[SC']Budget_total_retraites]]/Base[[#This Row],['[SC']Nombre_de_retraités]]</f>
        <v>22386.987296509556</v>
      </c>
      <c r="AZ412" s="4">
        <f>Base[[#This Row],['[SC']Budget_par_retraité]]*Base[[#This Row],['[SC']Nb_personnes_dépendantes]]</f>
        <v>0</v>
      </c>
      <c r="BA412" s="4">
        <f>Base[[#This Row],['[SC']'[Dépendance']Coût_retraite_personnes_dépendantes]]/Base[[#This Row],[Population_totale]]</f>
        <v>0</v>
      </c>
      <c r="BB41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12" s="4">
        <f>Base[[#This Row],['[SC']'[Dépendance']Gains]]-Base[[#This Row],['[SC']'[Dépendance']Coûts]]</f>
        <v>0</v>
      </c>
      <c r="BD412" s="4">
        <f>IF(Base[[#This Row],[Pathologie]]&lt;&gt;"Mort prématurée",0,Base[[#This Row],[Risque]]*Base[[#This Row],[Prévalence]]*Base[[#This Row],[Population_totale]])</f>
        <v>0</v>
      </c>
      <c r="BE412" s="4">
        <v>52.74</v>
      </c>
      <c r="BF412" s="4">
        <f>Base[[#This Row],['[SC']Âge_moyen_retraite]]-Base[[#This Row],['[SC']'[Mort_prématurée']Âge_moyen_mort précoce]]</f>
        <v>10.159999999999997</v>
      </c>
      <c r="BG412" s="4">
        <f>Base[[#This Row],[Espérance_vie]]+Base[[#This Row],['[SC']Hausse_esp_de_vie]]-Base[[#This Row],['[SC']Âge_moyen_retraite]]</f>
        <v>20.236955218602098</v>
      </c>
      <c r="BH412" s="4">
        <v>106583.42676924677</v>
      </c>
      <c r="BI412" s="4">
        <v>97601.789429271477</v>
      </c>
      <c r="BJ412" s="4">
        <v>302038.31496633729</v>
      </c>
      <c r="BK412" s="4">
        <v>117293.58934859755</v>
      </c>
      <c r="BL412" s="4">
        <v>1523999.9999999995</v>
      </c>
      <c r="BM4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2" s="4">
        <v>294804.96027377353</v>
      </c>
      <c r="BO4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2" s="4">
        <f>(Base[[#This Row],['[SC']'[Mort_prématurée']Gains]]-Base[[#This Row],['[SC']'[Mort_prématurée']Coûts]])/Base[[#This Row],[Population_totale]]</f>
        <v>0</v>
      </c>
      <c r="BQ412" s="4">
        <f>IF(Base[[#This Row],[Pathologie]]&lt;&gt;"Mort prématurée",0,Base[[#This Row],[Risque]])</f>
        <v>0</v>
      </c>
      <c r="BR412" s="4">
        <v>2680</v>
      </c>
      <c r="BS4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4.6875022851578067E-3</v>
      </c>
      <c r="BT4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412" s="4">
        <f>Base[[#This Row],[Prévalence_prod]]*(1-Base[[#This Row],[Risque]])*Base[[#This Row],[Durée_arrêt]]*Base[[#This Row],[Population_emploi]]</f>
        <v>6737897.2032538243</v>
      </c>
      <c r="BV412" s="4">
        <f>Base[[#This Row],['[Prod']'[Absentéisme']Total_jours_absence_avant]]-Base[[#This Row],['[Prod']'[Absentéisme']Total_jours_absence_après]]</f>
        <v>5964630.2967461739</v>
      </c>
      <c r="BW412" s="4">
        <f>IF(AND(Base[[#This Row],[Pathologie]]&lt;&gt;"Dépendance",Base[[#This Row],[Pathologie]]&lt;&gt;"Mort prématurée",Base[[#This Row],[Pathologie]]&lt;&gt;"Migraine"),0.0619,0)</f>
        <v>6.1899999999999997E-2</v>
      </c>
      <c r="BX412" s="4">
        <v>254</v>
      </c>
      <c r="BY41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412" s="4">
        <f>(Base[[#This Row],['[Prod']'[Absentéisme']Jours_théoriques]]-Base[[#This Row],['[Prod']'[Absentéisme']Total_jours_absence_évités]])/(Base[[#This Row],[Population_emploi]]*Base[[#This Row],['[Prod']Jours_ouvrés]])</f>
        <v>2.8778194461514155E-3</v>
      </c>
      <c r="CA412" s="4">
        <f>Base[[#This Row],[Prévalence_prod]]*Base[[#This Row],[Présentéisme]]*Base[[#This Row],['[Prod']Jours_ouvrés]]</f>
        <v>2.0966048999999995</v>
      </c>
      <c r="CB412" s="4">
        <f>Base[[#This Row],[Prévalence_prod]]*(1-Base[[#This Row],[Risque]])*Base[[#This Row],[Présentéisme]]*Base[[#This Row],['[Prod']Jours_ouvrés]]</f>
        <v>1.1121179066164795</v>
      </c>
      <c r="CC412" s="4">
        <f>Base[[#This Row],['[Prod']'[Présentéisme']Jours_avant]]-Base[[#This Row],['[Prod']'[Présentéisme']Jours_après]]</f>
        <v>0.98448699338352008</v>
      </c>
      <c r="CD412" s="4">
        <f>Base[[#This Row],['[Prod']'[Présentéisme']Jours_gagnés]]/Base[[#This Row],['[Prod']Jours_ouvrés]]</f>
        <v>3.875933044817008E-3</v>
      </c>
      <c r="CE412">
        <v>7.5880726467531134E-2</v>
      </c>
      <c r="CF412">
        <v>1.989821358241517E-2</v>
      </c>
      <c r="CG412" s="4">
        <v>11</v>
      </c>
      <c r="CH412" s="4">
        <v>0.85076983926913452</v>
      </c>
      <c r="CI412" s="4">
        <v>0</v>
      </c>
      <c r="CJ412" s="4">
        <f>IF(Base[[#This Row],[Secteur]]&lt;&gt;"Moyenne",Base[[#This Row],['[Prod']'[Turnover']DMC_initiale]]*(1+Base[[#This Row],['[Prod']'[Turnover']Ecart_accidents]]*Base[[#This Row],['[Prod']Impact_motifs_turnover]]),CJ395*CI395+CJ396*CI396+CJ397*CI397+CJ398*CI398+CJ399*CI399+CJ400*CI400+CJ401*CI401+CJ402*CI402+CJ403*CI403+CJ404*CI404+CJ405*CI405+CJ406*CI406+CJ407*CI407+CJ408*CI408+CJ409*CI409+CJ410*CI410+CJ411*CI411)</f>
        <v>11.186216799683796</v>
      </c>
      <c r="CK412" s="4">
        <f>1/Base[[#This Row],['[Prod']'[Turnover']DMC_initiale]]</f>
        <v>9.0909090909090912E-2</v>
      </c>
      <c r="CL412" s="4">
        <f>1/Base[[#This Row],['[Prod']'[Turnover']DMC_finale]]</f>
        <v>8.9395728502979416E-2</v>
      </c>
    </row>
    <row r="413" spans="2:90" x14ac:dyDescent="0.25">
      <c r="B413" s="4" t="s">
        <v>315</v>
      </c>
      <c r="C413">
        <v>15</v>
      </c>
      <c r="D413" t="s">
        <v>83</v>
      </c>
      <c r="E413" t="s">
        <v>42</v>
      </c>
      <c r="F413" s="3">
        <v>3.7420224740387296</v>
      </c>
      <c r="G413" s="3">
        <v>0.371</v>
      </c>
      <c r="H413" s="3">
        <v>0.371</v>
      </c>
      <c r="I413" s="3">
        <v>0</v>
      </c>
      <c r="J413" s="3">
        <v>0</v>
      </c>
      <c r="K413" s="3">
        <v>7.0000000000000007E-2</v>
      </c>
      <c r="L413" s="2">
        <f>Base[[#This Row],[Coût]]*Base[[#This Row],[Part_ménages_dépenses_santé]]</f>
        <v>0</v>
      </c>
      <c r="M413" s="2">
        <v>0</v>
      </c>
      <c r="N413" s="6">
        <v>27700000</v>
      </c>
      <c r="O413" s="7">
        <f>Base[[#This Row],[Coût_salarié]]*10^9*Base[[#This Row],[Risque]]*Base[[#This Row],[Prévalence]]*Base[[#This Row],[Part_coûts_salarié]]/Base[[#This Row],[Population_emploi]]</f>
        <v>0</v>
      </c>
      <c r="P413">
        <v>50</v>
      </c>
      <c r="Q413">
        <v>50</v>
      </c>
      <c r="R413" s="2">
        <v>9.9999999999999978E-2</v>
      </c>
      <c r="S413" s="2">
        <v>0.33340000000000003</v>
      </c>
      <c r="T413" s="4">
        <v>0</v>
      </c>
      <c r="U413" s="4">
        <f>IF(Bases_annexes!$F$5=0,16.6587111018772,0.77*Bases_annexes!$F$5/(IF(OR(ISBLANK('Données_d''entrée'!$E$44),'Données_d''entrée'!$E$44=0),35,'Données_d''entrée'!$E$44)*52))</f>
        <v>16.658711101877199</v>
      </c>
      <c r="V413" s="4">
        <v>0</v>
      </c>
      <c r="W4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3" s="4">
        <v>234.5</v>
      </c>
      <c r="Y413" s="4">
        <f>(Base[[#This Row],['[Maladies']Coûts_évités_par_salarié]]+Base[[#This Row],['[Travail']Coûts_évités_par_salarié]])/Base[[#This Row],[Budget_santé_salarié]]</f>
        <v>0</v>
      </c>
      <c r="Z413" s="4">
        <v>0.8</v>
      </c>
      <c r="AA413" s="4">
        <f>Base[[#This Row],[Coût]]*Base[[#This Row],[Part_société_dépenses_santé]]</f>
        <v>0</v>
      </c>
      <c r="AB413" s="4">
        <v>67635124</v>
      </c>
      <c r="AC413" s="4">
        <v>82.297079063317852</v>
      </c>
      <c r="AD413" s="4">
        <v>0</v>
      </c>
      <c r="AE413" s="4">
        <f>Base[[#This Row],['[SC']Prévalence_travail]]*Base[[#This Row],[Population_emploi]]</f>
        <v>0</v>
      </c>
      <c r="AF413" s="4">
        <f>Base[[#This Row],[Risque]]*Base[[#This Row],['[SC']Patients_en_emploi]]</f>
        <v>0</v>
      </c>
      <c r="AG413" s="4">
        <v>0</v>
      </c>
      <c r="AH413" s="4">
        <f>IFERROR(Base[[#This Row],['[SC']Prestations]]/Base[[#This Row],['[SC']Patients_en_emploi]],0)</f>
        <v>0</v>
      </c>
      <c r="AI413" s="4">
        <v>51.7</v>
      </c>
      <c r="AJ4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3" s="4">
        <f>Base[[#This Row],['[SC']'[Travail']Coûts_évités]]/Base[[#This Row],[Population_emploi]]</f>
        <v>0</v>
      </c>
      <c r="AL413" s="4">
        <f>Base[[#This Row],[Coût_société]]*10^9*Base[[#This Row],[Risque]]*Base[[#This Row],[Prévalence]]*Base[[#This Row],[Part_coûts_salarié]]/Base[[#This Row],[Population_emploi]]</f>
        <v>0</v>
      </c>
      <c r="AM413" s="4">
        <f>IF(Base[[#This Row],[Pathologie]]&lt;&gt;"Dépendance",0,14909.24243952)</f>
        <v>14909.24243952</v>
      </c>
      <c r="AN413" s="4">
        <f>IF(Base[[#This Row],[Pathologie]]&lt;&gt;"Dépendance",0,1316000)</f>
        <v>1316000</v>
      </c>
      <c r="AO413" s="4">
        <f>IF(Base[[#This Row],[Pathologie]]&lt;&gt;"Dépendance",0,Base[[#This Row],['[SC']Coût_personne_dépendante]]*Base[[#This Row],['[SC']Nb_personnes_dépendantes]])</f>
        <v>19620563050.408321</v>
      </c>
      <c r="AP413" s="4">
        <f>IF(Base[[#This Row],[Pathologie]]&lt;&gt;"Dépendance",0,Base[[#This Row],['[SC']Coût_total_dépendance]]/Base[[#This Row],[Population_totale]])</f>
        <v>290.09428666691468</v>
      </c>
      <c r="AQ413" s="4">
        <f>IF(Base[[#This Row],[Pathologie]]&lt;&gt;"Dépendance",0,4.5)</f>
        <v>4.5</v>
      </c>
      <c r="AR413" s="4">
        <v>0.83987615528424797</v>
      </c>
      <c r="AS413" s="4">
        <f>Base[[#This Row],[Espérance_vie]]+Base[[#This Row],['[SC']Hausse_esp_de_vie]]-Base[[#This Row],['[SC']Durée_moyenne_dépendance_avt]]+Base[[#This Row],[Risque]]</f>
        <v>82.378977692640831</v>
      </c>
      <c r="AT4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3" s="4">
        <v>62.9</v>
      </c>
      <c r="AW413" s="4">
        <f t="shared" si="0"/>
        <v>336905600000</v>
      </c>
      <c r="AX413" s="4">
        <v>15049171</v>
      </c>
      <c r="AY413" s="4">
        <f>Base[[#This Row],['[SC']Budget_total_retraites]]/Base[[#This Row],['[SC']Nombre_de_retraités]]</f>
        <v>22386.987296509556</v>
      </c>
      <c r="AZ413" s="4">
        <f>Base[[#This Row],['[SC']Budget_par_retraité]]*Base[[#This Row],['[SC']Nb_personnes_dépendantes]]</f>
        <v>29461275282.206577</v>
      </c>
      <c r="BA413" s="4">
        <f>Base[[#This Row],['[SC']'[Dépendance']Coût_retraite_personnes_dépendantes]]/Base[[#This Row],[Population_totale]]</f>
        <v>435.59135460750508</v>
      </c>
      <c r="BB413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3" s="4">
        <f>Base[[#This Row],['[SC']'[Dépendance']Gains]]-Base[[#This Row],['[SC']'[Dépendance']Coûts]]</f>
        <v>109.35302663174885</v>
      </c>
      <c r="BD413" s="4">
        <f>IF(Base[[#This Row],[Pathologie]]&lt;&gt;"Mort prématurée",0,Base[[#This Row],[Risque]]*Base[[#This Row],[Prévalence]]*Base[[#This Row],[Population_totale]])</f>
        <v>0</v>
      </c>
      <c r="BE413" s="4">
        <v>52.74</v>
      </c>
      <c r="BF413" s="4">
        <f>Base[[#This Row],['[SC']Âge_moyen_retraite]]-Base[[#This Row],['[SC']'[Mort_prématurée']Âge_moyen_mort précoce]]</f>
        <v>10.159999999999997</v>
      </c>
      <c r="BG413" s="4">
        <f>Base[[#This Row],[Espérance_vie]]+Base[[#This Row],['[SC']Hausse_esp_de_vie]]-Base[[#This Row],['[SC']Âge_moyen_retraite]]</f>
        <v>20.236955218602098</v>
      </c>
      <c r="BH413" s="4">
        <v>106583.42676924677</v>
      </c>
      <c r="BI413" s="4">
        <v>97601.789429271477</v>
      </c>
      <c r="BJ413" s="4">
        <v>302038.31496633729</v>
      </c>
      <c r="BK413" s="4">
        <v>117293.58934859755</v>
      </c>
      <c r="BL413" s="4">
        <v>1523999.9999999995</v>
      </c>
      <c r="BM4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3" s="4">
        <v>294804.96027377353</v>
      </c>
      <c r="BO4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3" s="4">
        <f>(Base[[#This Row],['[SC']'[Mort_prématurée']Gains]]-Base[[#This Row],['[SC']'[Mort_prématurée']Coûts]])/Base[[#This Row],[Population_totale]]</f>
        <v>0</v>
      </c>
      <c r="BQ413" s="4">
        <f>IF(Base[[#This Row],[Pathologie]]&lt;&gt;"Mort prématurée",0,Base[[#This Row],[Risque]])</f>
        <v>0</v>
      </c>
      <c r="BR413" s="4">
        <v>2680</v>
      </c>
      <c r="BS4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3" s="4">
        <f>Base[[#This Row],[Prévalence_prod]]*(1-Base[[#This Row],[Risque]])*Base[[#This Row],[Durée_arrêt]]*Base[[#This Row],[Population_emploi]]</f>
        <v>0</v>
      </c>
      <c r="BV413" s="4">
        <f>Base[[#This Row],['[Prod']'[Absentéisme']Total_jours_absence_avant]]-Base[[#This Row],['[Prod']'[Absentéisme']Total_jours_absence_après]]</f>
        <v>0</v>
      </c>
      <c r="BW413" s="4">
        <f>IF(AND(Base[[#This Row],[Pathologie]]&lt;&gt;"Dépendance",Base[[#This Row],[Pathologie]]&lt;&gt;"Mort prématurée",Base[[#This Row],[Pathologie]]&lt;&gt;"Migraine"),0.0619,0)</f>
        <v>0</v>
      </c>
      <c r="BX413" s="4">
        <v>254</v>
      </c>
      <c r="BY41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3" s="4">
        <f>Base[[#This Row],[Prévalence_prod]]*Base[[#This Row],[Présentéisme]]*Base[[#This Row],['[Prod']Jours_ouvrés]]</f>
        <v>0</v>
      </c>
      <c r="CB413" s="4">
        <f>Base[[#This Row],[Prévalence_prod]]*(1-Base[[#This Row],[Risque]])*Base[[#This Row],[Présentéisme]]*Base[[#This Row],['[Prod']Jours_ouvrés]]</f>
        <v>0</v>
      </c>
      <c r="CC413" s="4">
        <f>Base[[#This Row],['[Prod']'[Présentéisme']Jours_avant]]-Base[[#This Row],['[Prod']'[Présentéisme']Jours_après]]</f>
        <v>0</v>
      </c>
      <c r="CD413" s="4">
        <f>Base[[#This Row],['[Prod']'[Présentéisme']Jours_gagnés]]/Base[[#This Row],['[Prod']Jours_ouvrés]]</f>
        <v>0</v>
      </c>
      <c r="CE413">
        <v>7.5880726467531134E-2</v>
      </c>
      <c r="CF413">
        <v>1.989821358241517E-2</v>
      </c>
      <c r="CG413" s="4">
        <v>11</v>
      </c>
      <c r="CH413" s="4">
        <v>1.3966184516047948</v>
      </c>
      <c r="CI413" s="4">
        <v>1.4392894727292521E-2</v>
      </c>
      <c r="CJ413" s="4">
        <f>IF(Base[[#This Row],[Secteur]]&lt;&gt;"Moyenne",Base[[#This Row],['[Prod']'[Turnover']DMC_initiale]]*(1+Base[[#This Row],['[Prod']'[Turnover']Ecart_accidents]]*Base[[#This Row],['[Prod']Impact_motifs_turnover]]),CJ396*CI396+CJ397*CI397+CJ398*CI398+CJ399*CI399+CJ400*CI400+CJ401*CI401+CJ402*CI402+CJ403*CI403+CJ404*CI404+CJ405*CI405+CJ406*CI406+CJ407*CI407+CJ408*CI408+CJ409*CI409+CJ410*CI410+CJ411*CI411+CJ412*CI412)</f>
        <v>11.305692334674916</v>
      </c>
      <c r="CK413" s="4">
        <f>1/Base[[#This Row],['[Prod']'[Turnover']DMC_initiale]]</f>
        <v>9.0909090909090912E-2</v>
      </c>
      <c r="CL413" s="4">
        <f>1/Base[[#This Row],['[Prod']'[Turnover']DMC_finale]]</f>
        <v>8.8451018336397527E-2</v>
      </c>
    </row>
    <row r="414" spans="2:90" x14ac:dyDescent="0.25">
      <c r="B414" s="4" t="s">
        <v>316</v>
      </c>
      <c r="C414">
        <v>15</v>
      </c>
      <c r="D414" t="s">
        <v>83</v>
      </c>
      <c r="E414" t="s">
        <v>42</v>
      </c>
      <c r="F414" s="3">
        <v>3.7420224740387296</v>
      </c>
      <c r="G414" s="3">
        <v>0.371</v>
      </c>
      <c r="H414" s="3">
        <v>0.371</v>
      </c>
      <c r="I414" s="3">
        <v>0</v>
      </c>
      <c r="J414" s="3">
        <v>0</v>
      </c>
      <c r="K414" s="3">
        <v>7.0000000000000007E-2</v>
      </c>
      <c r="L414" s="2">
        <f>Base[[#This Row],[Coût]]*Base[[#This Row],[Part_ménages_dépenses_santé]]</f>
        <v>0</v>
      </c>
      <c r="M414" s="2">
        <v>0</v>
      </c>
      <c r="N414" s="6">
        <v>27700000</v>
      </c>
      <c r="O414" s="7">
        <f>Base[[#This Row],[Coût_salarié]]*10^9*Base[[#This Row],[Risque]]*Base[[#This Row],[Prévalence]]*Base[[#This Row],[Part_coûts_salarié]]/Base[[#This Row],[Population_emploi]]</f>
        <v>0</v>
      </c>
      <c r="P414">
        <v>50</v>
      </c>
      <c r="Q414">
        <v>50</v>
      </c>
      <c r="R414" s="2">
        <v>9.9999999999999978E-2</v>
      </c>
      <c r="S414" s="2">
        <v>0.33340000000000003</v>
      </c>
      <c r="T414" s="4">
        <v>0</v>
      </c>
      <c r="U414" s="4">
        <f>IF(Bases_annexes!$F$5=0,16.6587111018772,0.77*Bases_annexes!$F$5/(IF(OR(ISBLANK('Données_d''entrée'!$E$44),'Données_d''entrée'!$E$44=0),35,'Données_d''entrée'!$E$44)*52))</f>
        <v>16.658711101877199</v>
      </c>
      <c r="V414" s="4">
        <v>0</v>
      </c>
      <c r="W4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4" s="4">
        <v>234.5</v>
      </c>
      <c r="Y414" s="4">
        <f>(Base[[#This Row],['[Maladies']Coûts_évités_par_salarié]]+Base[[#This Row],['[Travail']Coûts_évités_par_salarié]])/Base[[#This Row],[Budget_santé_salarié]]</f>
        <v>0</v>
      </c>
      <c r="Z414" s="4">
        <v>0.8</v>
      </c>
      <c r="AA414" s="4">
        <f>Base[[#This Row],[Coût]]*Base[[#This Row],[Part_société_dépenses_santé]]</f>
        <v>0</v>
      </c>
      <c r="AB414" s="4">
        <v>67635124</v>
      </c>
      <c r="AC414" s="4">
        <v>82.297079063317852</v>
      </c>
      <c r="AD414" s="4">
        <v>0</v>
      </c>
      <c r="AE414" s="4">
        <f>Base[[#This Row],['[SC']Prévalence_travail]]*Base[[#This Row],[Population_emploi]]</f>
        <v>0</v>
      </c>
      <c r="AF414" s="4">
        <f>Base[[#This Row],[Risque]]*Base[[#This Row],['[SC']Patients_en_emploi]]</f>
        <v>0</v>
      </c>
      <c r="AG414" s="4">
        <v>0</v>
      </c>
      <c r="AH414" s="4">
        <f>IFERROR(Base[[#This Row],['[SC']Prestations]]/Base[[#This Row],['[SC']Patients_en_emploi]],0)</f>
        <v>0</v>
      </c>
      <c r="AI414" s="4">
        <v>51.7</v>
      </c>
      <c r="AJ4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4" s="4">
        <f>Base[[#This Row],['[SC']'[Travail']Coûts_évités]]/Base[[#This Row],[Population_emploi]]</f>
        <v>0</v>
      </c>
      <c r="AL414" s="4">
        <f>Base[[#This Row],[Coût_société]]*10^9*Base[[#This Row],[Risque]]*Base[[#This Row],[Prévalence]]*Base[[#This Row],[Part_coûts_salarié]]/Base[[#This Row],[Population_emploi]]</f>
        <v>0</v>
      </c>
      <c r="AM414" s="4">
        <f>IF(Base[[#This Row],[Pathologie]]&lt;&gt;"Dépendance",0,14909.24243952)</f>
        <v>14909.24243952</v>
      </c>
      <c r="AN414" s="4">
        <f>IF(Base[[#This Row],[Pathologie]]&lt;&gt;"Dépendance",0,1316000)</f>
        <v>1316000</v>
      </c>
      <c r="AO414" s="4">
        <f>IF(Base[[#This Row],[Pathologie]]&lt;&gt;"Dépendance",0,Base[[#This Row],['[SC']Coût_personne_dépendante]]*Base[[#This Row],['[SC']Nb_personnes_dépendantes]])</f>
        <v>19620563050.408321</v>
      </c>
      <c r="AP414" s="4">
        <f>IF(Base[[#This Row],[Pathologie]]&lt;&gt;"Dépendance",0,Base[[#This Row],['[SC']Coût_total_dépendance]]/Base[[#This Row],[Population_totale]])</f>
        <v>290.09428666691468</v>
      </c>
      <c r="AQ414" s="4">
        <f>IF(Base[[#This Row],[Pathologie]]&lt;&gt;"Dépendance",0,4.5)</f>
        <v>4.5</v>
      </c>
      <c r="AR414" s="4">
        <v>0.83987615528424797</v>
      </c>
      <c r="AS414" s="4">
        <f>Base[[#This Row],[Espérance_vie]]+Base[[#This Row],['[SC']Hausse_esp_de_vie]]-Base[[#This Row],['[SC']Durée_moyenne_dépendance_avt]]+Base[[#This Row],[Risque]]</f>
        <v>82.378977692640831</v>
      </c>
      <c r="AT4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4" s="4">
        <v>62.9</v>
      </c>
      <c r="AW414" s="4">
        <f t="shared" ref="AW414:AW430" si="9">336905600000</f>
        <v>336905600000</v>
      </c>
      <c r="AX414" s="4">
        <v>15049171</v>
      </c>
      <c r="AY414" s="4">
        <f>Base[[#This Row],['[SC']Budget_total_retraites]]/Base[[#This Row],['[SC']Nombre_de_retraités]]</f>
        <v>22386.987296509556</v>
      </c>
      <c r="AZ414" s="4">
        <f>Base[[#This Row],['[SC']Budget_par_retraité]]*Base[[#This Row],['[SC']Nb_personnes_dépendantes]]</f>
        <v>29461275282.206577</v>
      </c>
      <c r="BA414" s="4">
        <f>Base[[#This Row],['[SC']'[Dépendance']Coût_retraite_personnes_dépendantes]]/Base[[#This Row],[Population_totale]]</f>
        <v>435.59135460750508</v>
      </c>
      <c r="BB414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4" s="4">
        <f>Base[[#This Row],['[SC']'[Dépendance']Gains]]-Base[[#This Row],['[SC']'[Dépendance']Coûts]]</f>
        <v>109.35302663174885</v>
      </c>
      <c r="BD414" s="4">
        <f>IF(Base[[#This Row],[Pathologie]]&lt;&gt;"Mort prématurée",0,Base[[#This Row],[Risque]]*Base[[#This Row],[Prévalence]]*Base[[#This Row],[Population_totale]])</f>
        <v>0</v>
      </c>
      <c r="BE414" s="4">
        <v>52.74</v>
      </c>
      <c r="BF414" s="4">
        <f>Base[[#This Row],['[SC']Âge_moyen_retraite]]-Base[[#This Row],['[SC']'[Mort_prématurée']Âge_moyen_mort précoce]]</f>
        <v>10.159999999999997</v>
      </c>
      <c r="BG414" s="4">
        <f>Base[[#This Row],[Espérance_vie]]+Base[[#This Row],['[SC']Hausse_esp_de_vie]]-Base[[#This Row],['[SC']Âge_moyen_retraite]]</f>
        <v>20.236955218602098</v>
      </c>
      <c r="BH414" s="4">
        <v>106583.42676924677</v>
      </c>
      <c r="BI414" s="4">
        <v>97601.789429271477</v>
      </c>
      <c r="BJ414" s="4">
        <v>302038.31496633729</v>
      </c>
      <c r="BK414" s="4">
        <v>117293.58934859755</v>
      </c>
      <c r="BL414" s="4">
        <v>1523999.9999999995</v>
      </c>
      <c r="BM4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4" s="4">
        <v>294804.96027377353</v>
      </c>
      <c r="BO4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4" s="4">
        <f>(Base[[#This Row],['[SC']'[Mort_prématurée']Gains]]-Base[[#This Row],['[SC']'[Mort_prématurée']Coûts]])/Base[[#This Row],[Population_totale]]</f>
        <v>0</v>
      </c>
      <c r="BQ414" s="4">
        <f>IF(Base[[#This Row],[Pathologie]]&lt;&gt;"Mort prématurée",0,Base[[#This Row],[Risque]])</f>
        <v>0</v>
      </c>
      <c r="BR414" s="4">
        <v>2680</v>
      </c>
      <c r="BS4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4" s="4">
        <f>Base[[#This Row],[Prévalence_prod]]*(1-Base[[#This Row],[Risque]])*Base[[#This Row],[Durée_arrêt]]*Base[[#This Row],[Population_emploi]]</f>
        <v>0</v>
      </c>
      <c r="BV414" s="4">
        <f>Base[[#This Row],['[Prod']'[Absentéisme']Total_jours_absence_avant]]-Base[[#This Row],['[Prod']'[Absentéisme']Total_jours_absence_après]]</f>
        <v>0</v>
      </c>
      <c r="BW414" s="4">
        <f>IF(AND(Base[[#This Row],[Pathologie]]&lt;&gt;"Dépendance",Base[[#This Row],[Pathologie]]&lt;&gt;"Mort prématurée",Base[[#This Row],[Pathologie]]&lt;&gt;"Migraine"),0.0619,0)</f>
        <v>0</v>
      </c>
      <c r="BX414" s="4">
        <v>254</v>
      </c>
      <c r="BY41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4" s="4">
        <f>Base[[#This Row],[Prévalence_prod]]*Base[[#This Row],[Présentéisme]]*Base[[#This Row],['[Prod']Jours_ouvrés]]</f>
        <v>0</v>
      </c>
      <c r="CB414" s="4">
        <f>Base[[#This Row],[Prévalence_prod]]*(1-Base[[#This Row],[Risque]])*Base[[#This Row],[Présentéisme]]*Base[[#This Row],['[Prod']Jours_ouvrés]]</f>
        <v>0</v>
      </c>
      <c r="CC414" s="4">
        <f>Base[[#This Row],['[Prod']'[Présentéisme']Jours_avant]]-Base[[#This Row],['[Prod']'[Présentéisme']Jours_après]]</f>
        <v>0</v>
      </c>
      <c r="CD414" s="4">
        <f>Base[[#This Row],['[Prod']'[Présentéisme']Jours_gagnés]]/Base[[#This Row],['[Prod']Jours_ouvrés]]</f>
        <v>0</v>
      </c>
      <c r="CE414">
        <v>7.5880726467531134E-2</v>
      </c>
      <c r="CF414">
        <v>1.989821358241517E-2</v>
      </c>
      <c r="CG414" s="4">
        <v>11</v>
      </c>
      <c r="CH414" s="4">
        <v>0.68054183762612652</v>
      </c>
      <c r="CI414" s="4">
        <v>1.2135452577082654E-2</v>
      </c>
      <c r="CJ414" s="4">
        <f>IF(Base[[#This Row],[Secteur]]&lt;&gt;"Moyenne",Base[[#This Row],['[Prod']'[Turnover']DMC_initiale]]*(1+Base[[#This Row],['[Prod']'[Turnover']Ecart_accidents]]*Base[[#This Row],['[Prod']Impact_motifs_turnover]]),CJ397*CI397+CJ398*CI398+CJ399*CI399+CJ400*CI400+CJ401*CI401+CJ402*CI402+CJ403*CI403+CJ404*CI404+CJ405*CI405+CJ406*CI406+CJ407*CI407+CJ408*CI408+CJ409*CI409+CJ410*CI410+CJ411*CI411+CJ412*CI412+CJ413*CI413)</f>
        <v>11.148957235205394</v>
      </c>
      <c r="CK414" s="4">
        <f>1/Base[[#This Row],['[Prod']'[Turnover']DMC_initiale]]</f>
        <v>9.0909090909090912E-2</v>
      </c>
      <c r="CL414" s="4">
        <f>1/Base[[#This Row],['[Prod']'[Turnover']DMC_finale]]</f>
        <v>8.9694487018236124E-2</v>
      </c>
    </row>
    <row r="415" spans="2:90" x14ac:dyDescent="0.25">
      <c r="B415" s="4" t="s">
        <v>317</v>
      </c>
      <c r="C415">
        <v>15</v>
      </c>
      <c r="D415" t="s">
        <v>83</v>
      </c>
      <c r="E415" t="s">
        <v>42</v>
      </c>
      <c r="F415" s="3">
        <v>3.7420224740387296</v>
      </c>
      <c r="G415" s="3">
        <v>0.371</v>
      </c>
      <c r="H415" s="3">
        <v>0.371</v>
      </c>
      <c r="I415" s="3">
        <v>0</v>
      </c>
      <c r="J415" s="3">
        <v>0</v>
      </c>
      <c r="K415" s="3">
        <v>7.0000000000000007E-2</v>
      </c>
      <c r="L415" s="2">
        <f>Base[[#This Row],[Coût]]*Base[[#This Row],[Part_ménages_dépenses_santé]]</f>
        <v>0</v>
      </c>
      <c r="M415" s="2">
        <v>0</v>
      </c>
      <c r="N415" s="6">
        <v>27700000</v>
      </c>
      <c r="O415" s="7">
        <f>Base[[#This Row],[Coût_salarié]]*10^9*Base[[#This Row],[Risque]]*Base[[#This Row],[Prévalence]]*Base[[#This Row],[Part_coûts_salarié]]/Base[[#This Row],[Population_emploi]]</f>
        <v>0</v>
      </c>
      <c r="P415">
        <v>50</v>
      </c>
      <c r="Q415">
        <v>50</v>
      </c>
      <c r="R415" s="2">
        <v>9.9999999999999978E-2</v>
      </c>
      <c r="S415" s="2">
        <v>0.33340000000000003</v>
      </c>
      <c r="T415" s="4">
        <v>0</v>
      </c>
      <c r="U415" s="4">
        <f>IF(Bases_annexes!$F$5=0,16.6587111018772,0.77*Bases_annexes!$F$5/(IF(OR(ISBLANK('Données_d''entrée'!$E$44),'Données_d''entrée'!$E$44=0),35,'Données_d''entrée'!$E$44)*52))</f>
        <v>16.658711101877199</v>
      </c>
      <c r="V415" s="4">
        <v>0</v>
      </c>
      <c r="W4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5" s="4">
        <v>234.5</v>
      </c>
      <c r="Y415" s="4">
        <f>(Base[[#This Row],['[Maladies']Coûts_évités_par_salarié]]+Base[[#This Row],['[Travail']Coûts_évités_par_salarié]])/Base[[#This Row],[Budget_santé_salarié]]</f>
        <v>0</v>
      </c>
      <c r="Z415" s="4">
        <v>0.8</v>
      </c>
      <c r="AA415" s="4">
        <f>Base[[#This Row],[Coût]]*Base[[#This Row],[Part_société_dépenses_santé]]</f>
        <v>0</v>
      </c>
      <c r="AB415" s="4">
        <v>67635124</v>
      </c>
      <c r="AC415" s="4">
        <v>82.297079063317852</v>
      </c>
      <c r="AD415" s="4">
        <v>0</v>
      </c>
      <c r="AE415" s="4">
        <f>Base[[#This Row],['[SC']Prévalence_travail]]*Base[[#This Row],[Population_emploi]]</f>
        <v>0</v>
      </c>
      <c r="AF415" s="4">
        <f>Base[[#This Row],[Risque]]*Base[[#This Row],['[SC']Patients_en_emploi]]</f>
        <v>0</v>
      </c>
      <c r="AG415" s="4">
        <v>0</v>
      </c>
      <c r="AH415" s="4">
        <f>IFERROR(Base[[#This Row],['[SC']Prestations]]/Base[[#This Row],['[SC']Patients_en_emploi]],0)</f>
        <v>0</v>
      </c>
      <c r="AI415" s="4">
        <v>51.7</v>
      </c>
      <c r="AJ4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5" s="4">
        <f>Base[[#This Row],['[SC']'[Travail']Coûts_évités]]/Base[[#This Row],[Population_emploi]]</f>
        <v>0</v>
      </c>
      <c r="AL415" s="4">
        <f>Base[[#This Row],[Coût_société]]*10^9*Base[[#This Row],[Risque]]*Base[[#This Row],[Prévalence]]*Base[[#This Row],[Part_coûts_salarié]]/Base[[#This Row],[Population_emploi]]</f>
        <v>0</v>
      </c>
      <c r="AM415" s="4">
        <f>IF(Base[[#This Row],[Pathologie]]&lt;&gt;"Dépendance",0,14909.24243952)</f>
        <v>14909.24243952</v>
      </c>
      <c r="AN415" s="4">
        <f>IF(Base[[#This Row],[Pathologie]]&lt;&gt;"Dépendance",0,1316000)</f>
        <v>1316000</v>
      </c>
      <c r="AO415" s="4">
        <f>IF(Base[[#This Row],[Pathologie]]&lt;&gt;"Dépendance",0,Base[[#This Row],['[SC']Coût_personne_dépendante]]*Base[[#This Row],['[SC']Nb_personnes_dépendantes]])</f>
        <v>19620563050.408321</v>
      </c>
      <c r="AP415" s="4">
        <f>IF(Base[[#This Row],[Pathologie]]&lt;&gt;"Dépendance",0,Base[[#This Row],['[SC']Coût_total_dépendance]]/Base[[#This Row],[Population_totale]])</f>
        <v>290.09428666691468</v>
      </c>
      <c r="AQ415" s="4">
        <f>IF(Base[[#This Row],[Pathologie]]&lt;&gt;"Dépendance",0,4.5)</f>
        <v>4.5</v>
      </c>
      <c r="AR415" s="4">
        <v>0.83987615528424797</v>
      </c>
      <c r="AS415" s="4">
        <f>Base[[#This Row],[Espérance_vie]]+Base[[#This Row],['[SC']Hausse_esp_de_vie]]-Base[[#This Row],['[SC']Durée_moyenne_dépendance_avt]]+Base[[#This Row],[Risque]]</f>
        <v>82.378977692640831</v>
      </c>
      <c r="AT4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5" s="4">
        <v>62.9</v>
      </c>
      <c r="AW415" s="4">
        <f t="shared" si="9"/>
        <v>336905600000</v>
      </c>
      <c r="AX415" s="4">
        <v>15049171</v>
      </c>
      <c r="AY415" s="4">
        <f>Base[[#This Row],['[SC']Budget_total_retraites]]/Base[[#This Row],['[SC']Nombre_de_retraités]]</f>
        <v>22386.987296509556</v>
      </c>
      <c r="AZ415" s="4">
        <f>Base[[#This Row],['[SC']Budget_par_retraité]]*Base[[#This Row],['[SC']Nb_personnes_dépendantes]]</f>
        <v>29461275282.206577</v>
      </c>
      <c r="BA415" s="4">
        <f>Base[[#This Row],['[SC']'[Dépendance']Coût_retraite_personnes_dépendantes]]/Base[[#This Row],[Population_totale]]</f>
        <v>435.59135460750508</v>
      </c>
      <c r="BB415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5" s="4">
        <f>Base[[#This Row],['[SC']'[Dépendance']Gains]]-Base[[#This Row],['[SC']'[Dépendance']Coûts]]</f>
        <v>109.35302663174885</v>
      </c>
      <c r="BD415" s="4">
        <f>IF(Base[[#This Row],[Pathologie]]&lt;&gt;"Mort prématurée",0,Base[[#This Row],[Risque]]*Base[[#This Row],[Prévalence]]*Base[[#This Row],[Population_totale]])</f>
        <v>0</v>
      </c>
      <c r="BE415" s="4">
        <v>52.74</v>
      </c>
      <c r="BF415" s="4">
        <f>Base[[#This Row],['[SC']Âge_moyen_retraite]]-Base[[#This Row],['[SC']'[Mort_prématurée']Âge_moyen_mort précoce]]</f>
        <v>10.159999999999997</v>
      </c>
      <c r="BG415" s="4">
        <f>Base[[#This Row],[Espérance_vie]]+Base[[#This Row],['[SC']Hausse_esp_de_vie]]-Base[[#This Row],['[SC']Âge_moyen_retraite]]</f>
        <v>20.236955218602098</v>
      </c>
      <c r="BH415" s="4">
        <v>106583.42676924677</v>
      </c>
      <c r="BI415" s="4">
        <v>97601.789429271477</v>
      </c>
      <c r="BJ415" s="4">
        <v>302038.31496633729</v>
      </c>
      <c r="BK415" s="4">
        <v>117293.58934859755</v>
      </c>
      <c r="BL415" s="4">
        <v>1523999.9999999995</v>
      </c>
      <c r="BM4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5" s="4">
        <v>294804.96027377353</v>
      </c>
      <c r="BO4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5" s="4">
        <f>(Base[[#This Row],['[SC']'[Mort_prématurée']Gains]]-Base[[#This Row],['[SC']'[Mort_prématurée']Coûts]])/Base[[#This Row],[Population_totale]]</f>
        <v>0</v>
      </c>
      <c r="BQ415" s="4">
        <f>IF(Base[[#This Row],[Pathologie]]&lt;&gt;"Mort prématurée",0,Base[[#This Row],[Risque]])</f>
        <v>0</v>
      </c>
      <c r="BR415" s="4">
        <v>2680</v>
      </c>
      <c r="BS4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5" s="4">
        <f>Base[[#This Row],[Prévalence_prod]]*(1-Base[[#This Row],[Risque]])*Base[[#This Row],[Durée_arrêt]]*Base[[#This Row],[Population_emploi]]</f>
        <v>0</v>
      </c>
      <c r="BV415" s="4">
        <f>Base[[#This Row],['[Prod']'[Absentéisme']Total_jours_absence_avant]]-Base[[#This Row],['[Prod']'[Absentéisme']Total_jours_absence_après]]</f>
        <v>0</v>
      </c>
      <c r="BW415" s="4">
        <f>IF(AND(Base[[#This Row],[Pathologie]]&lt;&gt;"Dépendance",Base[[#This Row],[Pathologie]]&lt;&gt;"Mort prématurée",Base[[#This Row],[Pathologie]]&lt;&gt;"Migraine"),0.0619,0)</f>
        <v>0</v>
      </c>
      <c r="BX415" s="4">
        <v>254</v>
      </c>
      <c r="BY41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5" s="4">
        <f>Base[[#This Row],[Prévalence_prod]]*Base[[#This Row],[Présentéisme]]*Base[[#This Row],['[Prod']Jours_ouvrés]]</f>
        <v>0</v>
      </c>
      <c r="CB415" s="4">
        <f>Base[[#This Row],[Prévalence_prod]]*(1-Base[[#This Row],[Risque]])*Base[[#This Row],[Présentéisme]]*Base[[#This Row],['[Prod']Jours_ouvrés]]</f>
        <v>0</v>
      </c>
      <c r="CC415" s="4">
        <f>Base[[#This Row],['[Prod']'[Présentéisme']Jours_avant]]-Base[[#This Row],['[Prod']'[Présentéisme']Jours_après]]</f>
        <v>0</v>
      </c>
      <c r="CD415" s="4">
        <f>Base[[#This Row],['[Prod']'[Présentéisme']Jours_gagnés]]/Base[[#This Row],['[Prod']Jours_ouvrés]]</f>
        <v>0</v>
      </c>
      <c r="CE415">
        <v>7.5880726467531134E-2</v>
      </c>
      <c r="CF415">
        <v>1.989821358241517E-2</v>
      </c>
      <c r="CG415" s="4">
        <v>11</v>
      </c>
      <c r="CH415" s="4">
        <v>0.31563677172153043</v>
      </c>
      <c r="CI415" s="4">
        <v>1.3003350630813707E-4</v>
      </c>
      <c r="CJ415" s="4">
        <f>IF(Base[[#This Row],[Secteur]]&lt;&gt;"Moyenne",Base[[#This Row],['[Prod']'[Turnover']DMC_initiale]]*(1+Base[[#This Row],['[Prod']'[Turnover']Ecart_accidents]]*Base[[#This Row],['[Prod']Impact_motifs_turnover]]),CJ398*CI398+CJ399*CI399+CJ400*CI400+CJ401*CI401+CJ402*CI402+CJ403*CI403+CJ404*CI404+CJ405*CI405+CJ406*CI406+CJ407*CI407+CJ408*CI408+CJ409*CI409+CJ410*CI410+CJ411*CI411+CJ412*CI412+CJ413*CI413+CJ414*CI414)</f>
        <v>11.069086686879968</v>
      </c>
      <c r="CK415" s="4">
        <f>1/Base[[#This Row],['[Prod']'[Turnover']DMC_initiale]]</f>
        <v>9.0909090909090912E-2</v>
      </c>
      <c r="CL415" s="4">
        <f>1/Base[[#This Row],['[Prod']'[Turnover']DMC_finale]]</f>
        <v>9.0341690176235209E-2</v>
      </c>
    </row>
    <row r="416" spans="2:90" x14ac:dyDescent="0.25">
      <c r="B416" s="4" t="s">
        <v>318</v>
      </c>
      <c r="C416">
        <v>15</v>
      </c>
      <c r="D416" t="s">
        <v>83</v>
      </c>
      <c r="E416" t="s">
        <v>42</v>
      </c>
      <c r="F416" s="3">
        <v>3.7420224740387296</v>
      </c>
      <c r="G416" s="3">
        <v>0.371</v>
      </c>
      <c r="H416" s="3">
        <v>0.371</v>
      </c>
      <c r="I416" s="3">
        <v>0</v>
      </c>
      <c r="J416" s="3">
        <v>0</v>
      </c>
      <c r="K416" s="3">
        <v>7.0000000000000007E-2</v>
      </c>
      <c r="L416" s="2">
        <f>Base[[#This Row],[Coût]]*Base[[#This Row],[Part_ménages_dépenses_santé]]</f>
        <v>0</v>
      </c>
      <c r="M416" s="2">
        <v>0</v>
      </c>
      <c r="N416" s="6">
        <v>27700000</v>
      </c>
      <c r="O416" s="7">
        <f>Base[[#This Row],[Coût_salarié]]*10^9*Base[[#This Row],[Risque]]*Base[[#This Row],[Prévalence]]*Base[[#This Row],[Part_coûts_salarié]]/Base[[#This Row],[Population_emploi]]</f>
        <v>0</v>
      </c>
      <c r="P416">
        <v>50</v>
      </c>
      <c r="Q416">
        <v>50</v>
      </c>
      <c r="R416" s="2">
        <v>9.9999999999999978E-2</v>
      </c>
      <c r="S416" s="2">
        <v>0.33340000000000003</v>
      </c>
      <c r="T416" s="4">
        <v>0</v>
      </c>
      <c r="U416" s="4">
        <f>IF(Bases_annexes!$F$5=0,16.6587111018772,0.77*Bases_annexes!$F$5/(IF(OR(ISBLANK('Données_d''entrée'!$E$44),'Données_d''entrée'!$E$44=0),35,'Données_d''entrée'!$E$44)*52))</f>
        <v>16.658711101877199</v>
      </c>
      <c r="V416" s="4">
        <v>0</v>
      </c>
      <c r="W4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6" s="4">
        <v>234.5</v>
      </c>
      <c r="Y416" s="4">
        <f>(Base[[#This Row],['[Maladies']Coûts_évités_par_salarié]]+Base[[#This Row],['[Travail']Coûts_évités_par_salarié]])/Base[[#This Row],[Budget_santé_salarié]]</f>
        <v>0</v>
      </c>
      <c r="Z416" s="4">
        <v>0.8</v>
      </c>
      <c r="AA416" s="4">
        <f>Base[[#This Row],[Coût]]*Base[[#This Row],[Part_société_dépenses_santé]]</f>
        <v>0</v>
      </c>
      <c r="AB416" s="4">
        <v>67635124</v>
      </c>
      <c r="AC416" s="4">
        <v>82.297079063317852</v>
      </c>
      <c r="AD416" s="4">
        <v>0</v>
      </c>
      <c r="AE416" s="4">
        <f>Base[[#This Row],['[SC']Prévalence_travail]]*Base[[#This Row],[Population_emploi]]</f>
        <v>0</v>
      </c>
      <c r="AF416" s="4">
        <f>Base[[#This Row],[Risque]]*Base[[#This Row],['[SC']Patients_en_emploi]]</f>
        <v>0</v>
      </c>
      <c r="AG416" s="4">
        <v>0</v>
      </c>
      <c r="AH416" s="4">
        <f>IFERROR(Base[[#This Row],['[SC']Prestations]]/Base[[#This Row],['[SC']Patients_en_emploi]],0)</f>
        <v>0</v>
      </c>
      <c r="AI416" s="4">
        <v>51.7</v>
      </c>
      <c r="AJ4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6" s="4">
        <f>Base[[#This Row],['[SC']'[Travail']Coûts_évités]]/Base[[#This Row],[Population_emploi]]</f>
        <v>0</v>
      </c>
      <c r="AL416" s="4">
        <f>Base[[#This Row],[Coût_société]]*10^9*Base[[#This Row],[Risque]]*Base[[#This Row],[Prévalence]]*Base[[#This Row],[Part_coûts_salarié]]/Base[[#This Row],[Population_emploi]]</f>
        <v>0</v>
      </c>
      <c r="AM416" s="4">
        <f>IF(Base[[#This Row],[Pathologie]]&lt;&gt;"Dépendance",0,14909.24243952)</f>
        <v>14909.24243952</v>
      </c>
      <c r="AN416" s="4">
        <f>IF(Base[[#This Row],[Pathologie]]&lt;&gt;"Dépendance",0,1316000)</f>
        <v>1316000</v>
      </c>
      <c r="AO416" s="4">
        <f>IF(Base[[#This Row],[Pathologie]]&lt;&gt;"Dépendance",0,Base[[#This Row],['[SC']Coût_personne_dépendante]]*Base[[#This Row],['[SC']Nb_personnes_dépendantes]])</f>
        <v>19620563050.408321</v>
      </c>
      <c r="AP416" s="4">
        <f>IF(Base[[#This Row],[Pathologie]]&lt;&gt;"Dépendance",0,Base[[#This Row],['[SC']Coût_total_dépendance]]/Base[[#This Row],[Population_totale]])</f>
        <v>290.09428666691468</v>
      </c>
      <c r="AQ416" s="4">
        <f>IF(Base[[#This Row],[Pathologie]]&lt;&gt;"Dépendance",0,4.5)</f>
        <v>4.5</v>
      </c>
      <c r="AR416" s="4">
        <v>0.83987615528424797</v>
      </c>
      <c r="AS416" s="4">
        <f>Base[[#This Row],[Espérance_vie]]+Base[[#This Row],['[SC']Hausse_esp_de_vie]]-Base[[#This Row],['[SC']Durée_moyenne_dépendance_avt]]+Base[[#This Row],[Risque]]</f>
        <v>82.378977692640831</v>
      </c>
      <c r="AT4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6" s="4">
        <v>62.9</v>
      </c>
      <c r="AW416" s="4">
        <f t="shared" si="9"/>
        <v>336905600000</v>
      </c>
      <c r="AX416" s="4">
        <v>15049171</v>
      </c>
      <c r="AY416" s="4">
        <f>Base[[#This Row],['[SC']Budget_total_retraites]]/Base[[#This Row],['[SC']Nombre_de_retraités]]</f>
        <v>22386.987296509556</v>
      </c>
      <c r="AZ416" s="4">
        <f>Base[[#This Row],['[SC']Budget_par_retraité]]*Base[[#This Row],['[SC']Nb_personnes_dépendantes]]</f>
        <v>29461275282.206577</v>
      </c>
      <c r="BA416" s="4">
        <f>Base[[#This Row],['[SC']'[Dépendance']Coût_retraite_personnes_dépendantes]]/Base[[#This Row],[Population_totale]]</f>
        <v>435.59135460750508</v>
      </c>
      <c r="BB416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6" s="4">
        <f>Base[[#This Row],['[SC']'[Dépendance']Gains]]-Base[[#This Row],['[SC']'[Dépendance']Coûts]]</f>
        <v>109.35302663174885</v>
      </c>
      <c r="BD416" s="4">
        <f>IF(Base[[#This Row],[Pathologie]]&lt;&gt;"Mort prématurée",0,Base[[#This Row],[Risque]]*Base[[#This Row],[Prévalence]]*Base[[#This Row],[Population_totale]])</f>
        <v>0</v>
      </c>
      <c r="BE416" s="4">
        <v>52.74</v>
      </c>
      <c r="BF416" s="4">
        <f>Base[[#This Row],['[SC']Âge_moyen_retraite]]-Base[[#This Row],['[SC']'[Mort_prématurée']Âge_moyen_mort précoce]]</f>
        <v>10.159999999999997</v>
      </c>
      <c r="BG416" s="4">
        <f>Base[[#This Row],[Espérance_vie]]+Base[[#This Row],['[SC']Hausse_esp_de_vie]]-Base[[#This Row],['[SC']Âge_moyen_retraite]]</f>
        <v>20.236955218602098</v>
      </c>
      <c r="BH416" s="4">
        <v>106583.42676924677</v>
      </c>
      <c r="BI416" s="4">
        <v>97601.789429271477</v>
      </c>
      <c r="BJ416" s="4">
        <v>302038.31496633729</v>
      </c>
      <c r="BK416" s="4">
        <v>117293.58934859755</v>
      </c>
      <c r="BL416" s="4">
        <v>1523999.9999999995</v>
      </c>
      <c r="BM4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6" s="4">
        <v>294804.96027377353</v>
      </c>
      <c r="BO4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6" s="4">
        <f>(Base[[#This Row],['[SC']'[Mort_prématurée']Gains]]-Base[[#This Row],['[SC']'[Mort_prématurée']Coûts]])/Base[[#This Row],[Population_totale]]</f>
        <v>0</v>
      </c>
      <c r="BQ416" s="4">
        <f>IF(Base[[#This Row],[Pathologie]]&lt;&gt;"Mort prématurée",0,Base[[#This Row],[Risque]])</f>
        <v>0</v>
      </c>
      <c r="BR416" s="4">
        <v>2680</v>
      </c>
      <c r="BS4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6" s="4">
        <f>Base[[#This Row],[Prévalence_prod]]*(1-Base[[#This Row],[Risque]])*Base[[#This Row],[Durée_arrêt]]*Base[[#This Row],[Population_emploi]]</f>
        <v>0</v>
      </c>
      <c r="BV416" s="4">
        <f>Base[[#This Row],['[Prod']'[Absentéisme']Total_jours_absence_avant]]-Base[[#This Row],['[Prod']'[Absentéisme']Total_jours_absence_après]]</f>
        <v>0</v>
      </c>
      <c r="BW416" s="4">
        <f>IF(AND(Base[[#This Row],[Pathologie]]&lt;&gt;"Dépendance",Base[[#This Row],[Pathologie]]&lt;&gt;"Mort prématurée",Base[[#This Row],[Pathologie]]&lt;&gt;"Migraine"),0.0619,0)</f>
        <v>0</v>
      </c>
      <c r="BX416" s="4">
        <v>254</v>
      </c>
      <c r="BY41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6" s="4">
        <f>Base[[#This Row],[Prévalence_prod]]*Base[[#This Row],[Présentéisme]]*Base[[#This Row],['[Prod']Jours_ouvrés]]</f>
        <v>0</v>
      </c>
      <c r="CB416" s="4">
        <f>Base[[#This Row],[Prévalence_prod]]*(1-Base[[#This Row],[Risque]])*Base[[#This Row],[Présentéisme]]*Base[[#This Row],['[Prod']Jours_ouvrés]]</f>
        <v>0</v>
      </c>
      <c r="CC416" s="4">
        <f>Base[[#This Row],['[Prod']'[Présentéisme']Jours_avant]]-Base[[#This Row],['[Prod']'[Présentéisme']Jours_après]]</f>
        <v>0</v>
      </c>
      <c r="CD416" s="4">
        <f>Base[[#This Row],['[Prod']'[Présentéisme']Jours_gagnés]]/Base[[#This Row],['[Prod']Jours_ouvrés]]</f>
        <v>0</v>
      </c>
      <c r="CE416">
        <v>7.5880726467531134E-2</v>
      </c>
      <c r="CF416">
        <v>1.989821358241517E-2</v>
      </c>
      <c r="CG416" s="4">
        <v>11</v>
      </c>
      <c r="CH416" s="4">
        <v>1.1688035738877327</v>
      </c>
      <c r="CI416" s="4">
        <v>9.6557438521367826E-3</v>
      </c>
      <c r="CJ416" s="4">
        <f>IF(Base[[#This Row],[Secteur]]&lt;&gt;"Moyenne",Base[[#This Row],['[Prod']'[Turnover']DMC_initiale]]*(1+Base[[#This Row],['[Prod']'[Turnover']Ecart_accidents]]*Base[[#This Row],['[Prod']Impact_motifs_turnover]]),CJ399*CI399+CJ400*CI400+CJ401*CI401+CJ402*CI402+CJ403*CI403+CJ404*CI404+CJ405*CI405+CJ406*CI406+CJ407*CI407+CJ408*CI408+CJ409*CI409+CJ410*CI410+CJ411*CI411+CJ412*CI412+CJ413*CI413+CJ414*CI414+CJ415*CI415)</f>
        <v>11.25582813464019</v>
      </c>
      <c r="CK416" s="4">
        <f>1/Base[[#This Row],['[Prod']'[Turnover']DMC_initiale]]</f>
        <v>9.0909090909090912E-2</v>
      </c>
      <c r="CL416" s="4">
        <f>1/Base[[#This Row],['[Prod']'[Turnover']DMC_finale]]</f>
        <v>8.8842863273868436E-2</v>
      </c>
    </row>
    <row r="417" spans="2:90" x14ac:dyDescent="0.25">
      <c r="B417" s="4" t="s">
        <v>319</v>
      </c>
      <c r="C417">
        <v>15</v>
      </c>
      <c r="D417" t="s">
        <v>83</v>
      </c>
      <c r="E417" t="s">
        <v>42</v>
      </c>
      <c r="F417" s="3">
        <v>3.7420224740387296</v>
      </c>
      <c r="G417" s="3">
        <v>0.371</v>
      </c>
      <c r="H417" s="3">
        <v>0.371</v>
      </c>
      <c r="I417" s="3">
        <v>0</v>
      </c>
      <c r="J417" s="3">
        <v>0</v>
      </c>
      <c r="K417" s="3">
        <v>7.0000000000000007E-2</v>
      </c>
      <c r="L417" s="2">
        <f>Base[[#This Row],[Coût]]*Base[[#This Row],[Part_ménages_dépenses_santé]]</f>
        <v>0</v>
      </c>
      <c r="M417" s="2">
        <v>0</v>
      </c>
      <c r="N417" s="6">
        <v>27700000</v>
      </c>
      <c r="O417" s="7">
        <f>Base[[#This Row],[Coût_salarié]]*10^9*Base[[#This Row],[Risque]]*Base[[#This Row],[Prévalence]]*Base[[#This Row],[Part_coûts_salarié]]/Base[[#This Row],[Population_emploi]]</f>
        <v>0</v>
      </c>
      <c r="P417">
        <v>50</v>
      </c>
      <c r="Q417">
        <v>50</v>
      </c>
      <c r="R417" s="2">
        <v>9.9999999999999978E-2</v>
      </c>
      <c r="S417" s="2">
        <v>0.33340000000000003</v>
      </c>
      <c r="T417" s="4">
        <v>0</v>
      </c>
      <c r="U417" s="4">
        <f>IF(Bases_annexes!$F$5=0,16.6587111018772,0.77*Bases_annexes!$F$5/(IF(OR(ISBLANK('Données_d''entrée'!$E$44),'Données_d''entrée'!$E$44=0),35,'Données_d''entrée'!$E$44)*52))</f>
        <v>16.658711101877199</v>
      </c>
      <c r="V417" s="4">
        <v>0</v>
      </c>
      <c r="W4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7" s="4">
        <v>234.5</v>
      </c>
      <c r="Y417" s="4">
        <f>(Base[[#This Row],['[Maladies']Coûts_évités_par_salarié]]+Base[[#This Row],['[Travail']Coûts_évités_par_salarié]])/Base[[#This Row],[Budget_santé_salarié]]</f>
        <v>0</v>
      </c>
      <c r="Z417" s="4">
        <v>0.8</v>
      </c>
      <c r="AA417" s="4">
        <f>Base[[#This Row],[Coût]]*Base[[#This Row],[Part_société_dépenses_santé]]</f>
        <v>0</v>
      </c>
      <c r="AB417" s="4">
        <v>67635124</v>
      </c>
      <c r="AC417" s="4">
        <v>82.297079063317852</v>
      </c>
      <c r="AD417" s="4">
        <v>0</v>
      </c>
      <c r="AE417" s="4">
        <f>Base[[#This Row],['[SC']Prévalence_travail]]*Base[[#This Row],[Population_emploi]]</f>
        <v>0</v>
      </c>
      <c r="AF417" s="4">
        <f>Base[[#This Row],[Risque]]*Base[[#This Row],['[SC']Patients_en_emploi]]</f>
        <v>0</v>
      </c>
      <c r="AG417" s="4">
        <v>0</v>
      </c>
      <c r="AH417" s="4">
        <f>IFERROR(Base[[#This Row],['[SC']Prestations]]/Base[[#This Row],['[SC']Patients_en_emploi]],0)</f>
        <v>0</v>
      </c>
      <c r="AI417" s="4">
        <v>51.7</v>
      </c>
      <c r="AJ4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7" s="4">
        <f>Base[[#This Row],['[SC']'[Travail']Coûts_évités]]/Base[[#This Row],[Population_emploi]]</f>
        <v>0</v>
      </c>
      <c r="AL417" s="4">
        <f>Base[[#This Row],[Coût_société]]*10^9*Base[[#This Row],[Risque]]*Base[[#This Row],[Prévalence]]*Base[[#This Row],[Part_coûts_salarié]]/Base[[#This Row],[Population_emploi]]</f>
        <v>0</v>
      </c>
      <c r="AM417" s="4">
        <f>IF(Base[[#This Row],[Pathologie]]&lt;&gt;"Dépendance",0,14909.24243952)</f>
        <v>14909.24243952</v>
      </c>
      <c r="AN417" s="4">
        <f>IF(Base[[#This Row],[Pathologie]]&lt;&gt;"Dépendance",0,1316000)</f>
        <v>1316000</v>
      </c>
      <c r="AO417" s="4">
        <f>IF(Base[[#This Row],[Pathologie]]&lt;&gt;"Dépendance",0,Base[[#This Row],['[SC']Coût_personne_dépendante]]*Base[[#This Row],['[SC']Nb_personnes_dépendantes]])</f>
        <v>19620563050.408321</v>
      </c>
      <c r="AP417" s="4">
        <f>IF(Base[[#This Row],[Pathologie]]&lt;&gt;"Dépendance",0,Base[[#This Row],['[SC']Coût_total_dépendance]]/Base[[#This Row],[Population_totale]])</f>
        <v>290.09428666691468</v>
      </c>
      <c r="AQ417" s="4">
        <f>IF(Base[[#This Row],[Pathologie]]&lt;&gt;"Dépendance",0,4.5)</f>
        <v>4.5</v>
      </c>
      <c r="AR417" s="4">
        <v>0.83987615528424797</v>
      </c>
      <c r="AS417" s="4">
        <f>Base[[#This Row],[Espérance_vie]]+Base[[#This Row],['[SC']Hausse_esp_de_vie]]-Base[[#This Row],['[SC']Durée_moyenne_dépendance_avt]]+Base[[#This Row],[Risque]]</f>
        <v>82.378977692640831</v>
      </c>
      <c r="AT4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7" s="4">
        <v>62.9</v>
      </c>
      <c r="AW417" s="4">
        <f t="shared" si="9"/>
        <v>336905600000</v>
      </c>
      <c r="AX417" s="4">
        <v>15049171</v>
      </c>
      <c r="AY417" s="4">
        <f>Base[[#This Row],['[SC']Budget_total_retraites]]/Base[[#This Row],['[SC']Nombre_de_retraités]]</f>
        <v>22386.987296509556</v>
      </c>
      <c r="AZ417" s="4">
        <f>Base[[#This Row],['[SC']Budget_par_retraité]]*Base[[#This Row],['[SC']Nb_personnes_dépendantes]]</f>
        <v>29461275282.206577</v>
      </c>
      <c r="BA417" s="4">
        <f>Base[[#This Row],['[SC']'[Dépendance']Coût_retraite_personnes_dépendantes]]/Base[[#This Row],[Population_totale]]</f>
        <v>435.59135460750508</v>
      </c>
      <c r="BB417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7" s="4">
        <f>Base[[#This Row],['[SC']'[Dépendance']Gains]]-Base[[#This Row],['[SC']'[Dépendance']Coûts]]</f>
        <v>109.35302663174885</v>
      </c>
      <c r="BD417" s="4">
        <f>IF(Base[[#This Row],[Pathologie]]&lt;&gt;"Mort prématurée",0,Base[[#This Row],[Risque]]*Base[[#This Row],[Prévalence]]*Base[[#This Row],[Population_totale]])</f>
        <v>0</v>
      </c>
      <c r="BE417" s="4">
        <v>52.74</v>
      </c>
      <c r="BF417" s="4">
        <f>Base[[#This Row],['[SC']Âge_moyen_retraite]]-Base[[#This Row],['[SC']'[Mort_prématurée']Âge_moyen_mort précoce]]</f>
        <v>10.159999999999997</v>
      </c>
      <c r="BG417" s="4">
        <f>Base[[#This Row],[Espérance_vie]]+Base[[#This Row],['[SC']Hausse_esp_de_vie]]-Base[[#This Row],['[SC']Âge_moyen_retraite]]</f>
        <v>20.236955218602098</v>
      </c>
      <c r="BH417" s="4">
        <v>106583.42676924677</v>
      </c>
      <c r="BI417" s="4">
        <v>97601.789429271477</v>
      </c>
      <c r="BJ417" s="4">
        <v>302038.31496633729</v>
      </c>
      <c r="BK417" s="4">
        <v>117293.58934859755</v>
      </c>
      <c r="BL417" s="4">
        <v>1523999.9999999995</v>
      </c>
      <c r="BM4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7" s="4">
        <v>294804.96027377353</v>
      </c>
      <c r="BO4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7" s="4">
        <f>(Base[[#This Row],['[SC']'[Mort_prématurée']Gains]]-Base[[#This Row],['[SC']'[Mort_prématurée']Coûts]])/Base[[#This Row],[Population_totale]]</f>
        <v>0</v>
      </c>
      <c r="BQ417" s="4">
        <f>IF(Base[[#This Row],[Pathologie]]&lt;&gt;"Mort prématurée",0,Base[[#This Row],[Risque]])</f>
        <v>0</v>
      </c>
      <c r="BR417" s="4">
        <v>2680</v>
      </c>
      <c r="BS4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7" s="4">
        <f>Base[[#This Row],[Prévalence_prod]]*(1-Base[[#This Row],[Risque]])*Base[[#This Row],[Durée_arrêt]]*Base[[#This Row],[Population_emploi]]</f>
        <v>0</v>
      </c>
      <c r="BV417" s="4">
        <f>Base[[#This Row],['[Prod']'[Absentéisme']Total_jours_absence_avant]]-Base[[#This Row],['[Prod']'[Absentéisme']Total_jours_absence_après]]</f>
        <v>0</v>
      </c>
      <c r="BW417" s="4">
        <f>IF(AND(Base[[#This Row],[Pathologie]]&lt;&gt;"Dépendance",Base[[#This Row],[Pathologie]]&lt;&gt;"Mort prématurée",Base[[#This Row],[Pathologie]]&lt;&gt;"Migraine"),0.0619,0)</f>
        <v>0</v>
      </c>
      <c r="BX417" s="4">
        <v>254</v>
      </c>
      <c r="BY41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7" s="4">
        <f>Base[[#This Row],[Prévalence_prod]]*Base[[#This Row],[Présentéisme]]*Base[[#This Row],['[Prod']Jours_ouvrés]]</f>
        <v>0</v>
      </c>
      <c r="CB417" s="4">
        <f>Base[[#This Row],[Prévalence_prod]]*(1-Base[[#This Row],[Risque]])*Base[[#This Row],[Présentéisme]]*Base[[#This Row],['[Prod']Jours_ouvrés]]</f>
        <v>0</v>
      </c>
      <c r="CC417" s="4">
        <f>Base[[#This Row],['[Prod']'[Présentéisme']Jours_avant]]-Base[[#This Row],['[Prod']'[Présentéisme']Jours_après]]</f>
        <v>0</v>
      </c>
      <c r="CD417" s="4">
        <f>Base[[#This Row],['[Prod']'[Présentéisme']Jours_gagnés]]/Base[[#This Row],['[Prod']Jours_ouvrés]]</f>
        <v>0</v>
      </c>
      <c r="CE417">
        <v>7.5880726467531134E-2</v>
      </c>
      <c r="CF417">
        <v>1.989821358241517E-2</v>
      </c>
      <c r="CG417" s="4">
        <v>11</v>
      </c>
      <c r="CH417" s="4">
        <v>0.52204401140486179</v>
      </c>
      <c r="CI417" s="4">
        <v>1.2443904150185675E-2</v>
      </c>
      <c r="CJ417" s="4">
        <f>IF(Base[[#This Row],[Secteur]]&lt;&gt;"Moyenne",Base[[#This Row],['[Prod']'[Turnover']DMC_initiale]]*(1+Base[[#This Row],['[Prod']'[Turnover']Ecart_accidents]]*Base[[#This Row],['[Prod']Impact_motifs_turnover]]),CJ400*CI400+CJ401*CI401+CJ402*CI402+CJ403*CI403+CJ404*CI404+CJ405*CI405+CJ406*CI406+CJ407*CI407+CJ408*CI408+CJ409*CI409+CJ410*CI410+CJ411*CI411+CJ412*CI412+CJ413*CI413+CJ414*CI414+CJ415*CI415+CJ416*CI416)</f>
        <v>11.114265175621902</v>
      </c>
      <c r="CK417" s="4">
        <f>1/Base[[#This Row],['[Prod']'[Turnover']DMC_initiale]]</f>
        <v>9.0909090909090912E-2</v>
      </c>
      <c r="CL417" s="4">
        <f>1/Base[[#This Row],['[Prod']'[Turnover']DMC_finale]]</f>
        <v>8.9974459327586145E-2</v>
      </c>
    </row>
    <row r="418" spans="2:90" x14ac:dyDescent="0.25">
      <c r="B418" s="4" t="s">
        <v>320</v>
      </c>
      <c r="C418">
        <v>15</v>
      </c>
      <c r="D418" t="s">
        <v>83</v>
      </c>
      <c r="E418" t="s">
        <v>42</v>
      </c>
      <c r="F418" s="3">
        <v>3.7420224740387296</v>
      </c>
      <c r="G418" s="3">
        <v>0.371</v>
      </c>
      <c r="H418" s="3">
        <v>0.371</v>
      </c>
      <c r="I418" s="3">
        <v>0</v>
      </c>
      <c r="J418" s="3">
        <v>0</v>
      </c>
      <c r="K418" s="3">
        <v>7.0000000000000007E-2</v>
      </c>
      <c r="L418" s="2">
        <f>Base[[#This Row],[Coût]]*Base[[#This Row],[Part_ménages_dépenses_santé]]</f>
        <v>0</v>
      </c>
      <c r="M418" s="2">
        <v>0</v>
      </c>
      <c r="N418" s="6">
        <v>27700000</v>
      </c>
      <c r="O418" s="7">
        <f>Base[[#This Row],[Coût_salarié]]*10^9*Base[[#This Row],[Risque]]*Base[[#This Row],[Prévalence]]*Base[[#This Row],[Part_coûts_salarié]]/Base[[#This Row],[Population_emploi]]</f>
        <v>0</v>
      </c>
      <c r="P418">
        <v>50</v>
      </c>
      <c r="Q418">
        <v>50</v>
      </c>
      <c r="R418" s="2">
        <v>9.9999999999999978E-2</v>
      </c>
      <c r="S418" s="2">
        <v>0.33340000000000003</v>
      </c>
      <c r="T418" s="4">
        <v>0</v>
      </c>
      <c r="U418" s="4">
        <f>IF(Bases_annexes!$F$5=0,16.6587111018772,0.77*Bases_annexes!$F$5/(IF(OR(ISBLANK('Données_d''entrée'!$E$44),'Données_d''entrée'!$E$44=0),35,'Données_d''entrée'!$E$44)*52))</f>
        <v>16.658711101877199</v>
      </c>
      <c r="V418" s="4">
        <v>0</v>
      </c>
      <c r="W4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8" s="4">
        <v>234.5</v>
      </c>
      <c r="Y418" s="4">
        <f>(Base[[#This Row],['[Maladies']Coûts_évités_par_salarié]]+Base[[#This Row],['[Travail']Coûts_évités_par_salarié]])/Base[[#This Row],[Budget_santé_salarié]]</f>
        <v>0</v>
      </c>
      <c r="Z418" s="4">
        <v>0.8</v>
      </c>
      <c r="AA418" s="4">
        <f>Base[[#This Row],[Coût]]*Base[[#This Row],[Part_société_dépenses_santé]]</f>
        <v>0</v>
      </c>
      <c r="AB418" s="4">
        <v>67635124</v>
      </c>
      <c r="AC418" s="4">
        <v>82.297079063317852</v>
      </c>
      <c r="AD418" s="4">
        <v>0</v>
      </c>
      <c r="AE418" s="4">
        <f>Base[[#This Row],['[SC']Prévalence_travail]]*Base[[#This Row],[Population_emploi]]</f>
        <v>0</v>
      </c>
      <c r="AF418" s="4">
        <f>Base[[#This Row],[Risque]]*Base[[#This Row],['[SC']Patients_en_emploi]]</f>
        <v>0</v>
      </c>
      <c r="AG418" s="4">
        <v>0</v>
      </c>
      <c r="AH418" s="4">
        <f>IFERROR(Base[[#This Row],['[SC']Prestations]]/Base[[#This Row],['[SC']Patients_en_emploi]],0)</f>
        <v>0</v>
      </c>
      <c r="AI418" s="4">
        <v>51.7</v>
      </c>
      <c r="AJ4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8" s="4">
        <f>Base[[#This Row],['[SC']'[Travail']Coûts_évités]]/Base[[#This Row],[Population_emploi]]</f>
        <v>0</v>
      </c>
      <c r="AL418" s="4">
        <f>Base[[#This Row],[Coût_société]]*10^9*Base[[#This Row],[Risque]]*Base[[#This Row],[Prévalence]]*Base[[#This Row],[Part_coûts_salarié]]/Base[[#This Row],[Population_emploi]]</f>
        <v>0</v>
      </c>
      <c r="AM418" s="4">
        <f>IF(Base[[#This Row],[Pathologie]]&lt;&gt;"Dépendance",0,14909.24243952)</f>
        <v>14909.24243952</v>
      </c>
      <c r="AN418" s="4">
        <f>IF(Base[[#This Row],[Pathologie]]&lt;&gt;"Dépendance",0,1316000)</f>
        <v>1316000</v>
      </c>
      <c r="AO418" s="4">
        <f>IF(Base[[#This Row],[Pathologie]]&lt;&gt;"Dépendance",0,Base[[#This Row],['[SC']Coût_personne_dépendante]]*Base[[#This Row],['[SC']Nb_personnes_dépendantes]])</f>
        <v>19620563050.408321</v>
      </c>
      <c r="AP418" s="4">
        <f>IF(Base[[#This Row],[Pathologie]]&lt;&gt;"Dépendance",0,Base[[#This Row],['[SC']Coût_total_dépendance]]/Base[[#This Row],[Population_totale]])</f>
        <v>290.09428666691468</v>
      </c>
      <c r="AQ418" s="4">
        <f>IF(Base[[#This Row],[Pathologie]]&lt;&gt;"Dépendance",0,4.5)</f>
        <v>4.5</v>
      </c>
      <c r="AR418" s="4">
        <v>0.83987615528424797</v>
      </c>
      <c r="AS418" s="4">
        <f>Base[[#This Row],[Espérance_vie]]+Base[[#This Row],['[SC']Hausse_esp_de_vie]]-Base[[#This Row],['[SC']Durée_moyenne_dépendance_avt]]+Base[[#This Row],[Risque]]</f>
        <v>82.378977692640831</v>
      </c>
      <c r="AT4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8" s="4">
        <v>62.9</v>
      </c>
      <c r="AW418" s="4">
        <f t="shared" si="9"/>
        <v>336905600000</v>
      </c>
      <c r="AX418" s="4">
        <v>15049171</v>
      </c>
      <c r="AY418" s="4">
        <f>Base[[#This Row],['[SC']Budget_total_retraites]]/Base[[#This Row],['[SC']Nombre_de_retraités]]</f>
        <v>22386.987296509556</v>
      </c>
      <c r="AZ418" s="4">
        <f>Base[[#This Row],['[SC']Budget_par_retraité]]*Base[[#This Row],['[SC']Nb_personnes_dépendantes]]</f>
        <v>29461275282.206577</v>
      </c>
      <c r="BA418" s="4">
        <f>Base[[#This Row],['[SC']'[Dépendance']Coût_retraite_personnes_dépendantes]]/Base[[#This Row],[Population_totale]]</f>
        <v>435.59135460750508</v>
      </c>
      <c r="BB418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8" s="4">
        <f>Base[[#This Row],['[SC']'[Dépendance']Gains]]-Base[[#This Row],['[SC']'[Dépendance']Coûts]]</f>
        <v>109.35302663174885</v>
      </c>
      <c r="BD418" s="4">
        <f>IF(Base[[#This Row],[Pathologie]]&lt;&gt;"Mort prématurée",0,Base[[#This Row],[Risque]]*Base[[#This Row],[Prévalence]]*Base[[#This Row],[Population_totale]])</f>
        <v>0</v>
      </c>
      <c r="BE418" s="4">
        <v>52.74</v>
      </c>
      <c r="BF418" s="4">
        <f>Base[[#This Row],['[SC']Âge_moyen_retraite]]-Base[[#This Row],['[SC']'[Mort_prématurée']Âge_moyen_mort précoce]]</f>
        <v>10.159999999999997</v>
      </c>
      <c r="BG418" s="4">
        <f>Base[[#This Row],[Espérance_vie]]+Base[[#This Row],['[SC']Hausse_esp_de_vie]]-Base[[#This Row],['[SC']Âge_moyen_retraite]]</f>
        <v>20.236955218602098</v>
      </c>
      <c r="BH418" s="4">
        <v>106583.42676924677</v>
      </c>
      <c r="BI418" s="4">
        <v>97601.789429271477</v>
      </c>
      <c r="BJ418" s="4">
        <v>302038.31496633729</v>
      </c>
      <c r="BK418" s="4">
        <v>117293.58934859755</v>
      </c>
      <c r="BL418" s="4">
        <v>1523999.9999999995</v>
      </c>
      <c r="BM4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8" s="4">
        <v>294804.96027377353</v>
      </c>
      <c r="BO4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8" s="4">
        <f>(Base[[#This Row],['[SC']'[Mort_prématurée']Gains]]-Base[[#This Row],['[SC']'[Mort_prématurée']Coûts]])/Base[[#This Row],[Population_totale]]</f>
        <v>0</v>
      </c>
      <c r="BQ418" s="4">
        <f>IF(Base[[#This Row],[Pathologie]]&lt;&gt;"Mort prématurée",0,Base[[#This Row],[Risque]])</f>
        <v>0</v>
      </c>
      <c r="BR418" s="4">
        <v>2680</v>
      </c>
      <c r="BS4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8" s="4">
        <f>Base[[#This Row],[Prévalence_prod]]*(1-Base[[#This Row],[Risque]])*Base[[#This Row],[Durée_arrêt]]*Base[[#This Row],[Population_emploi]]</f>
        <v>0</v>
      </c>
      <c r="BV418" s="4">
        <f>Base[[#This Row],['[Prod']'[Absentéisme']Total_jours_absence_avant]]-Base[[#This Row],['[Prod']'[Absentéisme']Total_jours_absence_après]]</f>
        <v>0</v>
      </c>
      <c r="BW418" s="4">
        <f>IF(AND(Base[[#This Row],[Pathologie]]&lt;&gt;"Dépendance",Base[[#This Row],[Pathologie]]&lt;&gt;"Mort prématurée",Base[[#This Row],[Pathologie]]&lt;&gt;"Migraine"),0.0619,0)</f>
        <v>0</v>
      </c>
      <c r="BX418" s="4">
        <v>254</v>
      </c>
      <c r="BY41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8" s="4">
        <f>Base[[#This Row],[Prévalence_prod]]*Base[[#This Row],[Présentéisme]]*Base[[#This Row],['[Prod']Jours_ouvrés]]</f>
        <v>0</v>
      </c>
      <c r="CB418" s="4">
        <f>Base[[#This Row],[Prévalence_prod]]*(1-Base[[#This Row],[Risque]])*Base[[#This Row],[Présentéisme]]*Base[[#This Row],['[Prod']Jours_ouvrés]]</f>
        <v>0</v>
      </c>
      <c r="CC418" s="4">
        <f>Base[[#This Row],['[Prod']'[Présentéisme']Jours_avant]]-Base[[#This Row],['[Prod']'[Présentéisme']Jours_après]]</f>
        <v>0</v>
      </c>
      <c r="CD418" s="4">
        <f>Base[[#This Row],['[Prod']'[Présentéisme']Jours_gagnés]]/Base[[#This Row],['[Prod']Jours_ouvrés]]</f>
        <v>0</v>
      </c>
      <c r="CE418">
        <v>7.5880726467531134E-2</v>
      </c>
      <c r="CF418">
        <v>1.989821358241517E-2</v>
      </c>
      <c r="CG418" s="4">
        <v>11</v>
      </c>
      <c r="CH418" s="4">
        <v>0.49446424657188709</v>
      </c>
      <c r="CI418" s="4">
        <v>1.0795805058605798E-2</v>
      </c>
      <c r="CJ418" s="4">
        <f>IF(Base[[#This Row],[Secteur]]&lt;&gt;"Moyenne",Base[[#This Row],['[Prod']'[Turnover']DMC_initiale]]*(1+Base[[#This Row],['[Prod']'[Turnover']Ecart_accidents]]*Base[[#This Row],['[Prod']Impact_motifs_turnover]]),CJ401*CI401+CJ402*CI402+CJ403*CI403+CJ404*CI404+CJ405*CI405+CJ406*CI406+CJ407*CI407+CJ408*CI408+CJ409*CI409+CJ410*CI410+CJ411*CI411+CJ412*CI412+CJ413*CI413+CJ414*CI414+CJ415*CI415+CJ416*CI416+CJ417*CI417)</f>
        <v>11.108228507058708</v>
      </c>
      <c r="CK418" s="4">
        <f>1/Base[[#This Row],['[Prod']'[Turnover']DMC_initiale]]</f>
        <v>9.0909090909090912E-2</v>
      </c>
      <c r="CL418" s="4">
        <f>1/Base[[#This Row],['[Prod']'[Turnover']DMC_finale]]</f>
        <v>9.0023355151953477E-2</v>
      </c>
    </row>
    <row r="419" spans="2:90" x14ac:dyDescent="0.25">
      <c r="B419" s="4" t="s">
        <v>321</v>
      </c>
      <c r="C419">
        <v>15</v>
      </c>
      <c r="D419" t="s">
        <v>83</v>
      </c>
      <c r="E419" t="s">
        <v>42</v>
      </c>
      <c r="F419" s="3">
        <v>3.7420224740387296</v>
      </c>
      <c r="G419" s="3">
        <v>0.371</v>
      </c>
      <c r="H419" s="3">
        <v>0.371</v>
      </c>
      <c r="I419" s="3">
        <v>0</v>
      </c>
      <c r="J419" s="3">
        <v>0</v>
      </c>
      <c r="K419" s="3">
        <v>7.0000000000000007E-2</v>
      </c>
      <c r="L419" s="2">
        <f>Base[[#This Row],[Coût]]*Base[[#This Row],[Part_ménages_dépenses_santé]]</f>
        <v>0</v>
      </c>
      <c r="M419" s="2">
        <v>0</v>
      </c>
      <c r="N419" s="6">
        <v>27700000</v>
      </c>
      <c r="O419" s="7">
        <f>Base[[#This Row],[Coût_salarié]]*10^9*Base[[#This Row],[Risque]]*Base[[#This Row],[Prévalence]]*Base[[#This Row],[Part_coûts_salarié]]/Base[[#This Row],[Population_emploi]]</f>
        <v>0</v>
      </c>
      <c r="P419">
        <v>50</v>
      </c>
      <c r="Q419">
        <v>50</v>
      </c>
      <c r="R419" s="2">
        <v>9.9999999999999978E-2</v>
      </c>
      <c r="S419" s="2">
        <v>0.33340000000000003</v>
      </c>
      <c r="T419" s="4">
        <v>0</v>
      </c>
      <c r="U419" s="4">
        <f>IF(Bases_annexes!$F$5=0,16.6587111018772,0.77*Bases_annexes!$F$5/(IF(OR(ISBLANK('Données_d''entrée'!$E$44),'Données_d''entrée'!$E$44=0),35,'Données_d''entrée'!$E$44)*52))</f>
        <v>16.658711101877199</v>
      </c>
      <c r="V419" s="4">
        <v>0</v>
      </c>
      <c r="W4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19" s="4">
        <v>234.5</v>
      </c>
      <c r="Y419" s="4">
        <f>(Base[[#This Row],['[Maladies']Coûts_évités_par_salarié]]+Base[[#This Row],['[Travail']Coûts_évités_par_salarié]])/Base[[#This Row],[Budget_santé_salarié]]</f>
        <v>0</v>
      </c>
      <c r="Z419" s="4">
        <v>0.8</v>
      </c>
      <c r="AA419" s="4">
        <f>Base[[#This Row],[Coût]]*Base[[#This Row],[Part_société_dépenses_santé]]</f>
        <v>0</v>
      </c>
      <c r="AB419" s="4">
        <v>67635124</v>
      </c>
      <c r="AC419" s="4">
        <v>82.297079063317852</v>
      </c>
      <c r="AD419" s="4">
        <v>0</v>
      </c>
      <c r="AE419" s="4">
        <f>Base[[#This Row],['[SC']Prévalence_travail]]*Base[[#This Row],[Population_emploi]]</f>
        <v>0</v>
      </c>
      <c r="AF419" s="4">
        <f>Base[[#This Row],[Risque]]*Base[[#This Row],['[SC']Patients_en_emploi]]</f>
        <v>0</v>
      </c>
      <c r="AG419" s="4">
        <v>0</v>
      </c>
      <c r="AH419" s="4">
        <f>IFERROR(Base[[#This Row],['[SC']Prestations]]/Base[[#This Row],['[SC']Patients_en_emploi]],0)</f>
        <v>0</v>
      </c>
      <c r="AI419" s="4">
        <v>51.7</v>
      </c>
      <c r="AJ4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19" s="4">
        <f>Base[[#This Row],['[SC']'[Travail']Coûts_évités]]/Base[[#This Row],[Population_emploi]]</f>
        <v>0</v>
      </c>
      <c r="AL419" s="4">
        <f>Base[[#This Row],[Coût_société]]*10^9*Base[[#This Row],[Risque]]*Base[[#This Row],[Prévalence]]*Base[[#This Row],[Part_coûts_salarié]]/Base[[#This Row],[Population_emploi]]</f>
        <v>0</v>
      </c>
      <c r="AM419" s="4">
        <f>IF(Base[[#This Row],[Pathologie]]&lt;&gt;"Dépendance",0,14909.24243952)</f>
        <v>14909.24243952</v>
      </c>
      <c r="AN419" s="4">
        <f>IF(Base[[#This Row],[Pathologie]]&lt;&gt;"Dépendance",0,1316000)</f>
        <v>1316000</v>
      </c>
      <c r="AO419" s="4">
        <f>IF(Base[[#This Row],[Pathologie]]&lt;&gt;"Dépendance",0,Base[[#This Row],['[SC']Coût_personne_dépendante]]*Base[[#This Row],['[SC']Nb_personnes_dépendantes]])</f>
        <v>19620563050.408321</v>
      </c>
      <c r="AP419" s="4">
        <f>IF(Base[[#This Row],[Pathologie]]&lt;&gt;"Dépendance",0,Base[[#This Row],['[SC']Coût_total_dépendance]]/Base[[#This Row],[Population_totale]])</f>
        <v>290.09428666691468</v>
      </c>
      <c r="AQ419" s="4">
        <f>IF(Base[[#This Row],[Pathologie]]&lt;&gt;"Dépendance",0,4.5)</f>
        <v>4.5</v>
      </c>
      <c r="AR419" s="4">
        <v>0.83987615528424797</v>
      </c>
      <c r="AS419" s="4">
        <f>Base[[#This Row],[Espérance_vie]]+Base[[#This Row],['[SC']Hausse_esp_de_vie]]-Base[[#This Row],['[SC']Durée_moyenne_dépendance_avt]]+Base[[#This Row],[Risque]]</f>
        <v>82.378977692640831</v>
      </c>
      <c r="AT4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19" s="4">
        <v>62.9</v>
      </c>
      <c r="AW419" s="4">
        <f t="shared" si="9"/>
        <v>336905600000</v>
      </c>
      <c r="AX419" s="4">
        <v>15049171</v>
      </c>
      <c r="AY419" s="4">
        <f>Base[[#This Row],['[SC']Budget_total_retraites]]/Base[[#This Row],['[SC']Nombre_de_retraités]]</f>
        <v>22386.987296509556</v>
      </c>
      <c r="AZ419" s="4">
        <f>Base[[#This Row],['[SC']Budget_par_retraité]]*Base[[#This Row],['[SC']Nb_personnes_dépendantes]]</f>
        <v>29461275282.206577</v>
      </c>
      <c r="BA419" s="4">
        <f>Base[[#This Row],['[SC']'[Dépendance']Coût_retraite_personnes_dépendantes]]/Base[[#This Row],[Population_totale]]</f>
        <v>435.59135460750508</v>
      </c>
      <c r="BB419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19" s="4">
        <f>Base[[#This Row],['[SC']'[Dépendance']Gains]]-Base[[#This Row],['[SC']'[Dépendance']Coûts]]</f>
        <v>109.35302663174885</v>
      </c>
      <c r="BD419" s="4">
        <f>IF(Base[[#This Row],[Pathologie]]&lt;&gt;"Mort prématurée",0,Base[[#This Row],[Risque]]*Base[[#This Row],[Prévalence]]*Base[[#This Row],[Population_totale]])</f>
        <v>0</v>
      </c>
      <c r="BE419" s="4">
        <v>52.74</v>
      </c>
      <c r="BF419" s="4">
        <f>Base[[#This Row],['[SC']Âge_moyen_retraite]]-Base[[#This Row],['[SC']'[Mort_prématurée']Âge_moyen_mort précoce]]</f>
        <v>10.159999999999997</v>
      </c>
      <c r="BG419" s="4">
        <f>Base[[#This Row],[Espérance_vie]]+Base[[#This Row],['[SC']Hausse_esp_de_vie]]-Base[[#This Row],['[SC']Âge_moyen_retraite]]</f>
        <v>20.236955218602098</v>
      </c>
      <c r="BH419" s="4">
        <v>106583.42676924677</v>
      </c>
      <c r="BI419" s="4">
        <v>97601.789429271477</v>
      </c>
      <c r="BJ419" s="4">
        <v>302038.31496633729</v>
      </c>
      <c r="BK419" s="4">
        <v>117293.58934859755</v>
      </c>
      <c r="BL419" s="4">
        <v>1523999.9999999995</v>
      </c>
      <c r="BM4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19" s="4">
        <v>294804.96027377353</v>
      </c>
      <c r="BO4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19" s="4">
        <f>(Base[[#This Row],['[SC']'[Mort_prématurée']Gains]]-Base[[#This Row],['[SC']'[Mort_prématurée']Coûts]])/Base[[#This Row],[Population_totale]]</f>
        <v>0</v>
      </c>
      <c r="BQ419" s="4">
        <f>IF(Base[[#This Row],[Pathologie]]&lt;&gt;"Mort prématurée",0,Base[[#This Row],[Risque]])</f>
        <v>0</v>
      </c>
      <c r="BR419" s="4">
        <v>2680</v>
      </c>
      <c r="BS4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19" s="4">
        <f>Base[[#This Row],[Prévalence_prod]]*(1-Base[[#This Row],[Risque]])*Base[[#This Row],[Durée_arrêt]]*Base[[#This Row],[Population_emploi]]</f>
        <v>0</v>
      </c>
      <c r="BV419" s="4">
        <f>Base[[#This Row],['[Prod']'[Absentéisme']Total_jours_absence_avant]]-Base[[#This Row],['[Prod']'[Absentéisme']Total_jours_absence_après]]</f>
        <v>0</v>
      </c>
      <c r="BW419" s="4">
        <f>IF(AND(Base[[#This Row],[Pathologie]]&lt;&gt;"Dépendance",Base[[#This Row],[Pathologie]]&lt;&gt;"Mort prématurée",Base[[#This Row],[Pathologie]]&lt;&gt;"Migraine"),0.0619,0)</f>
        <v>0</v>
      </c>
      <c r="BX419" s="4">
        <v>254</v>
      </c>
      <c r="BY41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1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19" s="4">
        <f>Base[[#This Row],[Prévalence_prod]]*Base[[#This Row],[Présentéisme]]*Base[[#This Row],['[Prod']Jours_ouvrés]]</f>
        <v>0</v>
      </c>
      <c r="CB419" s="4">
        <f>Base[[#This Row],[Prévalence_prod]]*(1-Base[[#This Row],[Risque]])*Base[[#This Row],[Présentéisme]]*Base[[#This Row],['[Prod']Jours_ouvrés]]</f>
        <v>0</v>
      </c>
      <c r="CC419" s="4">
        <f>Base[[#This Row],['[Prod']'[Présentéisme']Jours_avant]]-Base[[#This Row],['[Prod']'[Présentéisme']Jours_après]]</f>
        <v>0</v>
      </c>
      <c r="CD419" s="4">
        <f>Base[[#This Row],['[Prod']'[Présentéisme']Jours_gagnés]]/Base[[#This Row],['[Prod']Jours_ouvrés]]</f>
        <v>0</v>
      </c>
      <c r="CE419">
        <v>7.5880726467531134E-2</v>
      </c>
      <c r="CF419">
        <v>1.989821358241517E-2</v>
      </c>
      <c r="CG419" s="4">
        <v>11</v>
      </c>
      <c r="CH419" s="4">
        <v>0.85274500894619554</v>
      </c>
      <c r="CI419" s="4">
        <v>4.2903496994109176E-2</v>
      </c>
      <c r="CJ419" s="4">
        <f>IF(Base[[#This Row],[Secteur]]&lt;&gt;"Moyenne",Base[[#This Row],['[Prod']'[Turnover']DMC_initiale]]*(1+Base[[#This Row],['[Prod']'[Turnover']Ecart_accidents]]*Base[[#This Row],['[Prod']Impact_motifs_turnover]]),CJ402*CI402+CJ403*CI403+CJ404*CI404+CJ405*CI405+CJ406*CI406+CJ407*CI407+CJ408*CI408+CJ409*CI409+CJ410*CI410+CJ411*CI411+CJ412*CI412+CJ413*CI413+CJ414*CI414+CJ415*CI415+CJ416*CI416+CJ417*CI417+CJ418*CI418)</f>
        <v>11.186649125512849</v>
      </c>
      <c r="CK419" s="4">
        <f>1/Base[[#This Row],['[Prod']'[Turnover']DMC_initiale]]</f>
        <v>9.0909090909090912E-2</v>
      </c>
      <c r="CL419" s="4">
        <f>1/Base[[#This Row],['[Prod']'[Turnover']DMC_finale]]</f>
        <v>8.9392273663017496E-2</v>
      </c>
    </row>
    <row r="420" spans="2:90" x14ac:dyDescent="0.25">
      <c r="B420" s="4" t="s">
        <v>322</v>
      </c>
      <c r="C420">
        <v>15</v>
      </c>
      <c r="D420" t="s">
        <v>83</v>
      </c>
      <c r="E420" t="s">
        <v>42</v>
      </c>
      <c r="F420" s="3">
        <v>3.7420224740387296</v>
      </c>
      <c r="G420" s="3">
        <v>0.371</v>
      </c>
      <c r="H420" s="3">
        <v>0.371</v>
      </c>
      <c r="I420" s="3">
        <v>0</v>
      </c>
      <c r="J420" s="3">
        <v>0</v>
      </c>
      <c r="K420" s="3">
        <v>7.0000000000000007E-2</v>
      </c>
      <c r="L420" s="2">
        <f>Base[[#This Row],[Coût]]*Base[[#This Row],[Part_ménages_dépenses_santé]]</f>
        <v>0</v>
      </c>
      <c r="M420" s="2">
        <v>0</v>
      </c>
      <c r="N420" s="6">
        <v>27700000</v>
      </c>
      <c r="O420" s="7">
        <f>Base[[#This Row],[Coût_salarié]]*10^9*Base[[#This Row],[Risque]]*Base[[#This Row],[Prévalence]]*Base[[#This Row],[Part_coûts_salarié]]/Base[[#This Row],[Population_emploi]]</f>
        <v>0</v>
      </c>
      <c r="P420">
        <v>50</v>
      </c>
      <c r="Q420">
        <v>50</v>
      </c>
      <c r="R420" s="2">
        <v>9.9999999999999978E-2</v>
      </c>
      <c r="S420" s="2">
        <v>0.33340000000000003</v>
      </c>
      <c r="T420" s="4">
        <v>0</v>
      </c>
      <c r="U420" s="4">
        <f>IF(Bases_annexes!$F$5=0,16.6587111018772,0.77*Bases_annexes!$F$5/(IF(OR(ISBLANK('Données_d''entrée'!$E$44),'Données_d''entrée'!$E$44=0),35,'Données_d''entrée'!$E$44)*52))</f>
        <v>16.658711101877199</v>
      </c>
      <c r="V420" s="4">
        <v>0</v>
      </c>
      <c r="W4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0" s="4">
        <v>234.5</v>
      </c>
      <c r="Y420" s="4">
        <f>(Base[[#This Row],['[Maladies']Coûts_évités_par_salarié]]+Base[[#This Row],['[Travail']Coûts_évités_par_salarié]])/Base[[#This Row],[Budget_santé_salarié]]</f>
        <v>0</v>
      </c>
      <c r="Z420" s="4">
        <v>0.8</v>
      </c>
      <c r="AA420" s="4">
        <f>Base[[#This Row],[Coût]]*Base[[#This Row],[Part_société_dépenses_santé]]</f>
        <v>0</v>
      </c>
      <c r="AB420" s="4">
        <v>67635124</v>
      </c>
      <c r="AC420" s="4">
        <v>82.297079063317852</v>
      </c>
      <c r="AD420" s="4">
        <v>0</v>
      </c>
      <c r="AE420" s="4">
        <f>Base[[#This Row],['[SC']Prévalence_travail]]*Base[[#This Row],[Population_emploi]]</f>
        <v>0</v>
      </c>
      <c r="AF420" s="4">
        <f>Base[[#This Row],[Risque]]*Base[[#This Row],['[SC']Patients_en_emploi]]</f>
        <v>0</v>
      </c>
      <c r="AG420" s="4">
        <v>0</v>
      </c>
      <c r="AH420" s="4">
        <f>IFERROR(Base[[#This Row],['[SC']Prestations]]/Base[[#This Row],['[SC']Patients_en_emploi]],0)</f>
        <v>0</v>
      </c>
      <c r="AI420" s="4">
        <v>51.7</v>
      </c>
      <c r="AJ4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0" s="4">
        <f>Base[[#This Row],['[SC']'[Travail']Coûts_évités]]/Base[[#This Row],[Population_emploi]]</f>
        <v>0</v>
      </c>
      <c r="AL420" s="4">
        <f>Base[[#This Row],[Coût_société]]*10^9*Base[[#This Row],[Risque]]*Base[[#This Row],[Prévalence]]*Base[[#This Row],[Part_coûts_salarié]]/Base[[#This Row],[Population_emploi]]</f>
        <v>0</v>
      </c>
      <c r="AM420" s="4">
        <f>IF(Base[[#This Row],[Pathologie]]&lt;&gt;"Dépendance",0,14909.24243952)</f>
        <v>14909.24243952</v>
      </c>
      <c r="AN420" s="4">
        <f>IF(Base[[#This Row],[Pathologie]]&lt;&gt;"Dépendance",0,1316000)</f>
        <v>1316000</v>
      </c>
      <c r="AO420" s="4">
        <f>IF(Base[[#This Row],[Pathologie]]&lt;&gt;"Dépendance",0,Base[[#This Row],['[SC']Coût_personne_dépendante]]*Base[[#This Row],['[SC']Nb_personnes_dépendantes]])</f>
        <v>19620563050.408321</v>
      </c>
      <c r="AP420" s="4">
        <f>IF(Base[[#This Row],[Pathologie]]&lt;&gt;"Dépendance",0,Base[[#This Row],['[SC']Coût_total_dépendance]]/Base[[#This Row],[Population_totale]])</f>
        <v>290.09428666691468</v>
      </c>
      <c r="AQ420" s="4">
        <f>IF(Base[[#This Row],[Pathologie]]&lt;&gt;"Dépendance",0,4.5)</f>
        <v>4.5</v>
      </c>
      <c r="AR420" s="4">
        <v>0.83987615528424797</v>
      </c>
      <c r="AS420" s="4">
        <f>Base[[#This Row],[Espérance_vie]]+Base[[#This Row],['[SC']Hausse_esp_de_vie]]-Base[[#This Row],['[SC']Durée_moyenne_dépendance_avt]]+Base[[#This Row],[Risque]]</f>
        <v>82.378977692640831</v>
      </c>
      <c r="AT4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0" s="4">
        <v>62.9</v>
      </c>
      <c r="AW420" s="4">
        <f t="shared" si="9"/>
        <v>336905600000</v>
      </c>
      <c r="AX420" s="4">
        <v>15049171</v>
      </c>
      <c r="AY420" s="4">
        <f>Base[[#This Row],['[SC']Budget_total_retraites]]/Base[[#This Row],['[SC']Nombre_de_retraités]]</f>
        <v>22386.987296509556</v>
      </c>
      <c r="AZ420" s="4">
        <f>Base[[#This Row],['[SC']Budget_par_retraité]]*Base[[#This Row],['[SC']Nb_personnes_dépendantes]]</f>
        <v>29461275282.206577</v>
      </c>
      <c r="BA420" s="4">
        <f>Base[[#This Row],['[SC']'[Dépendance']Coût_retraite_personnes_dépendantes]]/Base[[#This Row],[Population_totale]]</f>
        <v>435.59135460750508</v>
      </c>
      <c r="BB420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0" s="4">
        <f>Base[[#This Row],['[SC']'[Dépendance']Gains]]-Base[[#This Row],['[SC']'[Dépendance']Coûts]]</f>
        <v>109.35302663174885</v>
      </c>
      <c r="BD420" s="4">
        <f>IF(Base[[#This Row],[Pathologie]]&lt;&gt;"Mort prématurée",0,Base[[#This Row],[Risque]]*Base[[#This Row],[Prévalence]]*Base[[#This Row],[Population_totale]])</f>
        <v>0</v>
      </c>
      <c r="BE420" s="4">
        <v>52.74</v>
      </c>
      <c r="BF420" s="4">
        <f>Base[[#This Row],['[SC']Âge_moyen_retraite]]-Base[[#This Row],['[SC']'[Mort_prématurée']Âge_moyen_mort précoce]]</f>
        <v>10.159999999999997</v>
      </c>
      <c r="BG420" s="4">
        <f>Base[[#This Row],[Espérance_vie]]+Base[[#This Row],['[SC']Hausse_esp_de_vie]]-Base[[#This Row],['[SC']Âge_moyen_retraite]]</f>
        <v>20.236955218602098</v>
      </c>
      <c r="BH420" s="4">
        <v>106583.42676924677</v>
      </c>
      <c r="BI420" s="4">
        <v>97601.789429271477</v>
      </c>
      <c r="BJ420" s="4">
        <v>302038.31496633729</v>
      </c>
      <c r="BK420" s="4">
        <v>117293.58934859755</v>
      </c>
      <c r="BL420" s="4">
        <v>1523999.9999999995</v>
      </c>
      <c r="BM4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0" s="4">
        <v>294804.96027377353</v>
      </c>
      <c r="BO4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0" s="4">
        <f>(Base[[#This Row],['[SC']'[Mort_prématurée']Gains]]-Base[[#This Row],['[SC']'[Mort_prématurée']Coûts]])/Base[[#This Row],[Population_totale]]</f>
        <v>0</v>
      </c>
      <c r="BQ420" s="4">
        <f>IF(Base[[#This Row],[Pathologie]]&lt;&gt;"Mort prématurée",0,Base[[#This Row],[Risque]])</f>
        <v>0</v>
      </c>
      <c r="BR420" s="4">
        <v>2680</v>
      </c>
      <c r="BS4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0" s="4">
        <f>Base[[#This Row],[Prévalence_prod]]*(1-Base[[#This Row],[Risque]])*Base[[#This Row],[Durée_arrêt]]*Base[[#This Row],[Population_emploi]]</f>
        <v>0</v>
      </c>
      <c r="BV420" s="4">
        <f>Base[[#This Row],['[Prod']'[Absentéisme']Total_jours_absence_avant]]-Base[[#This Row],['[Prod']'[Absentéisme']Total_jours_absence_après]]</f>
        <v>0</v>
      </c>
      <c r="BW420" s="4">
        <f>IF(AND(Base[[#This Row],[Pathologie]]&lt;&gt;"Dépendance",Base[[#This Row],[Pathologie]]&lt;&gt;"Mort prématurée",Base[[#This Row],[Pathologie]]&lt;&gt;"Migraine"),0.0619,0)</f>
        <v>0</v>
      </c>
      <c r="BX420" s="4">
        <v>254</v>
      </c>
      <c r="BY42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0" s="4">
        <f>Base[[#This Row],[Prévalence_prod]]*Base[[#This Row],[Présentéisme]]*Base[[#This Row],['[Prod']Jours_ouvrés]]</f>
        <v>0</v>
      </c>
      <c r="CB420" s="4">
        <f>Base[[#This Row],[Prévalence_prod]]*(1-Base[[#This Row],[Risque]])*Base[[#This Row],[Présentéisme]]*Base[[#This Row],['[Prod']Jours_ouvrés]]</f>
        <v>0</v>
      </c>
      <c r="CC420" s="4">
        <f>Base[[#This Row],['[Prod']'[Présentéisme']Jours_avant]]-Base[[#This Row],['[Prod']'[Présentéisme']Jours_après]]</f>
        <v>0</v>
      </c>
      <c r="CD420" s="4">
        <f>Base[[#This Row],['[Prod']'[Présentéisme']Jours_gagnés]]/Base[[#This Row],['[Prod']Jours_ouvrés]]</f>
        <v>0</v>
      </c>
      <c r="CE420">
        <v>7.5880726467531134E-2</v>
      </c>
      <c r="CF420">
        <v>1.989821358241517E-2</v>
      </c>
      <c r="CG420" s="4">
        <v>11</v>
      </c>
      <c r="CH420" s="4">
        <v>1.6219398392978641</v>
      </c>
      <c r="CI420" s="4">
        <v>9.628527536862988E-2</v>
      </c>
      <c r="CJ420" s="4">
        <f>IF(Base[[#This Row],[Secteur]]&lt;&gt;"Moyenne",Base[[#This Row],['[Prod']'[Turnover']DMC_initiale]]*(1+Base[[#This Row],['[Prod']'[Turnover']Ecart_accidents]]*Base[[#This Row],['[Prod']Impact_motifs_turnover]]),CJ403*CI403+CJ404*CI404+CJ405*CI405+CJ406*CI406+CJ407*CI407+CJ408*CI408+CJ409*CI409+CJ410*CI410+CJ411*CI411+CJ412*CI412+CJ413*CI413+CJ414*CI414+CJ415*CI415+CJ416*CI416+CJ417*CI417+CJ418*CI418+CJ419*CI419)</f>
        <v>11.355010758741946</v>
      </c>
      <c r="CK420" s="4">
        <f>1/Base[[#This Row],['[Prod']'[Turnover']DMC_initiale]]</f>
        <v>9.0909090909090912E-2</v>
      </c>
      <c r="CL420" s="4">
        <f>1/Base[[#This Row],['[Prod']'[Turnover']DMC_finale]]</f>
        <v>8.8066847425056327E-2</v>
      </c>
    </row>
    <row r="421" spans="2:90" x14ac:dyDescent="0.25">
      <c r="B421" s="4" t="s">
        <v>323</v>
      </c>
      <c r="C421">
        <v>15</v>
      </c>
      <c r="D421" t="s">
        <v>83</v>
      </c>
      <c r="E421" t="s">
        <v>42</v>
      </c>
      <c r="F421" s="3">
        <v>3.7420224740387296</v>
      </c>
      <c r="G421" s="3">
        <v>0.371</v>
      </c>
      <c r="H421" s="3">
        <v>0.371</v>
      </c>
      <c r="I421" s="3">
        <v>0</v>
      </c>
      <c r="J421" s="3">
        <v>0</v>
      </c>
      <c r="K421" s="3">
        <v>7.0000000000000007E-2</v>
      </c>
      <c r="L421" s="2">
        <f>Base[[#This Row],[Coût]]*Base[[#This Row],[Part_ménages_dépenses_santé]]</f>
        <v>0</v>
      </c>
      <c r="M421" s="2">
        <v>0</v>
      </c>
      <c r="N421" s="6">
        <v>27700000</v>
      </c>
      <c r="O421" s="7">
        <f>Base[[#This Row],[Coût_salarié]]*10^9*Base[[#This Row],[Risque]]*Base[[#This Row],[Prévalence]]*Base[[#This Row],[Part_coûts_salarié]]/Base[[#This Row],[Population_emploi]]</f>
        <v>0</v>
      </c>
      <c r="P421">
        <v>50</v>
      </c>
      <c r="Q421">
        <v>50</v>
      </c>
      <c r="R421" s="2">
        <v>9.9999999999999978E-2</v>
      </c>
      <c r="S421" s="2">
        <v>0.33340000000000003</v>
      </c>
      <c r="T421" s="4">
        <v>0</v>
      </c>
      <c r="U421" s="4">
        <f>IF(Bases_annexes!$F$5=0,16.6587111018772,0.77*Bases_annexes!$F$5/(IF(OR(ISBLANK('Données_d''entrée'!$E$44),'Données_d''entrée'!$E$44=0),35,'Données_d''entrée'!$E$44)*52))</f>
        <v>16.658711101877199</v>
      </c>
      <c r="V421" s="4">
        <v>0</v>
      </c>
      <c r="W4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1" s="4">
        <v>234.5</v>
      </c>
      <c r="Y421" s="4">
        <f>(Base[[#This Row],['[Maladies']Coûts_évités_par_salarié]]+Base[[#This Row],['[Travail']Coûts_évités_par_salarié]])/Base[[#This Row],[Budget_santé_salarié]]</f>
        <v>0</v>
      </c>
      <c r="Z421" s="4">
        <v>0.8</v>
      </c>
      <c r="AA421" s="4">
        <f>Base[[#This Row],[Coût]]*Base[[#This Row],[Part_société_dépenses_santé]]</f>
        <v>0</v>
      </c>
      <c r="AB421" s="4">
        <v>67635124</v>
      </c>
      <c r="AC421" s="4">
        <v>82.297079063317852</v>
      </c>
      <c r="AD421" s="4">
        <v>0</v>
      </c>
      <c r="AE421" s="4">
        <f>Base[[#This Row],['[SC']Prévalence_travail]]*Base[[#This Row],[Population_emploi]]</f>
        <v>0</v>
      </c>
      <c r="AF421" s="4">
        <f>Base[[#This Row],[Risque]]*Base[[#This Row],['[SC']Patients_en_emploi]]</f>
        <v>0</v>
      </c>
      <c r="AG421" s="4">
        <v>0</v>
      </c>
      <c r="AH421" s="4">
        <f>IFERROR(Base[[#This Row],['[SC']Prestations]]/Base[[#This Row],['[SC']Patients_en_emploi]],0)</f>
        <v>0</v>
      </c>
      <c r="AI421" s="4">
        <v>51.7</v>
      </c>
      <c r="AJ4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1" s="4">
        <f>Base[[#This Row],['[SC']'[Travail']Coûts_évités]]/Base[[#This Row],[Population_emploi]]</f>
        <v>0</v>
      </c>
      <c r="AL421" s="4">
        <f>Base[[#This Row],[Coût_société]]*10^9*Base[[#This Row],[Risque]]*Base[[#This Row],[Prévalence]]*Base[[#This Row],[Part_coûts_salarié]]/Base[[#This Row],[Population_emploi]]</f>
        <v>0</v>
      </c>
      <c r="AM421" s="4">
        <f>IF(Base[[#This Row],[Pathologie]]&lt;&gt;"Dépendance",0,14909.24243952)</f>
        <v>14909.24243952</v>
      </c>
      <c r="AN421" s="4">
        <f>IF(Base[[#This Row],[Pathologie]]&lt;&gt;"Dépendance",0,1316000)</f>
        <v>1316000</v>
      </c>
      <c r="AO421" s="4">
        <f>IF(Base[[#This Row],[Pathologie]]&lt;&gt;"Dépendance",0,Base[[#This Row],['[SC']Coût_personne_dépendante]]*Base[[#This Row],['[SC']Nb_personnes_dépendantes]])</f>
        <v>19620563050.408321</v>
      </c>
      <c r="AP421" s="4">
        <f>IF(Base[[#This Row],[Pathologie]]&lt;&gt;"Dépendance",0,Base[[#This Row],['[SC']Coût_total_dépendance]]/Base[[#This Row],[Population_totale]])</f>
        <v>290.09428666691468</v>
      </c>
      <c r="AQ421" s="4">
        <f>IF(Base[[#This Row],[Pathologie]]&lt;&gt;"Dépendance",0,4.5)</f>
        <v>4.5</v>
      </c>
      <c r="AR421" s="4">
        <v>0.83987615528424797</v>
      </c>
      <c r="AS421" s="4">
        <f>Base[[#This Row],[Espérance_vie]]+Base[[#This Row],['[SC']Hausse_esp_de_vie]]-Base[[#This Row],['[SC']Durée_moyenne_dépendance_avt]]+Base[[#This Row],[Risque]]</f>
        <v>82.378977692640831</v>
      </c>
      <c r="AT4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1" s="4">
        <v>62.9</v>
      </c>
      <c r="AW421" s="4">
        <f t="shared" si="9"/>
        <v>336905600000</v>
      </c>
      <c r="AX421" s="4">
        <v>15049171</v>
      </c>
      <c r="AY421" s="4">
        <f>Base[[#This Row],['[SC']Budget_total_retraites]]/Base[[#This Row],['[SC']Nombre_de_retraités]]</f>
        <v>22386.987296509556</v>
      </c>
      <c r="AZ421" s="4">
        <f>Base[[#This Row],['[SC']Budget_par_retraité]]*Base[[#This Row],['[SC']Nb_personnes_dépendantes]]</f>
        <v>29461275282.206577</v>
      </c>
      <c r="BA421" s="4">
        <f>Base[[#This Row],['[SC']'[Dépendance']Coût_retraite_personnes_dépendantes]]/Base[[#This Row],[Population_totale]]</f>
        <v>435.59135460750508</v>
      </c>
      <c r="BB421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1" s="4">
        <f>Base[[#This Row],['[SC']'[Dépendance']Gains]]-Base[[#This Row],['[SC']'[Dépendance']Coûts]]</f>
        <v>109.35302663174885</v>
      </c>
      <c r="BD421" s="4">
        <f>IF(Base[[#This Row],[Pathologie]]&lt;&gt;"Mort prématurée",0,Base[[#This Row],[Risque]]*Base[[#This Row],[Prévalence]]*Base[[#This Row],[Population_totale]])</f>
        <v>0</v>
      </c>
      <c r="BE421" s="4">
        <v>52.74</v>
      </c>
      <c r="BF421" s="4">
        <f>Base[[#This Row],['[SC']Âge_moyen_retraite]]-Base[[#This Row],['[SC']'[Mort_prématurée']Âge_moyen_mort précoce]]</f>
        <v>10.159999999999997</v>
      </c>
      <c r="BG421" s="4">
        <f>Base[[#This Row],[Espérance_vie]]+Base[[#This Row],['[SC']Hausse_esp_de_vie]]-Base[[#This Row],['[SC']Âge_moyen_retraite]]</f>
        <v>20.236955218602098</v>
      </c>
      <c r="BH421" s="4">
        <v>106583.42676924677</v>
      </c>
      <c r="BI421" s="4">
        <v>97601.789429271477</v>
      </c>
      <c r="BJ421" s="4">
        <v>302038.31496633729</v>
      </c>
      <c r="BK421" s="4">
        <v>117293.58934859755</v>
      </c>
      <c r="BL421" s="4">
        <v>1523999.9999999995</v>
      </c>
      <c r="BM4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1" s="4">
        <v>294804.96027377353</v>
      </c>
      <c r="BO4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1" s="4">
        <f>(Base[[#This Row],['[SC']'[Mort_prématurée']Gains]]-Base[[#This Row],['[SC']'[Mort_prématurée']Coûts]])/Base[[#This Row],[Population_totale]]</f>
        <v>0</v>
      </c>
      <c r="BQ421" s="4">
        <f>IF(Base[[#This Row],[Pathologie]]&lt;&gt;"Mort prématurée",0,Base[[#This Row],[Risque]])</f>
        <v>0</v>
      </c>
      <c r="BR421" s="4">
        <v>2680</v>
      </c>
      <c r="BS4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1" s="4">
        <f>Base[[#This Row],[Prévalence_prod]]*(1-Base[[#This Row],[Risque]])*Base[[#This Row],[Durée_arrêt]]*Base[[#This Row],[Population_emploi]]</f>
        <v>0</v>
      </c>
      <c r="BV421" s="4">
        <f>Base[[#This Row],['[Prod']'[Absentéisme']Total_jours_absence_avant]]-Base[[#This Row],['[Prod']'[Absentéisme']Total_jours_absence_après]]</f>
        <v>0</v>
      </c>
      <c r="BW421" s="4">
        <f>IF(AND(Base[[#This Row],[Pathologie]]&lt;&gt;"Dépendance",Base[[#This Row],[Pathologie]]&lt;&gt;"Mort prématurée",Base[[#This Row],[Pathologie]]&lt;&gt;"Migraine"),0.0619,0)</f>
        <v>0</v>
      </c>
      <c r="BX421" s="4">
        <v>254</v>
      </c>
      <c r="BY42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1" s="4">
        <f>Base[[#This Row],[Prévalence_prod]]*Base[[#This Row],[Présentéisme]]*Base[[#This Row],['[Prod']Jours_ouvrés]]</f>
        <v>0</v>
      </c>
      <c r="CB421" s="4">
        <f>Base[[#This Row],[Prévalence_prod]]*(1-Base[[#This Row],[Risque]])*Base[[#This Row],[Présentéisme]]*Base[[#This Row],['[Prod']Jours_ouvrés]]</f>
        <v>0</v>
      </c>
      <c r="CC421" s="4">
        <f>Base[[#This Row],['[Prod']'[Présentéisme']Jours_avant]]-Base[[#This Row],['[Prod']'[Présentéisme']Jours_après]]</f>
        <v>0</v>
      </c>
      <c r="CD421" s="4">
        <f>Base[[#This Row],['[Prod']'[Présentéisme']Jours_gagnés]]/Base[[#This Row],['[Prod']Jours_ouvrés]]</f>
        <v>0</v>
      </c>
      <c r="CE421">
        <v>7.5880726467531134E-2</v>
      </c>
      <c r="CF421">
        <v>1.989821358241517E-2</v>
      </c>
      <c r="CG421" s="4">
        <v>11</v>
      </c>
      <c r="CH421" s="4">
        <v>0.96913802401210614</v>
      </c>
      <c r="CI421" s="4">
        <v>0.10293966445307301</v>
      </c>
      <c r="CJ421" s="4">
        <f>IF(Base[[#This Row],[Secteur]]&lt;&gt;"Moyenne",Base[[#This Row],['[Prod']'[Turnover']DMC_initiale]]*(1+Base[[#This Row],['[Prod']'[Turnover']Ecart_accidents]]*Base[[#This Row],['[Prod']Impact_motifs_turnover]]),CJ404*CI404+CJ405*CI405+CJ406*CI406+CJ407*CI407+CJ408*CI408+CJ409*CI409+CJ410*CI410+CJ411*CI411+CJ412*CI412+CJ413*CI413+CJ414*CI414+CJ415*CI415+CJ416*CI416+CJ417*CI417+CJ418*CI418+CJ419*CI419+CJ420*CI420)</f>
        <v>11.212125269318959</v>
      </c>
      <c r="CK421" s="4">
        <f>1/Base[[#This Row],['[Prod']'[Turnover']DMC_initiale]]</f>
        <v>9.0909090909090912E-2</v>
      </c>
      <c r="CL421" s="4">
        <f>1/Base[[#This Row],['[Prod']'[Turnover']DMC_finale]]</f>
        <v>8.9189156915363429E-2</v>
      </c>
    </row>
    <row r="422" spans="2:90" x14ac:dyDescent="0.25">
      <c r="B422" s="4" t="s">
        <v>324</v>
      </c>
      <c r="C422">
        <v>15</v>
      </c>
      <c r="D422" t="s">
        <v>83</v>
      </c>
      <c r="E422" t="s">
        <v>42</v>
      </c>
      <c r="F422" s="3">
        <v>3.7420224740387296</v>
      </c>
      <c r="G422" s="3">
        <v>0.371</v>
      </c>
      <c r="H422" s="3">
        <v>0.371</v>
      </c>
      <c r="I422" s="3">
        <v>0</v>
      </c>
      <c r="J422" s="3">
        <v>0</v>
      </c>
      <c r="K422" s="3">
        <v>7.0000000000000007E-2</v>
      </c>
      <c r="L422" s="2">
        <f>Base[[#This Row],[Coût]]*Base[[#This Row],[Part_ménages_dépenses_santé]]</f>
        <v>0</v>
      </c>
      <c r="M422" s="2">
        <v>0</v>
      </c>
      <c r="N422" s="6">
        <v>27700000</v>
      </c>
      <c r="O422" s="7">
        <f>Base[[#This Row],[Coût_salarié]]*10^9*Base[[#This Row],[Risque]]*Base[[#This Row],[Prévalence]]*Base[[#This Row],[Part_coûts_salarié]]/Base[[#This Row],[Population_emploi]]</f>
        <v>0</v>
      </c>
      <c r="P422">
        <v>50</v>
      </c>
      <c r="Q422">
        <v>50</v>
      </c>
      <c r="R422" s="2">
        <v>9.9999999999999978E-2</v>
      </c>
      <c r="S422" s="2">
        <v>0.33340000000000003</v>
      </c>
      <c r="T422" s="4">
        <v>0</v>
      </c>
      <c r="U422" s="4">
        <f>IF(Bases_annexes!$F$5=0,16.6587111018772,0.77*Bases_annexes!$F$5/(IF(OR(ISBLANK('Données_d''entrée'!$E$44),'Données_d''entrée'!$E$44=0),35,'Données_d''entrée'!$E$44)*52))</f>
        <v>16.658711101877199</v>
      </c>
      <c r="V422" s="4">
        <v>0</v>
      </c>
      <c r="W4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2" s="4">
        <v>234.5</v>
      </c>
      <c r="Y422" s="4">
        <f>(Base[[#This Row],['[Maladies']Coûts_évités_par_salarié]]+Base[[#This Row],['[Travail']Coûts_évités_par_salarié]])/Base[[#This Row],[Budget_santé_salarié]]</f>
        <v>0</v>
      </c>
      <c r="Z422" s="4">
        <v>0.8</v>
      </c>
      <c r="AA422" s="4">
        <f>Base[[#This Row],[Coût]]*Base[[#This Row],[Part_société_dépenses_santé]]</f>
        <v>0</v>
      </c>
      <c r="AB422" s="4">
        <v>67635124</v>
      </c>
      <c r="AC422" s="4">
        <v>82.297079063317852</v>
      </c>
      <c r="AD422" s="4">
        <v>0</v>
      </c>
      <c r="AE422" s="4">
        <f>Base[[#This Row],['[SC']Prévalence_travail]]*Base[[#This Row],[Population_emploi]]</f>
        <v>0</v>
      </c>
      <c r="AF422" s="4">
        <f>Base[[#This Row],[Risque]]*Base[[#This Row],['[SC']Patients_en_emploi]]</f>
        <v>0</v>
      </c>
      <c r="AG422" s="4">
        <v>0</v>
      </c>
      <c r="AH422" s="4">
        <f>IFERROR(Base[[#This Row],['[SC']Prestations]]/Base[[#This Row],['[SC']Patients_en_emploi]],0)</f>
        <v>0</v>
      </c>
      <c r="AI422" s="4">
        <v>51.7</v>
      </c>
      <c r="AJ4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2" s="4">
        <f>Base[[#This Row],['[SC']'[Travail']Coûts_évités]]/Base[[#This Row],[Population_emploi]]</f>
        <v>0</v>
      </c>
      <c r="AL422" s="4">
        <f>Base[[#This Row],[Coût_société]]*10^9*Base[[#This Row],[Risque]]*Base[[#This Row],[Prévalence]]*Base[[#This Row],[Part_coûts_salarié]]/Base[[#This Row],[Population_emploi]]</f>
        <v>0</v>
      </c>
      <c r="AM422" s="4">
        <f>IF(Base[[#This Row],[Pathologie]]&lt;&gt;"Dépendance",0,14909.24243952)</f>
        <v>14909.24243952</v>
      </c>
      <c r="AN422" s="4">
        <f>IF(Base[[#This Row],[Pathologie]]&lt;&gt;"Dépendance",0,1316000)</f>
        <v>1316000</v>
      </c>
      <c r="AO422" s="4">
        <f>IF(Base[[#This Row],[Pathologie]]&lt;&gt;"Dépendance",0,Base[[#This Row],['[SC']Coût_personne_dépendante]]*Base[[#This Row],['[SC']Nb_personnes_dépendantes]])</f>
        <v>19620563050.408321</v>
      </c>
      <c r="AP422" s="4">
        <f>IF(Base[[#This Row],[Pathologie]]&lt;&gt;"Dépendance",0,Base[[#This Row],['[SC']Coût_total_dépendance]]/Base[[#This Row],[Population_totale]])</f>
        <v>290.09428666691468</v>
      </c>
      <c r="AQ422" s="4">
        <f>IF(Base[[#This Row],[Pathologie]]&lt;&gt;"Dépendance",0,4.5)</f>
        <v>4.5</v>
      </c>
      <c r="AR422" s="4">
        <v>0.83987615528424797</v>
      </c>
      <c r="AS422" s="4">
        <f>Base[[#This Row],[Espérance_vie]]+Base[[#This Row],['[SC']Hausse_esp_de_vie]]-Base[[#This Row],['[SC']Durée_moyenne_dépendance_avt]]+Base[[#This Row],[Risque]]</f>
        <v>82.378977692640831</v>
      </c>
      <c r="AT4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2" s="4">
        <v>62.9</v>
      </c>
      <c r="AW422" s="4">
        <f t="shared" si="9"/>
        <v>336905600000</v>
      </c>
      <c r="AX422" s="4">
        <v>15049171</v>
      </c>
      <c r="AY422" s="4">
        <f>Base[[#This Row],['[SC']Budget_total_retraites]]/Base[[#This Row],['[SC']Nombre_de_retraités]]</f>
        <v>22386.987296509556</v>
      </c>
      <c r="AZ422" s="4">
        <f>Base[[#This Row],['[SC']Budget_par_retraité]]*Base[[#This Row],['[SC']Nb_personnes_dépendantes]]</f>
        <v>29461275282.206577</v>
      </c>
      <c r="BA422" s="4">
        <f>Base[[#This Row],['[SC']'[Dépendance']Coût_retraite_personnes_dépendantes]]/Base[[#This Row],[Population_totale]]</f>
        <v>435.59135460750508</v>
      </c>
      <c r="BB422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2" s="4">
        <f>Base[[#This Row],['[SC']'[Dépendance']Gains]]-Base[[#This Row],['[SC']'[Dépendance']Coûts]]</f>
        <v>109.35302663174885</v>
      </c>
      <c r="BD422" s="4">
        <f>IF(Base[[#This Row],[Pathologie]]&lt;&gt;"Mort prématurée",0,Base[[#This Row],[Risque]]*Base[[#This Row],[Prévalence]]*Base[[#This Row],[Population_totale]])</f>
        <v>0</v>
      </c>
      <c r="BE422" s="4">
        <v>52.74</v>
      </c>
      <c r="BF422" s="4">
        <f>Base[[#This Row],['[SC']Âge_moyen_retraite]]-Base[[#This Row],['[SC']'[Mort_prématurée']Âge_moyen_mort précoce]]</f>
        <v>10.159999999999997</v>
      </c>
      <c r="BG422" s="4">
        <f>Base[[#This Row],[Espérance_vie]]+Base[[#This Row],['[SC']Hausse_esp_de_vie]]-Base[[#This Row],['[SC']Âge_moyen_retraite]]</f>
        <v>20.236955218602098</v>
      </c>
      <c r="BH422" s="4">
        <v>106583.42676924677</v>
      </c>
      <c r="BI422" s="4">
        <v>97601.789429271477</v>
      </c>
      <c r="BJ422" s="4">
        <v>302038.31496633729</v>
      </c>
      <c r="BK422" s="4">
        <v>117293.58934859755</v>
      </c>
      <c r="BL422" s="4">
        <v>1523999.9999999995</v>
      </c>
      <c r="BM4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2" s="4">
        <v>294804.96027377353</v>
      </c>
      <c r="BO4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2" s="4">
        <f>(Base[[#This Row],['[SC']'[Mort_prématurée']Gains]]-Base[[#This Row],['[SC']'[Mort_prématurée']Coûts]])/Base[[#This Row],[Population_totale]]</f>
        <v>0</v>
      </c>
      <c r="BQ422" s="4">
        <f>IF(Base[[#This Row],[Pathologie]]&lt;&gt;"Mort prématurée",0,Base[[#This Row],[Risque]])</f>
        <v>0</v>
      </c>
      <c r="BR422" s="4">
        <v>2680</v>
      </c>
      <c r="BS4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2" s="4">
        <f>Base[[#This Row],[Prévalence_prod]]*(1-Base[[#This Row],[Risque]])*Base[[#This Row],[Durée_arrêt]]*Base[[#This Row],[Population_emploi]]</f>
        <v>0</v>
      </c>
      <c r="BV422" s="4">
        <f>Base[[#This Row],['[Prod']'[Absentéisme']Total_jours_absence_avant]]-Base[[#This Row],['[Prod']'[Absentéisme']Total_jours_absence_après]]</f>
        <v>0</v>
      </c>
      <c r="BW422" s="4">
        <f>IF(AND(Base[[#This Row],[Pathologie]]&lt;&gt;"Dépendance",Base[[#This Row],[Pathologie]]&lt;&gt;"Mort prématurée",Base[[#This Row],[Pathologie]]&lt;&gt;"Migraine"),0.0619,0)</f>
        <v>0</v>
      </c>
      <c r="BX422" s="4">
        <v>254</v>
      </c>
      <c r="BY42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2" s="4">
        <f>Base[[#This Row],[Prévalence_prod]]*Base[[#This Row],[Présentéisme]]*Base[[#This Row],['[Prod']Jours_ouvrés]]</f>
        <v>0</v>
      </c>
      <c r="CB422" s="4">
        <f>Base[[#This Row],[Prévalence_prod]]*(1-Base[[#This Row],[Risque]])*Base[[#This Row],[Présentéisme]]*Base[[#This Row],['[Prod']Jours_ouvrés]]</f>
        <v>0</v>
      </c>
      <c r="CC422" s="4">
        <f>Base[[#This Row],['[Prod']'[Présentéisme']Jours_avant]]-Base[[#This Row],['[Prod']'[Présentéisme']Jours_après]]</f>
        <v>0</v>
      </c>
      <c r="CD422" s="4">
        <f>Base[[#This Row],['[Prod']'[Présentéisme']Jours_gagnés]]/Base[[#This Row],['[Prod']Jours_ouvrés]]</f>
        <v>0</v>
      </c>
      <c r="CE422">
        <v>7.5880726467531134E-2</v>
      </c>
      <c r="CF422">
        <v>1.989821358241517E-2</v>
      </c>
      <c r="CG422" s="4">
        <v>11</v>
      </c>
      <c r="CH422" s="4">
        <v>1.3987208237662601</v>
      </c>
      <c r="CI422" s="4">
        <v>2.1768516166491274E-2</v>
      </c>
      <c r="CJ422" s="4">
        <f>IF(Base[[#This Row],[Secteur]]&lt;&gt;"Moyenne",Base[[#This Row],['[Prod']'[Turnover']DMC_initiale]]*(1+Base[[#This Row],['[Prod']'[Turnover']Ecart_accidents]]*Base[[#This Row],['[Prod']Impact_motifs_turnover]]),CJ405*CI405+CJ406*CI406+CJ407*CI407+CJ408*CI408+CJ409*CI409+CJ410*CI410+CJ411*CI411+CJ412*CI412+CJ413*CI413+CJ414*CI414+CJ415*CI415+CJ416*CI416+CJ417*CI417+CJ418*CI418+CJ419*CI419+CJ420*CI420+CJ421*CI421)</f>
        <v>11.306152502628199</v>
      </c>
      <c r="CK422" s="4">
        <f>1/Base[[#This Row],['[Prod']'[Turnover']DMC_initiale]]</f>
        <v>9.0909090909090912E-2</v>
      </c>
      <c r="CL422" s="4">
        <f>1/Base[[#This Row],['[Prod']'[Turnover']DMC_finale]]</f>
        <v>8.8447418320913546E-2</v>
      </c>
    </row>
    <row r="423" spans="2:90" x14ac:dyDescent="0.25">
      <c r="B423" s="4" t="s">
        <v>325</v>
      </c>
      <c r="C423">
        <v>15</v>
      </c>
      <c r="D423" t="s">
        <v>83</v>
      </c>
      <c r="E423" t="s">
        <v>42</v>
      </c>
      <c r="F423" s="3">
        <v>3.7420224740387296</v>
      </c>
      <c r="G423" s="3">
        <v>0.371</v>
      </c>
      <c r="H423" s="3">
        <v>0.371</v>
      </c>
      <c r="I423" s="3">
        <v>0</v>
      </c>
      <c r="J423" s="3">
        <v>0</v>
      </c>
      <c r="K423" s="3">
        <v>7.0000000000000007E-2</v>
      </c>
      <c r="L423" s="2">
        <f>Base[[#This Row],[Coût]]*Base[[#This Row],[Part_ménages_dépenses_santé]]</f>
        <v>0</v>
      </c>
      <c r="M423" s="2">
        <v>0</v>
      </c>
      <c r="N423" s="6">
        <v>27700000</v>
      </c>
      <c r="O423" s="7">
        <f>Base[[#This Row],[Coût_salarié]]*10^9*Base[[#This Row],[Risque]]*Base[[#This Row],[Prévalence]]*Base[[#This Row],[Part_coûts_salarié]]/Base[[#This Row],[Population_emploi]]</f>
        <v>0</v>
      </c>
      <c r="P423">
        <v>50</v>
      </c>
      <c r="Q423">
        <v>50</v>
      </c>
      <c r="R423" s="2">
        <v>9.9999999999999978E-2</v>
      </c>
      <c r="S423" s="2">
        <v>0.33340000000000003</v>
      </c>
      <c r="T423" s="4">
        <v>0</v>
      </c>
      <c r="U423" s="4">
        <f>IF(Bases_annexes!$F$5=0,16.6587111018772,0.77*Bases_annexes!$F$5/(IF(OR(ISBLANK('Données_d''entrée'!$E$44),'Données_d''entrée'!$E$44=0),35,'Données_d''entrée'!$E$44)*52))</f>
        <v>16.658711101877199</v>
      </c>
      <c r="V423" s="4">
        <v>0</v>
      </c>
      <c r="W4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3" s="4">
        <v>234.5</v>
      </c>
      <c r="Y423" s="4">
        <f>(Base[[#This Row],['[Maladies']Coûts_évités_par_salarié]]+Base[[#This Row],['[Travail']Coûts_évités_par_salarié]])/Base[[#This Row],[Budget_santé_salarié]]</f>
        <v>0</v>
      </c>
      <c r="Z423" s="4">
        <v>0.8</v>
      </c>
      <c r="AA423" s="4">
        <f>Base[[#This Row],[Coût]]*Base[[#This Row],[Part_société_dépenses_santé]]</f>
        <v>0</v>
      </c>
      <c r="AB423" s="4">
        <v>67635124</v>
      </c>
      <c r="AC423" s="4">
        <v>82.297079063317852</v>
      </c>
      <c r="AD423" s="4">
        <v>0</v>
      </c>
      <c r="AE423" s="4">
        <f>Base[[#This Row],['[SC']Prévalence_travail]]*Base[[#This Row],[Population_emploi]]</f>
        <v>0</v>
      </c>
      <c r="AF423" s="4">
        <f>Base[[#This Row],[Risque]]*Base[[#This Row],['[SC']Patients_en_emploi]]</f>
        <v>0</v>
      </c>
      <c r="AG423" s="4">
        <v>0</v>
      </c>
      <c r="AH423" s="4">
        <f>IFERROR(Base[[#This Row],['[SC']Prestations]]/Base[[#This Row],['[SC']Patients_en_emploi]],0)</f>
        <v>0</v>
      </c>
      <c r="AI423" s="4">
        <v>51.7</v>
      </c>
      <c r="AJ4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3" s="4">
        <f>Base[[#This Row],['[SC']'[Travail']Coûts_évités]]/Base[[#This Row],[Population_emploi]]</f>
        <v>0</v>
      </c>
      <c r="AL423" s="4">
        <f>Base[[#This Row],[Coût_société]]*10^9*Base[[#This Row],[Risque]]*Base[[#This Row],[Prévalence]]*Base[[#This Row],[Part_coûts_salarié]]/Base[[#This Row],[Population_emploi]]</f>
        <v>0</v>
      </c>
      <c r="AM423" s="4">
        <f>IF(Base[[#This Row],[Pathologie]]&lt;&gt;"Dépendance",0,14909.24243952)</f>
        <v>14909.24243952</v>
      </c>
      <c r="AN423" s="4">
        <f>IF(Base[[#This Row],[Pathologie]]&lt;&gt;"Dépendance",0,1316000)</f>
        <v>1316000</v>
      </c>
      <c r="AO423" s="4">
        <f>IF(Base[[#This Row],[Pathologie]]&lt;&gt;"Dépendance",0,Base[[#This Row],['[SC']Coût_personne_dépendante]]*Base[[#This Row],['[SC']Nb_personnes_dépendantes]])</f>
        <v>19620563050.408321</v>
      </c>
      <c r="AP423" s="4">
        <f>IF(Base[[#This Row],[Pathologie]]&lt;&gt;"Dépendance",0,Base[[#This Row],['[SC']Coût_total_dépendance]]/Base[[#This Row],[Population_totale]])</f>
        <v>290.09428666691468</v>
      </c>
      <c r="AQ423" s="4">
        <f>IF(Base[[#This Row],[Pathologie]]&lt;&gt;"Dépendance",0,4.5)</f>
        <v>4.5</v>
      </c>
      <c r="AR423" s="4">
        <v>0.83987615528424797</v>
      </c>
      <c r="AS423" s="4">
        <f>Base[[#This Row],[Espérance_vie]]+Base[[#This Row],['[SC']Hausse_esp_de_vie]]-Base[[#This Row],['[SC']Durée_moyenne_dépendance_avt]]+Base[[#This Row],[Risque]]</f>
        <v>82.378977692640831</v>
      </c>
      <c r="AT4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3" s="4">
        <v>62.9</v>
      </c>
      <c r="AW423" s="4">
        <f t="shared" si="9"/>
        <v>336905600000</v>
      </c>
      <c r="AX423" s="4">
        <v>15049171</v>
      </c>
      <c r="AY423" s="4">
        <f>Base[[#This Row],['[SC']Budget_total_retraites]]/Base[[#This Row],['[SC']Nombre_de_retraités]]</f>
        <v>22386.987296509556</v>
      </c>
      <c r="AZ423" s="4">
        <f>Base[[#This Row],['[SC']Budget_par_retraité]]*Base[[#This Row],['[SC']Nb_personnes_dépendantes]]</f>
        <v>29461275282.206577</v>
      </c>
      <c r="BA423" s="4">
        <f>Base[[#This Row],['[SC']'[Dépendance']Coût_retraite_personnes_dépendantes]]/Base[[#This Row],[Population_totale]]</f>
        <v>435.59135460750508</v>
      </c>
      <c r="BB423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3" s="4">
        <f>Base[[#This Row],['[SC']'[Dépendance']Gains]]-Base[[#This Row],['[SC']'[Dépendance']Coûts]]</f>
        <v>109.35302663174885</v>
      </c>
      <c r="BD423" s="4">
        <f>IF(Base[[#This Row],[Pathologie]]&lt;&gt;"Mort prématurée",0,Base[[#This Row],[Risque]]*Base[[#This Row],[Prévalence]]*Base[[#This Row],[Population_totale]])</f>
        <v>0</v>
      </c>
      <c r="BE423" s="4">
        <v>52.74</v>
      </c>
      <c r="BF423" s="4">
        <f>Base[[#This Row],['[SC']Âge_moyen_retraite]]-Base[[#This Row],['[SC']'[Mort_prématurée']Âge_moyen_mort précoce]]</f>
        <v>10.159999999999997</v>
      </c>
      <c r="BG423" s="4">
        <f>Base[[#This Row],[Espérance_vie]]+Base[[#This Row],['[SC']Hausse_esp_de_vie]]-Base[[#This Row],['[SC']Âge_moyen_retraite]]</f>
        <v>20.236955218602098</v>
      </c>
      <c r="BH423" s="4">
        <v>106583.42676924677</v>
      </c>
      <c r="BI423" s="4">
        <v>97601.789429271477</v>
      </c>
      <c r="BJ423" s="4">
        <v>302038.31496633729</v>
      </c>
      <c r="BK423" s="4">
        <v>117293.58934859755</v>
      </c>
      <c r="BL423" s="4">
        <v>1523999.9999999995</v>
      </c>
      <c r="BM4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3" s="4">
        <v>294804.96027377353</v>
      </c>
      <c r="BO4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3" s="4">
        <f>(Base[[#This Row],['[SC']'[Mort_prématurée']Gains]]-Base[[#This Row],['[SC']'[Mort_prématurée']Coûts]])/Base[[#This Row],[Population_totale]]</f>
        <v>0</v>
      </c>
      <c r="BQ423" s="4">
        <f>IF(Base[[#This Row],[Pathologie]]&lt;&gt;"Mort prématurée",0,Base[[#This Row],[Risque]])</f>
        <v>0</v>
      </c>
      <c r="BR423" s="4">
        <v>2680</v>
      </c>
      <c r="BS4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3" s="4">
        <f>Base[[#This Row],[Prévalence_prod]]*(1-Base[[#This Row],[Risque]])*Base[[#This Row],[Durée_arrêt]]*Base[[#This Row],[Population_emploi]]</f>
        <v>0</v>
      </c>
      <c r="BV423" s="4">
        <f>Base[[#This Row],['[Prod']'[Absentéisme']Total_jours_absence_avant]]-Base[[#This Row],['[Prod']'[Absentéisme']Total_jours_absence_après]]</f>
        <v>0</v>
      </c>
      <c r="BW423" s="4">
        <f>IF(AND(Base[[#This Row],[Pathologie]]&lt;&gt;"Dépendance",Base[[#This Row],[Pathologie]]&lt;&gt;"Mort prématurée",Base[[#This Row],[Pathologie]]&lt;&gt;"Migraine"),0.0619,0)</f>
        <v>0</v>
      </c>
      <c r="BX423" s="4">
        <v>254</v>
      </c>
      <c r="BY42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3" s="4">
        <f>Base[[#This Row],[Prévalence_prod]]*Base[[#This Row],[Présentéisme]]*Base[[#This Row],['[Prod']Jours_ouvrés]]</f>
        <v>0</v>
      </c>
      <c r="CB423" s="4">
        <f>Base[[#This Row],[Prévalence_prod]]*(1-Base[[#This Row],[Risque]])*Base[[#This Row],[Présentéisme]]*Base[[#This Row],['[Prod']Jours_ouvrés]]</f>
        <v>0</v>
      </c>
      <c r="CC423" s="4">
        <f>Base[[#This Row],['[Prod']'[Présentéisme']Jours_avant]]-Base[[#This Row],['[Prod']'[Présentéisme']Jours_après]]</f>
        <v>0</v>
      </c>
      <c r="CD423" s="4">
        <f>Base[[#This Row],['[Prod']'[Présentéisme']Jours_gagnés]]/Base[[#This Row],['[Prod']Jours_ouvrés]]</f>
        <v>0</v>
      </c>
      <c r="CE423">
        <v>7.5880726467531134E-2</v>
      </c>
      <c r="CF423">
        <v>1.989821358241517E-2</v>
      </c>
      <c r="CG423" s="4">
        <v>11</v>
      </c>
      <c r="CH423" s="4">
        <v>1.1624525375985588</v>
      </c>
      <c r="CI423" s="4">
        <v>3.7953151649308701E-2</v>
      </c>
      <c r="CJ423" s="4">
        <f>IF(Base[[#This Row],[Secteur]]&lt;&gt;"Moyenne",Base[[#This Row],['[Prod']'[Turnover']DMC_initiale]]*(1+Base[[#This Row],['[Prod']'[Turnover']Ecart_accidents]]*Base[[#This Row],['[Prod']Impact_motifs_turnover]]),CJ406*CI406+CJ407*CI407+CJ408*CI408+CJ409*CI409+CJ410*CI410+CJ411*CI411+CJ412*CI412+CJ413*CI413+CJ414*CI414+CJ415*CI415+CJ416*CI416+CJ417*CI417+CJ418*CI418+CJ419*CI419+CJ420*CI420+CJ421*CI421+CJ422*CI422)</f>
        <v>11.254438017598122</v>
      </c>
      <c r="CK423" s="4">
        <f>1/Base[[#This Row],['[Prod']'[Turnover']DMC_initiale]]</f>
        <v>9.0909090909090912E-2</v>
      </c>
      <c r="CL423" s="4">
        <f>1/Base[[#This Row],['[Prod']'[Turnover']DMC_finale]]</f>
        <v>8.885383689850522E-2</v>
      </c>
    </row>
    <row r="424" spans="2:90" x14ac:dyDescent="0.25">
      <c r="B424" s="4" t="s">
        <v>326</v>
      </c>
      <c r="C424">
        <v>15</v>
      </c>
      <c r="D424" t="s">
        <v>83</v>
      </c>
      <c r="E424" t="s">
        <v>42</v>
      </c>
      <c r="F424" s="3">
        <v>3.7420224740387296</v>
      </c>
      <c r="G424" s="3">
        <v>0.371</v>
      </c>
      <c r="H424" s="3">
        <v>0.371</v>
      </c>
      <c r="I424" s="3">
        <v>0</v>
      </c>
      <c r="J424" s="3">
        <v>0</v>
      </c>
      <c r="K424" s="3">
        <v>7.0000000000000007E-2</v>
      </c>
      <c r="L424" s="2">
        <f>Base[[#This Row],[Coût]]*Base[[#This Row],[Part_ménages_dépenses_santé]]</f>
        <v>0</v>
      </c>
      <c r="M424" s="2">
        <v>0</v>
      </c>
      <c r="N424" s="6">
        <v>27700000</v>
      </c>
      <c r="O424" s="7">
        <f>Base[[#This Row],[Coût_salarié]]*10^9*Base[[#This Row],[Risque]]*Base[[#This Row],[Prévalence]]*Base[[#This Row],[Part_coûts_salarié]]/Base[[#This Row],[Population_emploi]]</f>
        <v>0</v>
      </c>
      <c r="P424">
        <v>50</v>
      </c>
      <c r="Q424">
        <v>50</v>
      </c>
      <c r="R424" s="2">
        <v>9.9999999999999978E-2</v>
      </c>
      <c r="S424" s="2">
        <v>0.33340000000000003</v>
      </c>
      <c r="T424" s="4">
        <v>0</v>
      </c>
      <c r="U424" s="4">
        <f>IF(Bases_annexes!$F$5=0,16.6587111018772,0.77*Bases_annexes!$F$5/(IF(OR(ISBLANK('Données_d''entrée'!$E$44),'Données_d''entrée'!$E$44=0),35,'Données_d''entrée'!$E$44)*52))</f>
        <v>16.658711101877199</v>
      </c>
      <c r="V424" s="4">
        <v>0</v>
      </c>
      <c r="W4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4" s="4">
        <v>234.5</v>
      </c>
      <c r="Y424" s="4">
        <f>(Base[[#This Row],['[Maladies']Coûts_évités_par_salarié]]+Base[[#This Row],['[Travail']Coûts_évités_par_salarié]])/Base[[#This Row],[Budget_santé_salarié]]</f>
        <v>0</v>
      </c>
      <c r="Z424" s="4">
        <v>0.8</v>
      </c>
      <c r="AA424" s="4">
        <f>Base[[#This Row],[Coût]]*Base[[#This Row],[Part_société_dépenses_santé]]</f>
        <v>0</v>
      </c>
      <c r="AB424" s="4">
        <v>67635124</v>
      </c>
      <c r="AC424" s="4">
        <v>82.297079063317852</v>
      </c>
      <c r="AD424" s="4">
        <v>0</v>
      </c>
      <c r="AE424" s="4">
        <f>Base[[#This Row],['[SC']Prévalence_travail]]*Base[[#This Row],[Population_emploi]]</f>
        <v>0</v>
      </c>
      <c r="AF424" s="4">
        <f>Base[[#This Row],[Risque]]*Base[[#This Row],['[SC']Patients_en_emploi]]</f>
        <v>0</v>
      </c>
      <c r="AG424" s="4">
        <v>0</v>
      </c>
      <c r="AH424" s="4">
        <f>IFERROR(Base[[#This Row],['[SC']Prestations]]/Base[[#This Row],['[SC']Patients_en_emploi]],0)</f>
        <v>0</v>
      </c>
      <c r="AI424" s="4">
        <v>51.7</v>
      </c>
      <c r="AJ4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4" s="4">
        <f>Base[[#This Row],['[SC']'[Travail']Coûts_évités]]/Base[[#This Row],[Population_emploi]]</f>
        <v>0</v>
      </c>
      <c r="AL424" s="4">
        <f>Base[[#This Row],[Coût_société]]*10^9*Base[[#This Row],[Risque]]*Base[[#This Row],[Prévalence]]*Base[[#This Row],[Part_coûts_salarié]]/Base[[#This Row],[Population_emploi]]</f>
        <v>0</v>
      </c>
      <c r="AM424" s="4">
        <f>IF(Base[[#This Row],[Pathologie]]&lt;&gt;"Dépendance",0,14909.24243952)</f>
        <v>14909.24243952</v>
      </c>
      <c r="AN424" s="4">
        <f>IF(Base[[#This Row],[Pathologie]]&lt;&gt;"Dépendance",0,1316000)</f>
        <v>1316000</v>
      </c>
      <c r="AO424" s="4">
        <f>IF(Base[[#This Row],[Pathologie]]&lt;&gt;"Dépendance",0,Base[[#This Row],['[SC']Coût_personne_dépendante]]*Base[[#This Row],['[SC']Nb_personnes_dépendantes]])</f>
        <v>19620563050.408321</v>
      </c>
      <c r="AP424" s="4">
        <f>IF(Base[[#This Row],[Pathologie]]&lt;&gt;"Dépendance",0,Base[[#This Row],['[SC']Coût_total_dépendance]]/Base[[#This Row],[Population_totale]])</f>
        <v>290.09428666691468</v>
      </c>
      <c r="AQ424" s="4">
        <f>IF(Base[[#This Row],[Pathologie]]&lt;&gt;"Dépendance",0,4.5)</f>
        <v>4.5</v>
      </c>
      <c r="AR424" s="4">
        <v>0.83987615528424797</v>
      </c>
      <c r="AS424" s="4">
        <f>Base[[#This Row],[Espérance_vie]]+Base[[#This Row],['[SC']Hausse_esp_de_vie]]-Base[[#This Row],['[SC']Durée_moyenne_dépendance_avt]]+Base[[#This Row],[Risque]]</f>
        <v>82.378977692640831</v>
      </c>
      <c r="AT4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4" s="4">
        <v>62.9</v>
      </c>
      <c r="AW424" s="4">
        <f t="shared" si="9"/>
        <v>336905600000</v>
      </c>
      <c r="AX424" s="4">
        <v>15049171</v>
      </c>
      <c r="AY424" s="4">
        <f>Base[[#This Row],['[SC']Budget_total_retraites]]/Base[[#This Row],['[SC']Nombre_de_retraités]]</f>
        <v>22386.987296509556</v>
      </c>
      <c r="AZ424" s="4">
        <f>Base[[#This Row],['[SC']Budget_par_retraité]]*Base[[#This Row],['[SC']Nb_personnes_dépendantes]]</f>
        <v>29461275282.206577</v>
      </c>
      <c r="BA424" s="4">
        <f>Base[[#This Row],['[SC']'[Dépendance']Coût_retraite_personnes_dépendantes]]/Base[[#This Row],[Population_totale]]</f>
        <v>435.59135460750508</v>
      </c>
      <c r="BB424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4" s="4">
        <f>Base[[#This Row],['[SC']'[Dépendance']Gains]]-Base[[#This Row],['[SC']'[Dépendance']Coûts]]</f>
        <v>109.35302663174885</v>
      </c>
      <c r="BD424" s="4">
        <f>IF(Base[[#This Row],[Pathologie]]&lt;&gt;"Mort prématurée",0,Base[[#This Row],[Risque]]*Base[[#This Row],[Prévalence]]*Base[[#This Row],[Population_totale]])</f>
        <v>0</v>
      </c>
      <c r="BE424" s="4">
        <v>52.74</v>
      </c>
      <c r="BF424" s="4">
        <f>Base[[#This Row],['[SC']Âge_moyen_retraite]]-Base[[#This Row],['[SC']'[Mort_prématurée']Âge_moyen_mort précoce]]</f>
        <v>10.159999999999997</v>
      </c>
      <c r="BG424" s="4">
        <f>Base[[#This Row],[Espérance_vie]]+Base[[#This Row],['[SC']Hausse_esp_de_vie]]-Base[[#This Row],['[SC']Âge_moyen_retraite]]</f>
        <v>20.236955218602098</v>
      </c>
      <c r="BH424" s="4">
        <v>106583.42676924677</v>
      </c>
      <c r="BI424" s="4">
        <v>97601.789429271477</v>
      </c>
      <c r="BJ424" s="4">
        <v>302038.31496633729</v>
      </c>
      <c r="BK424" s="4">
        <v>117293.58934859755</v>
      </c>
      <c r="BL424" s="4">
        <v>1523999.9999999995</v>
      </c>
      <c r="BM4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4" s="4">
        <v>294804.96027377353</v>
      </c>
      <c r="BO4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4" s="4">
        <f>(Base[[#This Row],['[SC']'[Mort_prématurée']Gains]]-Base[[#This Row],['[SC']'[Mort_prématurée']Coûts]])/Base[[#This Row],[Population_totale]]</f>
        <v>0</v>
      </c>
      <c r="BQ424" s="4">
        <f>IF(Base[[#This Row],[Pathologie]]&lt;&gt;"Mort prématurée",0,Base[[#This Row],[Risque]])</f>
        <v>0</v>
      </c>
      <c r="BR424" s="4">
        <v>2680</v>
      </c>
      <c r="BS4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4" s="4">
        <f>Base[[#This Row],[Prévalence_prod]]*(1-Base[[#This Row],[Risque]])*Base[[#This Row],[Durée_arrêt]]*Base[[#This Row],[Population_emploi]]</f>
        <v>0</v>
      </c>
      <c r="BV424" s="4">
        <f>Base[[#This Row],['[Prod']'[Absentéisme']Total_jours_absence_avant]]-Base[[#This Row],['[Prod']'[Absentéisme']Total_jours_absence_après]]</f>
        <v>0</v>
      </c>
      <c r="BW424" s="4">
        <f>IF(AND(Base[[#This Row],[Pathologie]]&lt;&gt;"Dépendance",Base[[#This Row],[Pathologie]]&lt;&gt;"Mort prématurée",Base[[#This Row],[Pathologie]]&lt;&gt;"Migraine"),0.0619,0)</f>
        <v>0</v>
      </c>
      <c r="BX424" s="4">
        <v>254</v>
      </c>
      <c r="BY42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4" s="4">
        <f>Base[[#This Row],[Prévalence_prod]]*Base[[#This Row],[Présentéisme]]*Base[[#This Row],['[Prod']Jours_ouvrés]]</f>
        <v>0</v>
      </c>
      <c r="CB424" s="4">
        <f>Base[[#This Row],[Prévalence_prod]]*(1-Base[[#This Row],[Risque]])*Base[[#This Row],[Présentéisme]]*Base[[#This Row],['[Prod']Jours_ouvrés]]</f>
        <v>0</v>
      </c>
      <c r="CC424" s="4">
        <f>Base[[#This Row],['[Prod']'[Présentéisme']Jours_avant]]-Base[[#This Row],['[Prod']'[Présentéisme']Jours_après]]</f>
        <v>0</v>
      </c>
      <c r="CD424" s="4">
        <f>Base[[#This Row],['[Prod']'[Présentéisme']Jours_gagnés]]/Base[[#This Row],['[Prod']Jours_ouvrés]]</f>
        <v>0</v>
      </c>
      <c r="CE424">
        <v>7.5880726467531134E-2</v>
      </c>
      <c r="CF424">
        <v>1.989821358241517E-2</v>
      </c>
      <c r="CG424" s="4">
        <v>11</v>
      </c>
      <c r="CH424" s="4">
        <v>0.19346787829229528</v>
      </c>
      <c r="CI424" s="4">
        <v>2.8126549817953091E-2</v>
      </c>
      <c r="CJ424" s="4">
        <f>IF(Base[[#This Row],[Secteur]]&lt;&gt;"Moyenne",Base[[#This Row],['[Prod']'[Turnover']DMC_initiale]]*(1+Base[[#This Row],['[Prod']'[Turnover']Ecart_accidents]]*Base[[#This Row],['[Prod']Impact_motifs_turnover]]),CJ407*CI407+CJ408*CI408+CJ409*CI409+CJ410*CI410+CJ411*CI411+CJ412*CI412+CJ413*CI413+CJ414*CI414+CJ415*CI415+CJ416*CI416+CJ417*CI417+CJ418*CI418+CJ419*CI419+CJ420*CI420+CJ421*CI421+CJ422*CI422+CJ423*CI423)</f>
        <v>11.042346316799566</v>
      </c>
      <c r="CK424" s="4">
        <f>1/Base[[#This Row],['[Prod']'[Turnover']DMC_initiale]]</f>
        <v>9.0909090909090912E-2</v>
      </c>
      <c r="CL424" s="4">
        <f>1/Base[[#This Row],['[Prod']'[Turnover']DMC_finale]]</f>
        <v>9.0560463447756881E-2</v>
      </c>
    </row>
    <row r="425" spans="2:90" x14ac:dyDescent="0.25">
      <c r="B425" s="4" t="s">
        <v>327</v>
      </c>
      <c r="C425">
        <v>15</v>
      </c>
      <c r="D425" t="s">
        <v>83</v>
      </c>
      <c r="E425" t="s">
        <v>42</v>
      </c>
      <c r="F425" s="3">
        <v>3.7420224740387296</v>
      </c>
      <c r="G425" s="3">
        <v>0.371</v>
      </c>
      <c r="H425" s="3">
        <v>0.371</v>
      </c>
      <c r="I425" s="3">
        <v>0</v>
      </c>
      <c r="J425" s="3">
        <v>0</v>
      </c>
      <c r="K425" s="3">
        <v>7.0000000000000007E-2</v>
      </c>
      <c r="L425" s="2">
        <f>Base[[#This Row],[Coût]]*Base[[#This Row],[Part_ménages_dépenses_santé]]</f>
        <v>0</v>
      </c>
      <c r="M425" s="2">
        <v>0</v>
      </c>
      <c r="N425" s="6">
        <v>27700000</v>
      </c>
      <c r="O425" s="7">
        <f>Base[[#This Row],[Coût_salarié]]*10^9*Base[[#This Row],[Risque]]*Base[[#This Row],[Prévalence]]*Base[[#This Row],[Part_coûts_salarié]]/Base[[#This Row],[Population_emploi]]</f>
        <v>0</v>
      </c>
      <c r="P425">
        <v>50</v>
      </c>
      <c r="Q425">
        <v>50</v>
      </c>
      <c r="R425" s="2">
        <v>9.9999999999999978E-2</v>
      </c>
      <c r="S425" s="2">
        <v>0.33340000000000003</v>
      </c>
      <c r="T425" s="4">
        <v>0</v>
      </c>
      <c r="U425" s="4">
        <f>IF(Bases_annexes!$F$5=0,16.6587111018772,0.77*Bases_annexes!$F$5/(IF(OR(ISBLANK('Données_d''entrée'!$E$44),'Données_d''entrée'!$E$44=0),35,'Données_d''entrée'!$E$44)*52))</f>
        <v>16.658711101877199</v>
      </c>
      <c r="V425" s="4">
        <v>0</v>
      </c>
      <c r="W4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5" s="4">
        <v>234.5</v>
      </c>
      <c r="Y425" s="4">
        <f>(Base[[#This Row],['[Maladies']Coûts_évités_par_salarié]]+Base[[#This Row],['[Travail']Coûts_évités_par_salarié]])/Base[[#This Row],[Budget_santé_salarié]]</f>
        <v>0</v>
      </c>
      <c r="Z425" s="4">
        <v>0.8</v>
      </c>
      <c r="AA425" s="4">
        <f>Base[[#This Row],[Coût]]*Base[[#This Row],[Part_société_dépenses_santé]]</f>
        <v>0</v>
      </c>
      <c r="AB425" s="4">
        <v>67635124</v>
      </c>
      <c r="AC425" s="4">
        <v>82.297079063317852</v>
      </c>
      <c r="AD425" s="4">
        <v>0</v>
      </c>
      <c r="AE425" s="4">
        <f>Base[[#This Row],['[SC']Prévalence_travail]]*Base[[#This Row],[Population_emploi]]</f>
        <v>0</v>
      </c>
      <c r="AF425" s="4">
        <f>Base[[#This Row],[Risque]]*Base[[#This Row],['[SC']Patients_en_emploi]]</f>
        <v>0</v>
      </c>
      <c r="AG425" s="4">
        <v>0</v>
      </c>
      <c r="AH425" s="4">
        <f>IFERROR(Base[[#This Row],['[SC']Prestations]]/Base[[#This Row],['[SC']Patients_en_emploi]],0)</f>
        <v>0</v>
      </c>
      <c r="AI425" s="4">
        <v>51.7</v>
      </c>
      <c r="AJ4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5" s="4">
        <f>Base[[#This Row],['[SC']'[Travail']Coûts_évités]]/Base[[#This Row],[Population_emploi]]</f>
        <v>0</v>
      </c>
      <c r="AL425" s="4">
        <f>Base[[#This Row],[Coût_société]]*10^9*Base[[#This Row],[Risque]]*Base[[#This Row],[Prévalence]]*Base[[#This Row],[Part_coûts_salarié]]/Base[[#This Row],[Population_emploi]]</f>
        <v>0</v>
      </c>
      <c r="AM425" s="4">
        <f>IF(Base[[#This Row],[Pathologie]]&lt;&gt;"Dépendance",0,14909.24243952)</f>
        <v>14909.24243952</v>
      </c>
      <c r="AN425" s="4">
        <f>IF(Base[[#This Row],[Pathologie]]&lt;&gt;"Dépendance",0,1316000)</f>
        <v>1316000</v>
      </c>
      <c r="AO425" s="4">
        <f>IF(Base[[#This Row],[Pathologie]]&lt;&gt;"Dépendance",0,Base[[#This Row],['[SC']Coût_personne_dépendante]]*Base[[#This Row],['[SC']Nb_personnes_dépendantes]])</f>
        <v>19620563050.408321</v>
      </c>
      <c r="AP425" s="4">
        <f>IF(Base[[#This Row],[Pathologie]]&lt;&gt;"Dépendance",0,Base[[#This Row],['[SC']Coût_total_dépendance]]/Base[[#This Row],[Population_totale]])</f>
        <v>290.09428666691468</v>
      </c>
      <c r="AQ425" s="4">
        <f>IF(Base[[#This Row],[Pathologie]]&lt;&gt;"Dépendance",0,4.5)</f>
        <v>4.5</v>
      </c>
      <c r="AR425" s="4">
        <v>0.83987615528424797</v>
      </c>
      <c r="AS425" s="4">
        <f>Base[[#This Row],[Espérance_vie]]+Base[[#This Row],['[SC']Hausse_esp_de_vie]]-Base[[#This Row],['[SC']Durée_moyenne_dépendance_avt]]+Base[[#This Row],[Risque]]</f>
        <v>82.378977692640831</v>
      </c>
      <c r="AT4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5" s="4">
        <v>62.9</v>
      </c>
      <c r="AW425" s="4">
        <f t="shared" si="9"/>
        <v>336905600000</v>
      </c>
      <c r="AX425" s="4">
        <v>15049171</v>
      </c>
      <c r="AY425" s="4">
        <f>Base[[#This Row],['[SC']Budget_total_retraites]]/Base[[#This Row],['[SC']Nombre_de_retraités]]</f>
        <v>22386.987296509556</v>
      </c>
      <c r="AZ425" s="4">
        <f>Base[[#This Row],['[SC']Budget_par_retraité]]*Base[[#This Row],['[SC']Nb_personnes_dépendantes]]</f>
        <v>29461275282.206577</v>
      </c>
      <c r="BA425" s="4">
        <f>Base[[#This Row],['[SC']'[Dépendance']Coût_retraite_personnes_dépendantes]]/Base[[#This Row],[Population_totale]]</f>
        <v>435.59135460750508</v>
      </c>
      <c r="BB425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5" s="4">
        <f>Base[[#This Row],['[SC']'[Dépendance']Gains]]-Base[[#This Row],['[SC']'[Dépendance']Coûts]]</f>
        <v>109.35302663174885</v>
      </c>
      <c r="BD425" s="4">
        <f>IF(Base[[#This Row],[Pathologie]]&lt;&gt;"Mort prématurée",0,Base[[#This Row],[Risque]]*Base[[#This Row],[Prévalence]]*Base[[#This Row],[Population_totale]])</f>
        <v>0</v>
      </c>
      <c r="BE425" s="4">
        <v>52.74</v>
      </c>
      <c r="BF425" s="4">
        <f>Base[[#This Row],['[SC']Âge_moyen_retraite]]-Base[[#This Row],['[SC']'[Mort_prématurée']Âge_moyen_mort précoce]]</f>
        <v>10.159999999999997</v>
      </c>
      <c r="BG425" s="4">
        <f>Base[[#This Row],[Espérance_vie]]+Base[[#This Row],['[SC']Hausse_esp_de_vie]]-Base[[#This Row],['[SC']Âge_moyen_retraite]]</f>
        <v>20.236955218602098</v>
      </c>
      <c r="BH425" s="4">
        <v>106583.42676924677</v>
      </c>
      <c r="BI425" s="4">
        <v>97601.789429271477</v>
      </c>
      <c r="BJ425" s="4">
        <v>302038.31496633729</v>
      </c>
      <c r="BK425" s="4">
        <v>117293.58934859755</v>
      </c>
      <c r="BL425" s="4">
        <v>1523999.9999999995</v>
      </c>
      <c r="BM4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5" s="4">
        <v>294804.96027377353</v>
      </c>
      <c r="BO4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5" s="4">
        <f>(Base[[#This Row],['[SC']'[Mort_prématurée']Gains]]-Base[[#This Row],['[SC']'[Mort_prématurée']Coûts]])/Base[[#This Row],[Population_totale]]</f>
        <v>0</v>
      </c>
      <c r="BQ425" s="4">
        <f>IF(Base[[#This Row],[Pathologie]]&lt;&gt;"Mort prématurée",0,Base[[#This Row],[Risque]])</f>
        <v>0</v>
      </c>
      <c r="BR425" s="4">
        <v>2680</v>
      </c>
      <c r="BS4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5" s="4">
        <f>Base[[#This Row],[Prévalence_prod]]*(1-Base[[#This Row],[Risque]])*Base[[#This Row],[Durée_arrêt]]*Base[[#This Row],[Population_emploi]]</f>
        <v>0</v>
      </c>
      <c r="BV425" s="4">
        <f>Base[[#This Row],['[Prod']'[Absentéisme']Total_jours_absence_avant]]-Base[[#This Row],['[Prod']'[Absentéisme']Total_jours_absence_après]]</f>
        <v>0</v>
      </c>
      <c r="BW425" s="4">
        <f>IF(AND(Base[[#This Row],[Pathologie]]&lt;&gt;"Dépendance",Base[[#This Row],[Pathologie]]&lt;&gt;"Mort prématurée",Base[[#This Row],[Pathologie]]&lt;&gt;"Migraine"),0.0619,0)</f>
        <v>0</v>
      </c>
      <c r="BX425" s="4">
        <v>254</v>
      </c>
      <c r="BY42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5" s="4">
        <f>Base[[#This Row],[Prévalence_prod]]*Base[[#This Row],[Présentéisme]]*Base[[#This Row],['[Prod']Jours_ouvrés]]</f>
        <v>0</v>
      </c>
      <c r="CB425" s="4">
        <f>Base[[#This Row],[Prévalence_prod]]*(1-Base[[#This Row],[Risque]])*Base[[#This Row],[Présentéisme]]*Base[[#This Row],['[Prod']Jours_ouvrés]]</f>
        <v>0</v>
      </c>
      <c r="CC425" s="4">
        <f>Base[[#This Row],['[Prod']'[Présentéisme']Jours_avant]]-Base[[#This Row],['[Prod']'[Présentéisme']Jours_après]]</f>
        <v>0</v>
      </c>
      <c r="CD425" s="4">
        <f>Base[[#This Row],['[Prod']'[Présentéisme']Jours_gagnés]]/Base[[#This Row],['[Prod']Jours_ouvrés]]</f>
        <v>0</v>
      </c>
      <c r="CE425">
        <v>7.5880726467531134E-2</v>
      </c>
      <c r="CF425">
        <v>1.989821358241517E-2</v>
      </c>
      <c r="CG425" s="4">
        <v>11</v>
      </c>
      <c r="CH425" s="4">
        <v>0.13729577077682142</v>
      </c>
      <c r="CI425" s="4">
        <v>1.373516710817578E-2</v>
      </c>
      <c r="CJ425" s="4">
        <f>IF(Base[[#This Row],[Secteur]]&lt;&gt;"Moyenne",Base[[#This Row],['[Prod']'[Turnover']DMC_initiale]]*(1+Base[[#This Row],['[Prod']'[Turnover']Ecart_accidents]]*Base[[#This Row],['[Prod']Impact_motifs_turnover]]),CJ408*CI408+CJ409*CI409+CJ410*CI410+CJ411*CI411+CJ412*CI412+CJ413*CI413+CJ414*CI414+CJ415*CI415+CJ416*CI416+CJ417*CI417+CJ418*CI418+CJ419*CI419+CJ420*CI420+CJ421*CI421+CJ422*CI422+CJ423*CI423+CJ424*CI424)</f>
        <v>11.030051346279674</v>
      </c>
      <c r="CK425" s="4">
        <f>1/Base[[#This Row],['[Prod']'[Turnover']DMC_initiale]]</f>
        <v>9.0909090909090912E-2</v>
      </c>
      <c r="CL425" s="4">
        <f>1/Base[[#This Row],['[Prod']'[Turnover']DMC_finale]]</f>
        <v>9.0661409326738093E-2</v>
      </c>
    </row>
    <row r="426" spans="2:90" x14ac:dyDescent="0.25">
      <c r="B426" s="4" t="s">
        <v>328</v>
      </c>
      <c r="C426">
        <v>15</v>
      </c>
      <c r="D426" t="s">
        <v>83</v>
      </c>
      <c r="E426" t="s">
        <v>42</v>
      </c>
      <c r="F426" s="3">
        <v>3.7420224740387296</v>
      </c>
      <c r="G426" s="3">
        <v>0.371</v>
      </c>
      <c r="H426" s="3">
        <v>0.371</v>
      </c>
      <c r="I426" s="3">
        <v>0</v>
      </c>
      <c r="J426" s="3">
        <v>0</v>
      </c>
      <c r="K426" s="3">
        <v>7.0000000000000007E-2</v>
      </c>
      <c r="L426" s="2">
        <f>Base[[#This Row],[Coût]]*Base[[#This Row],[Part_ménages_dépenses_santé]]</f>
        <v>0</v>
      </c>
      <c r="M426" s="2">
        <v>0</v>
      </c>
      <c r="N426" s="6">
        <v>27700000</v>
      </c>
      <c r="O426" s="7">
        <f>Base[[#This Row],[Coût_salarié]]*10^9*Base[[#This Row],[Risque]]*Base[[#This Row],[Prévalence]]*Base[[#This Row],[Part_coûts_salarié]]/Base[[#This Row],[Population_emploi]]</f>
        <v>0</v>
      </c>
      <c r="P426">
        <v>50</v>
      </c>
      <c r="Q426">
        <v>50</v>
      </c>
      <c r="R426" s="2">
        <v>9.9999999999999978E-2</v>
      </c>
      <c r="S426" s="2">
        <v>0.33340000000000003</v>
      </c>
      <c r="T426" s="4">
        <v>0</v>
      </c>
      <c r="U426" s="4">
        <f>IF(Bases_annexes!$F$5=0,16.6587111018772,0.77*Bases_annexes!$F$5/(IF(OR(ISBLANK('Données_d''entrée'!$E$44),'Données_d''entrée'!$E$44=0),35,'Données_d''entrée'!$E$44)*52))</f>
        <v>16.658711101877199</v>
      </c>
      <c r="V426" s="4">
        <v>0</v>
      </c>
      <c r="W4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6" s="4">
        <v>234.5</v>
      </c>
      <c r="Y426" s="4">
        <f>(Base[[#This Row],['[Maladies']Coûts_évités_par_salarié]]+Base[[#This Row],['[Travail']Coûts_évités_par_salarié]])/Base[[#This Row],[Budget_santé_salarié]]</f>
        <v>0</v>
      </c>
      <c r="Z426" s="4">
        <v>0.8</v>
      </c>
      <c r="AA426" s="4">
        <f>Base[[#This Row],[Coût]]*Base[[#This Row],[Part_société_dépenses_santé]]</f>
        <v>0</v>
      </c>
      <c r="AB426" s="4">
        <v>67635124</v>
      </c>
      <c r="AC426" s="4">
        <v>82.297079063317852</v>
      </c>
      <c r="AD426" s="4">
        <v>0</v>
      </c>
      <c r="AE426" s="4">
        <f>Base[[#This Row],['[SC']Prévalence_travail]]*Base[[#This Row],[Population_emploi]]</f>
        <v>0</v>
      </c>
      <c r="AF426" s="4">
        <f>Base[[#This Row],[Risque]]*Base[[#This Row],['[SC']Patients_en_emploi]]</f>
        <v>0</v>
      </c>
      <c r="AG426" s="4">
        <v>0</v>
      </c>
      <c r="AH426" s="4">
        <f>IFERROR(Base[[#This Row],['[SC']Prestations]]/Base[[#This Row],['[SC']Patients_en_emploi]],0)</f>
        <v>0</v>
      </c>
      <c r="AI426" s="4">
        <v>51.7</v>
      </c>
      <c r="AJ4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6" s="4">
        <f>Base[[#This Row],['[SC']'[Travail']Coûts_évités]]/Base[[#This Row],[Population_emploi]]</f>
        <v>0</v>
      </c>
      <c r="AL426" s="4">
        <f>Base[[#This Row],[Coût_société]]*10^9*Base[[#This Row],[Risque]]*Base[[#This Row],[Prévalence]]*Base[[#This Row],[Part_coûts_salarié]]/Base[[#This Row],[Population_emploi]]</f>
        <v>0</v>
      </c>
      <c r="AM426" s="4">
        <f>IF(Base[[#This Row],[Pathologie]]&lt;&gt;"Dépendance",0,14909.24243952)</f>
        <v>14909.24243952</v>
      </c>
      <c r="AN426" s="4">
        <f>IF(Base[[#This Row],[Pathologie]]&lt;&gt;"Dépendance",0,1316000)</f>
        <v>1316000</v>
      </c>
      <c r="AO426" s="4">
        <f>IF(Base[[#This Row],[Pathologie]]&lt;&gt;"Dépendance",0,Base[[#This Row],['[SC']Coût_personne_dépendante]]*Base[[#This Row],['[SC']Nb_personnes_dépendantes]])</f>
        <v>19620563050.408321</v>
      </c>
      <c r="AP426" s="4">
        <f>IF(Base[[#This Row],[Pathologie]]&lt;&gt;"Dépendance",0,Base[[#This Row],['[SC']Coût_total_dépendance]]/Base[[#This Row],[Population_totale]])</f>
        <v>290.09428666691468</v>
      </c>
      <c r="AQ426" s="4">
        <f>IF(Base[[#This Row],[Pathologie]]&lt;&gt;"Dépendance",0,4.5)</f>
        <v>4.5</v>
      </c>
      <c r="AR426" s="4">
        <v>0.83987615528424797</v>
      </c>
      <c r="AS426" s="4">
        <f>Base[[#This Row],[Espérance_vie]]+Base[[#This Row],['[SC']Hausse_esp_de_vie]]-Base[[#This Row],['[SC']Durée_moyenne_dépendance_avt]]+Base[[#This Row],[Risque]]</f>
        <v>82.378977692640831</v>
      </c>
      <c r="AT4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6" s="4">
        <v>62.9</v>
      </c>
      <c r="AW426" s="4">
        <f t="shared" si="9"/>
        <v>336905600000</v>
      </c>
      <c r="AX426" s="4">
        <v>15049171</v>
      </c>
      <c r="AY426" s="4">
        <f>Base[[#This Row],['[SC']Budget_total_retraites]]/Base[[#This Row],['[SC']Nombre_de_retraités]]</f>
        <v>22386.987296509556</v>
      </c>
      <c r="AZ426" s="4">
        <f>Base[[#This Row],['[SC']Budget_par_retraité]]*Base[[#This Row],['[SC']Nb_personnes_dépendantes]]</f>
        <v>29461275282.206577</v>
      </c>
      <c r="BA426" s="4">
        <f>Base[[#This Row],['[SC']'[Dépendance']Coût_retraite_personnes_dépendantes]]/Base[[#This Row],[Population_totale]]</f>
        <v>435.59135460750508</v>
      </c>
      <c r="BB426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6" s="4">
        <f>Base[[#This Row],['[SC']'[Dépendance']Gains]]-Base[[#This Row],['[SC']'[Dépendance']Coûts]]</f>
        <v>109.35302663174885</v>
      </c>
      <c r="BD426" s="4">
        <f>IF(Base[[#This Row],[Pathologie]]&lt;&gt;"Mort prématurée",0,Base[[#This Row],[Risque]]*Base[[#This Row],[Prévalence]]*Base[[#This Row],[Population_totale]])</f>
        <v>0</v>
      </c>
      <c r="BE426" s="4">
        <v>52.74</v>
      </c>
      <c r="BF426" s="4">
        <f>Base[[#This Row],['[SC']Âge_moyen_retraite]]-Base[[#This Row],['[SC']'[Mort_prématurée']Âge_moyen_mort précoce]]</f>
        <v>10.159999999999997</v>
      </c>
      <c r="BG426" s="4">
        <f>Base[[#This Row],[Espérance_vie]]+Base[[#This Row],['[SC']Hausse_esp_de_vie]]-Base[[#This Row],['[SC']Âge_moyen_retraite]]</f>
        <v>20.236955218602098</v>
      </c>
      <c r="BH426" s="4">
        <v>106583.42676924677</v>
      </c>
      <c r="BI426" s="4">
        <v>97601.789429271477</v>
      </c>
      <c r="BJ426" s="4">
        <v>302038.31496633729</v>
      </c>
      <c r="BK426" s="4">
        <v>117293.58934859755</v>
      </c>
      <c r="BL426" s="4">
        <v>1523999.9999999995</v>
      </c>
      <c r="BM4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6" s="4">
        <v>294804.96027377353</v>
      </c>
      <c r="BO4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6" s="4">
        <f>(Base[[#This Row],['[SC']'[Mort_prématurée']Gains]]-Base[[#This Row],['[SC']'[Mort_prématurée']Coûts]])/Base[[#This Row],[Population_totale]]</f>
        <v>0</v>
      </c>
      <c r="BQ426" s="4">
        <f>IF(Base[[#This Row],[Pathologie]]&lt;&gt;"Mort prématurée",0,Base[[#This Row],[Risque]])</f>
        <v>0</v>
      </c>
      <c r="BR426" s="4">
        <v>2680</v>
      </c>
      <c r="BS4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6" s="4">
        <f>Base[[#This Row],[Prévalence_prod]]*(1-Base[[#This Row],[Risque]])*Base[[#This Row],[Durée_arrêt]]*Base[[#This Row],[Population_emploi]]</f>
        <v>0</v>
      </c>
      <c r="BV426" s="4">
        <f>Base[[#This Row],['[Prod']'[Absentéisme']Total_jours_absence_avant]]-Base[[#This Row],['[Prod']'[Absentéisme']Total_jours_absence_après]]</f>
        <v>0</v>
      </c>
      <c r="BW426" s="4">
        <f>IF(AND(Base[[#This Row],[Pathologie]]&lt;&gt;"Dépendance",Base[[#This Row],[Pathologie]]&lt;&gt;"Mort prématurée",Base[[#This Row],[Pathologie]]&lt;&gt;"Migraine"),0.0619,0)</f>
        <v>0</v>
      </c>
      <c r="BX426" s="4">
        <v>254</v>
      </c>
      <c r="BY42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6" s="4">
        <f>Base[[#This Row],[Prévalence_prod]]*Base[[#This Row],[Présentéisme]]*Base[[#This Row],['[Prod']Jours_ouvrés]]</f>
        <v>0</v>
      </c>
      <c r="CB426" s="4">
        <f>Base[[#This Row],[Prévalence_prod]]*(1-Base[[#This Row],[Risque]])*Base[[#This Row],[Présentéisme]]*Base[[#This Row],['[Prod']Jours_ouvrés]]</f>
        <v>0</v>
      </c>
      <c r="CC426" s="4">
        <f>Base[[#This Row],['[Prod']'[Présentéisme']Jours_avant]]-Base[[#This Row],['[Prod']'[Présentéisme']Jours_après]]</f>
        <v>0</v>
      </c>
      <c r="CD426" s="4">
        <f>Base[[#This Row],['[Prod']'[Présentéisme']Jours_gagnés]]/Base[[#This Row],['[Prod']Jours_ouvrés]]</f>
        <v>0</v>
      </c>
      <c r="CE426">
        <v>7.5880726467531134E-2</v>
      </c>
      <c r="CF426">
        <v>1.989821358241517E-2</v>
      </c>
      <c r="CG426" s="4">
        <v>11</v>
      </c>
      <c r="CH426" s="4">
        <v>0.60922528771817497</v>
      </c>
      <c r="CI426" s="4">
        <v>3.8601807163334179E-3</v>
      </c>
      <c r="CJ426" s="4">
        <f>IF(Base[[#This Row],[Secteur]]&lt;&gt;"Moyenne",Base[[#This Row],['[Prod']'[Turnover']DMC_initiale]]*(1+Base[[#This Row],['[Prod']'[Turnover']Ecart_accidents]]*Base[[#This Row],['[Prod']Impact_motifs_turnover]]),CJ409*CI409+CJ410*CI410+CJ411*CI411+CJ412*CI412+CJ413*CI413+CJ414*CI414+CJ415*CI415+CJ416*CI416+CJ417*CI417+CJ418*CI418+CJ419*CI419+CJ420*CI420+CJ421*CI421+CJ422*CI422+CJ423*CI423+CJ424*CI424+CJ425*CI425)</f>
        <v>11.133347443843071</v>
      </c>
      <c r="CK426" s="4">
        <f>1/Base[[#This Row],['[Prod']'[Turnover']DMC_initiale]]</f>
        <v>9.0909090909090912E-2</v>
      </c>
      <c r="CL426" s="4">
        <f>1/Base[[#This Row],['[Prod']'[Turnover']DMC_finale]]</f>
        <v>8.9820245442265148E-2</v>
      </c>
    </row>
    <row r="427" spans="2:90" x14ac:dyDescent="0.25">
      <c r="B427" s="4" t="s">
        <v>329</v>
      </c>
      <c r="C427">
        <v>15</v>
      </c>
      <c r="D427" t="s">
        <v>83</v>
      </c>
      <c r="E427" t="s">
        <v>42</v>
      </c>
      <c r="F427" s="3">
        <v>3.7420224740387296</v>
      </c>
      <c r="G427" s="3">
        <v>0.371</v>
      </c>
      <c r="H427" s="3">
        <v>0.371</v>
      </c>
      <c r="I427" s="3">
        <v>0</v>
      </c>
      <c r="J427" s="3">
        <v>0</v>
      </c>
      <c r="K427" s="3">
        <v>7.0000000000000007E-2</v>
      </c>
      <c r="L427" s="2">
        <f>Base[[#This Row],[Coût]]*Base[[#This Row],[Part_ménages_dépenses_santé]]</f>
        <v>0</v>
      </c>
      <c r="M427" s="2">
        <v>0</v>
      </c>
      <c r="N427" s="6">
        <v>27700000</v>
      </c>
      <c r="O427" s="7">
        <f>Base[[#This Row],[Coût_salarié]]*10^9*Base[[#This Row],[Risque]]*Base[[#This Row],[Prévalence]]*Base[[#This Row],[Part_coûts_salarié]]/Base[[#This Row],[Population_emploi]]</f>
        <v>0</v>
      </c>
      <c r="P427">
        <v>50</v>
      </c>
      <c r="Q427">
        <v>50</v>
      </c>
      <c r="R427" s="2">
        <v>9.9999999999999978E-2</v>
      </c>
      <c r="S427" s="2">
        <v>0.33340000000000003</v>
      </c>
      <c r="T427" s="4">
        <v>0</v>
      </c>
      <c r="U427" s="4">
        <f>IF(Bases_annexes!$F$5=0,16.6587111018772,0.77*Bases_annexes!$F$5/(IF(OR(ISBLANK('Données_d''entrée'!$E$44),'Données_d''entrée'!$E$44=0),35,'Données_d''entrée'!$E$44)*52))</f>
        <v>16.658711101877199</v>
      </c>
      <c r="V427" s="4">
        <v>0</v>
      </c>
      <c r="W4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7" s="4">
        <v>234.5</v>
      </c>
      <c r="Y427" s="4">
        <f>(Base[[#This Row],['[Maladies']Coûts_évités_par_salarié]]+Base[[#This Row],['[Travail']Coûts_évités_par_salarié]])/Base[[#This Row],[Budget_santé_salarié]]</f>
        <v>0</v>
      </c>
      <c r="Z427" s="4">
        <v>0.8</v>
      </c>
      <c r="AA427" s="4">
        <f>Base[[#This Row],[Coût]]*Base[[#This Row],[Part_société_dépenses_santé]]</f>
        <v>0</v>
      </c>
      <c r="AB427" s="4">
        <v>67635124</v>
      </c>
      <c r="AC427" s="4">
        <v>82.297079063317852</v>
      </c>
      <c r="AD427" s="4">
        <v>0</v>
      </c>
      <c r="AE427" s="4">
        <f>Base[[#This Row],['[SC']Prévalence_travail]]*Base[[#This Row],[Population_emploi]]</f>
        <v>0</v>
      </c>
      <c r="AF427" s="4">
        <f>Base[[#This Row],[Risque]]*Base[[#This Row],['[SC']Patients_en_emploi]]</f>
        <v>0</v>
      </c>
      <c r="AG427" s="4">
        <v>0</v>
      </c>
      <c r="AH427" s="4">
        <f>IFERROR(Base[[#This Row],['[SC']Prestations]]/Base[[#This Row],['[SC']Patients_en_emploi]],0)</f>
        <v>0</v>
      </c>
      <c r="AI427" s="4">
        <v>51.7</v>
      </c>
      <c r="AJ4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7" s="4">
        <f>Base[[#This Row],['[SC']'[Travail']Coûts_évités]]/Base[[#This Row],[Population_emploi]]</f>
        <v>0</v>
      </c>
      <c r="AL427" s="4">
        <f>Base[[#This Row],[Coût_société]]*10^9*Base[[#This Row],[Risque]]*Base[[#This Row],[Prévalence]]*Base[[#This Row],[Part_coûts_salarié]]/Base[[#This Row],[Population_emploi]]</f>
        <v>0</v>
      </c>
      <c r="AM427" s="4">
        <f>IF(Base[[#This Row],[Pathologie]]&lt;&gt;"Dépendance",0,14909.24243952)</f>
        <v>14909.24243952</v>
      </c>
      <c r="AN427" s="4">
        <f>IF(Base[[#This Row],[Pathologie]]&lt;&gt;"Dépendance",0,1316000)</f>
        <v>1316000</v>
      </c>
      <c r="AO427" s="4">
        <f>IF(Base[[#This Row],[Pathologie]]&lt;&gt;"Dépendance",0,Base[[#This Row],['[SC']Coût_personne_dépendante]]*Base[[#This Row],['[SC']Nb_personnes_dépendantes]])</f>
        <v>19620563050.408321</v>
      </c>
      <c r="AP427" s="4">
        <f>IF(Base[[#This Row],[Pathologie]]&lt;&gt;"Dépendance",0,Base[[#This Row],['[SC']Coût_total_dépendance]]/Base[[#This Row],[Population_totale]])</f>
        <v>290.09428666691468</v>
      </c>
      <c r="AQ427" s="4">
        <f>IF(Base[[#This Row],[Pathologie]]&lt;&gt;"Dépendance",0,4.5)</f>
        <v>4.5</v>
      </c>
      <c r="AR427" s="4">
        <v>0.83987615528424797</v>
      </c>
      <c r="AS427" s="4">
        <f>Base[[#This Row],[Espérance_vie]]+Base[[#This Row],['[SC']Hausse_esp_de_vie]]-Base[[#This Row],['[SC']Durée_moyenne_dépendance_avt]]+Base[[#This Row],[Risque]]</f>
        <v>82.378977692640831</v>
      </c>
      <c r="AT4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7" s="4">
        <v>62.9</v>
      </c>
      <c r="AW427" s="4">
        <f t="shared" si="9"/>
        <v>336905600000</v>
      </c>
      <c r="AX427" s="4">
        <v>15049171</v>
      </c>
      <c r="AY427" s="4">
        <f>Base[[#This Row],['[SC']Budget_total_retraites]]/Base[[#This Row],['[SC']Nombre_de_retraités]]</f>
        <v>22386.987296509556</v>
      </c>
      <c r="AZ427" s="4">
        <f>Base[[#This Row],['[SC']Budget_par_retraité]]*Base[[#This Row],['[SC']Nb_personnes_dépendantes]]</f>
        <v>29461275282.206577</v>
      </c>
      <c r="BA427" s="4">
        <f>Base[[#This Row],['[SC']'[Dépendance']Coût_retraite_personnes_dépendantes]]/Base[[#This Row],[Population_totale]]</f>
        <v>435.59135460750508</v>
      </c>
      <c r="BB427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7" s="4">
        <f>Base[[#This Row],['[SC']'[Dépendance']Gains]]-Base[[#This Row],['[SC']'[Dépendance']Coûts]]</f>
        <v>109.35302663174885</v>
      </c>
      <c r="BD427" s="4">
        <f>IF(Base[[#This Row],[Pathologie]]&lt;&gt;"Mort prématurée",0,Base[[#This Row],[Risque]]*Base[[#This Row],[Prévalence]]*Base[[#This Row],[Population_totale]])</f>
        <v>0</v>
      </c>
      <c r="BE427" s="4">
        <v>52.74</v>
      </c>
      <c r="BF427" s="4">
        <f>Base[[#This Row],['[SC']Âge_moyen_retraite]]-Base[[#This Row],['[SC']'[Mort_prématurée']Âge_moyen_mort précoce]]</f>
        <v>10.159999999999997</v>
      </c>
      <c r="BG427" s="4">
        <f>Base[[#This Row],[Espérance_vie]]+Base[[#This Row],['[SC']Hausse_esp_de_vie]]-Base[[#This Row],['[SC']Âge_moyen_retraite]]</f>
        <v>20.236955218602098</v>
      </c>
      <c r="BH427" s="4">
        <v>106583.42676924677</v>
      </c>
      <c r="BI427" s="4">
        <v>97601.789429271477</v>
      </c>
      <c r="BJ427" s="4">
        <v>302038.31496633729</v>
      </c>
      <c r="BK427" s="4">
        <v>117293.58934859755</v>
      </c>
      <c r="BL427" s="4">
        <v>1523999.9999999995</v>
      </c>
      <c r="BM4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7" s="4">
        <v>294804.96027377353</v>
      </c>
      <c r="BO4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7" s="4">
        <f>(Base[[#This Row],['[SC']'[Mort_prématurée']Gains]]-Base[[#This Row],['[SC']'[Mort_prématurée']Coûts]])/Base[[#This Row],[Population_totale]]</f>
        <v>0</v>
      </c>
      <c r="BQ427" s="4">
        <f>IF(Base[[#This Row],[Pathologie]]&lt;&gt;"Mort prématurée",0,Base[[#This Row],[Risque]])</f>
        <v>0</v>
      </c>
      <c r="BR427" s="4">
        <v>2680</v>
      </c>
      <c r="BS4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7" s="4">
        <f>Base[[#This Row],[Prévalence_prod]]*(1-Base[[#This Row],[Risque]])*Base[[#This Row],[Durée_arrêt]]*Base[[#This Row],[Population_emploi]]</f>
        <v>0</v>
      </c>
      <c r="BV427" s="4">
        <f>Base[[#This Row],['[Prod']'[Absentéisme']Total_jours_absence_avant]]-Base[[#This Row],['[Prod']'[Absentéisme']Total_jours_absence_après]]</f>
        <v>0</v>
      </c>
      <c r="BW427" s="4">
        <f>IF(AND(Base[[#This Row],[Pathologie]]&lt;&gt;"Dépendance",Base[[#This Row],[Pathologie]]&lt;&gt;"Mort prématurée",Base[[#This Row],[Pathologie]]&lt;&gt;"Migraine"),0.0619,0)</f>
        <v>0</v>
      </c>
      <c r="BX427" s="4">
        <v>254</v>
      </c>
      <c r="BY42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7" s="4">
        <f>Base[[#This Row],[Prévalence_prod]]*Base[[#This Row],[Présentéisme]]*Base[[#This Row],['[Prod']Jours_ouvrés]]</f>
        <v>0</v>
      </c>
      <c r="CB427" s="4">
        <f>Base[[#This Row],[Prévalence_prod]]*(1-Base[[#This Row],[Risque]])*Base[[#This Row],[Présentéisme]]*Base[[#This Row],['[Prod']Jours_ouvrés]]</f>
        <v>0</v>
      </c>
      <c r="CC427" s="4">
        <f>Base[[#This Row],['[Prod']'[Présentéisme']Jours_avant]]-Base[[#This Row],['[Prod']'[Présentéisme']Jours_après]]</f>
        <v>0</v>
      </c>
      <c r="CD427" s="4">
        <f>Base[[#This Row],['[Prod']'[Présentéisme']Jours_gagnés]]/Base[[#This Row],['[Prod']Jours_ouvrés]]</f>
        <v>0</v>
      </c>
      <c r="CE427">
        <v>7.5880726467531134E-2</v>
      </c>
      <c r="CF427">
        <v>1.989821358241517E-2</v>
      </c>
      <c r="CG427" s="4">
        <v>11</v>
      </c>
      <c r="CH427" s="4">
        <v>0.78414927716175975</v>
      </c>
      <c r="CI427" s="4">
        <v>0.12835819090128339</v>
      </c>
      <c r="CJ427" s="4">
        <f>IF(Base[[#This Row],[Secteur]]&lt;&gt;"Moyenne",Base[[#This Row],['[Prod']'[Turnover']DMC_initiale]]*(1+Base[[#This Row],['[Prod']'[Turnover']Ecart_accidents]]*Base[[#This Row],['[Prod']Impact_motifs_turnover]]),CJ410*CI410+CJ411*CI411+CJ412*CI412+CJ413*CI413+CJ414*CI414+CJ415*CI415+CJ416*CI416+CJ417*CI417+CJ418*CI418+CJ419*CI419+CJ420*CI420+CJ421*CI421+CJ422*CI422+CJ423*CI423+CJ424*CI424+CJ425*CI425+CJ426*CI426)</f>
        <v>11.171634867772074</v>
      </c>
      <c r="CK427" s="4">
        <f>1/Base[[#This Row],['[Prod']'[Turnover']DMC_initiale]]</f>
        <v>9.0909090909090912E-2</v>
      </c>
      <c r="CL427" s="4">
        <f>1/Base[[#This Row],['[Prod']'[Turnover']DMC_finale]]</f>
        <v>8.9512413521927708E-2</v>
      </c>
    </row>
    <row r="428" spans="2:90" x14ac:dyDescent="0.25">
      <c r="B428" s="4" t="s">
        <v>330</v>
      </c>
      <c r="C428">
        <v>15</v>
      </c>
      <c r="D428" t="s">
        <v>83</v>
      </c>
      <c r="E428" t="s">
        <v>42</v>
      </c>
      <c r="F428" s="3">
        <v>3.7420224740387296</v>
      </c>
      <c r="G428" s="3">
        <v>0.371</v>
      </c>
      <c r="H428" s="3">
        <v>0.371</v>
      </c>
      <c r="I428" s="3">
        <v>0</v>
      </c>
      <c r="J428" s="3">
        <v>0</v>
      </c>
      <c r="K428" s="3">
        <v>7.0000000000000007E-2</v>
      </c>
      <c r="L428" s="2">
        <f>Base[[#This Row],[Coût]]*Base[[#This Row],[Part_ménages_dépenses_santé]]</f>
        <v>0</v>
      </c>
      <c r="M428" s="2">
        <v>0</v>
      </c>
      <c r="N428" s="6">
        <v>27700000</v>
      </c>
      <c r="O428" s="7">
        <f>Base[[#This Row],[Coût_salarié]]*10^9*Base[[#This Row],[Risque]]*Base[[#This Row],[Prévalence]]*Base[[#This Row],[Part_coûts_salarié]]/Base[[#This Row],[Population_emploi]]</f>
        <v>0</v>
      </c>
      <c r="P428">
        <v>50</v>
      </c>
      <c r="Q428">
        <v>50</v>
      </c>
      <c r="R428" s="2">
        <v>9.9999999999999978E-2</v>
      </c>
      <c r="S428" s="2">
        <v>0.33340000000000003</v>
      </c>
      <c r="T428" s="4">
        <v>0</v>
      </c>
      <c r="U428" s="4">
        <f>IF(Bases_annexes!$F$5=0,16.6587111018772,0.77*Bases_annexes!$F$5/(IF(OR(ISBLANK('Données_d''entrée'!$E$44),'Données_d''entrée'!$E$44=0),35,'Données_d''entrée'!$E$44)*52))</f>
        <v>16.658711101877199</v>
      </c>
      <c r="V428" s="4">
        <v>0</v>
      </c>
      <c r="W4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8" s="4">
        <v>234.5</v>
      </c>
      <c r="Y428" s="4">
        <f>(Base[[#This Row],['[Maladies']Coûts_évités_par_salarié]]+Base[[#This Row],['[Travail']Coûts_évités_par_salarié]])/Base[[#This Row],[Budget_santé_salarié]]</f>
        <v>0</v>
      </c>
      <c r="Z428" s="4">
        <v>0.8</v>
      </c>
      <c r="AA428" s="4">
        <f>Base[[#This Row],[Coût]]*Base[[#This Row],[Part_société_dépenses_santé]]</f>
        <v>0</v>
      </c>
      <c r="AB428" s="4">
        <v>67635124</v>
      </c>
      <c r="AC428" s="4">
        <v>82.297079063317852</v>
      </c>
      <c r="AD428" s="4">
        <v>0</v>
      </c>
      <c r="AE428" s="4">
        <f>Base[[#This Row],['[SC']Prévalence_travail]]*Base[[#This Row],[Population_emploi]]</f>
        <v>0</v>
      </c>
      <c r="AF428" s="4">
        <f>Base[[#This Row],[Risque]]*Base[[#This Row],['[SC']Patients_en_emploi]]</f>
        <v>0</v>
      </c>
      <c r="AG428" s="4">
        <v>0</v>
      </c>
      <c r="AH428" s="4">
        <f>IFERROR(Base[[#This Row],['[SC']Prestations]]/Base[[#This Row],['[SC']Patients_en_emploi]],0)</f>
        <v>0</v>
      </c>
      <c r="AI428" s="4">
        <v>51.7</v>
      </c>
      <c r="AJ4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8" s="4">
        <f>Base[[#This Row],['[SC']'[Travail']Coûts_évités]]/Base[[#This Row],[Population_emploi]]</f>
        <v>0</v>
      </c>
      <c r="AL428" s="4">
        <f>Base[[#This Row],[Coût_société]]*10^9*Base[[#This Row],[Risque]]*Base[[#This Row],[Prévalence]]*Base[[#This Row],[Part_coûts_salarié]]/Base[[#This Row],[Population_emploi]]</f>
        <v>0</v>
      </c>
      <c r="AM428" s="4">
        <f>IF(Base[[#This Row],[Pathologie]]&lt;&gt;"Dépendance",0,14909.24243952)</f>
        <v>14909.24243952</v>
      </c>
      <c r="AN428" s="4">
        <f>IF(Base[[#This Row],[Pathologie]]&lt;&gt;"Dépendance",0,1316000)</f>
        <v>1316000</v>
      </c>
      <c r="AO428" s="4">
        <f>IF(Base[[#This Row],[Pathologie]]&lt;&gt;"Dépendance",0,Base[[#This Row],['[SC']Coût_personne_dépendante]]*Base[[#This Row],['[SC']Nb_personnes_dépendantes]])</f>
        <v>19620563050.408321</v>
      </c>
      <c r="AP428" s="4">
        <f>IF(Base[[#This Row],[Pathologie]]&lt;&gt;"Dépendance",0,Base[[#This Row],['[SC']Coût_total_dépendance]]/Base[[#This Row],[Population_totale]])</f>
        <v>290.09428666691468</v>
      </c>
      <c r="AQ428" s="4">
        <f>IF(Base[[#This Row],[Pathologie]]&lt;&gt;"Dépendance",0,4.5)</f>
        <v>4.5</v>
      </c>
      <c r="AR428" s="4">
        <v>0.83987615528424797</v>
      </c>
      <c r="AS428" s="4">
        <f>Base[[#This Row],[Espérance_vie]]+Base[[#This Row],['[SC']Hausse_esp_de_vie]]-Base[[#This Row],['[SC']Durée_moyenne_dépendance_avt]]+Base[[#This Row],[Risque]]</f>
        <v>82.378977692640831</v>
      </c>
      <c r="AT4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8" s="4">
        <v>62.9</v>
      </c>
      <c r="AW428" s="4">
        <f t="shared" si="9"/>
        <v>336905600000</v>
      </c>
      <c r="AX428" s="4">
        <v>15049171</v>
      </c>
      <c r="AY428" s="4">
        <f>Base[[#This Row],['[SC']Budget_total_retraites]]/Base[[#This Row],['[SC']Nombre_de_retraités]]</f>
        <v>22386.987296509556</v>
      </c>
      <c r="AZ428" s="4">
        <f>Base[[#This Row],['[SC']Budget_par_retraité]]*Base[[#This Row],['[SC']Nb_personnes_dépendantes]]</f>
        <v>29461275282.206577</v>
      </c>
      <c r="BA428" s="4">
        <f>Base[[#This Row],['[SC']'[Dépendance']Coût_retraite_personnes_dépendantes]]/Base[[#This Row],[Population_totale]]</f>
        <v>435.59135460750508</v>
      </c>
      <c r="BB428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8" s="4">
        <f>Base[[#This Row],['[SC']'[Dépendance']Gains]]-Base[[#This Row],['[SC']'[Dépendance']Coûts]]</f>
        <v>109.35302663174885</v>
      </c>
      <c r="BD428" s="4">
        <f>IF(Base[[#This Row],[Pathologie]]&lt;&gt;"Mort prématurée",0,Base[[#This Row],[Risque]]*Base[[#This Row],[Prévalence]]*Base[[#This Row],[Population_totale]])</f>
        <v>0</v>
      </c>
      <c r="BE428" s="4">
        <v>52.74</v>
      </c>
      <c r="BF428" s="4">
        <f>Base[[#This Row],['[SC']Âge_moyen_retraite]]-Base[[#This Row],['[SC']'[Mort_prématurée']Âge_moyen_mort précoce]]</f>
        <v>10.159999999999997</v>
      </c>
      <c r="BG428" s="4">
        <f>Base[[#This Row],[Espérance_vie]]+Base[[#This Row],['[SC']Hausse_esp_de_vie]]-Base[[#This Row],['[SC']Âge_moyen_retraite]]</f>
        <v>20.236955218602098</v>
      </c>
      <c r="BH428" s="4">
        <v>106583.42676924677</v>
      </c>
      <c r="BI428" s="4">
        <v>97601.789429271477</v>
      </c>
      <c r="BJ428" s="4">
        <v>302038.31496633729</v>
      </c>
      <c r="BK428" s="4">
        <v>117293.58934859755</v>
      </c>
      <c r="BL428" s="4">
        <v>1523999.9999999995</v>
      </c>
      <c r="BM4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8" s="4">
        <v>294804.96027377353</v>
      </c>
      <c r="BO4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8" s="4">
        <f>(Base[[#This Row],['[SC']'[Mort_prématurée']Gains]]-Base[[#This Row],['[SC']'[Mort_prématurée']Coûts]])/Base[[#This Row],[Population_totale]]</f>
        <v>0</v>
      </c>
      <c r="BQ428" s="4">
        <f>IF(Base[[#This Row],[Pathologie]]&lt;&gt;"Mort prématurée",0,Base[[#This Row],[Risque]])</f>
        <v>0</v>
      </c>
      <c r="BR428" s="4">
        <v>2680</v>
      </c>
      <c r="BS4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8" s="4">
        <f>Base[[#This Row],[Prévalence_prod]]*(1-Base[[#This Row],[Risque]])*Base[[#This Row],[Durée_arrêt]]*Base[[#This Row],[Population_emploi]]</f>
        <v>0</v>
      </c>
      <c r="BV428" s="4">
        <f>Base[[#This Row],['[Prod']'[Absentéisme']Total_jours_absence_avant]]-Base[[#This Row],['[Prod']'[Absentéisme']Total_jours_absence_après]]</f>
        <v>0</v>
      </c>
      <c r="BW428" s="4">
        <f>IF(AND(Base[[#This Row],[Pathologie]]&lt;&gt;"Dépendance",Base[[#This Row],[Pathologie]]&lt;&gt;"Mort prématurée",Base[[#This Row],[Pathologie]]&lt;&gt;"Migraine"),0.0619,0)</f>
        <v>0</v>
      </c>
      <c r="BX428" s="4">
        <v>254</v>
      </c>
      <c r="BY42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8" s="4">
        <f>Base[[#This Row],[Prévalence_prod]]*Base[[#This Row],[Présentéisme]]*Base[[#This Row],['[Prod']Jours_ouvrés]]</f>
        <v>0</v>
      </c>
      <c r="CB428" s="4">
        <f>Base[[#This Row],[Prévalence_prod]]*(1-Base[[#This Row],[Risque]])*Base[[#This Row],[Présentéisme]]*Base[[#This Row],['[Prod']Jours_ouvrés]]</f>
        <v>0</v>
      </c>
      <c r="CC428" s="4">
        <f>Base[[#This Row],['[Prod']'[Présentéisme']Jours_avant]]-Base[[#This Row],['[Prod']'[Présentéisme']Jours_après]]</f>
        <v>0</v>
      </c>
      <c r="CD428" s="4">
        <f>Base[[#This Row],['[Prod']'[Présentéisme']Jours_gagnés]]/Base[[#This Row],['[Prod']Jours_ouvrés]]</f>
        <v>0</v>
      </c>
      <c r="CE428">
        <v>7.5880726467531134E-2</v>
      </c>
      <c r="CF428">
        <v>1.989821358241517E-2</v>
      </c>
      <c r="CG428" s="4">
        <v>11</v>
      </c>
      <c r="CH428" s="4">
        <v>0.99648427619813984</v>
      </c>
      <c r="CI428" s="4">
        <v>0.42377466100567313</v>
      </c>
      <c r="CJ428" s="4">
        <f>IF(Base[[#This Row],[Secteur]]&lt;&gt;"Moyenne",Base[[#This Row],['[Prod']'[Turnover']DMC_initiale]]*(1+Base[[#This Row],['[Prod']'[Turnover']Ecart_accidents]]*Base[[#This Row],['[Prod']Impact_motifs_turnover]]),CJ411*CI411+CJ412*CI412+CJ413*CI413+CJ414*CI414+CJ415*CI415+CJ416*CI416+CJ417*CI417+CJ418*CI418+CJ419*CI419+CJ420*CI420+CJ421*CI421+CJ422*CI422+CJ423*CI423+CJ424*CI424+CJ425*CI425+CJ426*CI426+CJ427*CI427)</f>
        <v>11.218110826552397</v>
      </c>
      <c r="CK428" s="4">
        <f>1/Base[[#This Row],['[Prod']'[Turnover']DMC_initiale]]</f>
        <v>9.0909090909090912E-2</v>
      </c>
      <c r="CL428" s="4">
        <f>1/Base[[#This Row],['[Prod']'[Turnover']DMC_finale]]</f>
        <v>8.9141568973723953E-2</v>
      </c>
    </row>
    <row r="429" spans="2:90" x14ac:dyDescent="0.25">
      <c r="B429" s="4" t="s">
        <v>331</v>
      </c>
      <c r="C429">
        <v>15</v>
      </c>
      <c r="D429" t="s">
        <v>83</v>
      </c>
      <c r="E429" t="s">
        <v>42</v>
      </c>
      <c r="F429" s="3">
        <v>3.7420224740387296</v>
      </c>
      <c r="G429" s="3">
        <v>0.371</v>
      </c>
      <c r="H429" s="3">
        <v>0.371</v>
      </c>
      <c r="I429" s="3">
        <v>0</v>
      </c>
      <c r="J429" s="3">
        <v>0</v>
      </c>
      <c r="K429" s="3">
        <v>7.0000000000000007E-2</v>
      </c>
      <c r="L429" s="2">
        <f>Base[[#This Row],[Coût]]*Base[[#This Row],[Part_ménages_dépenses_santé]]</f>
        <v>0</v>
      </c>
      <c r="M429" s="2">
        <v>0</v>
      </c>
      <c r="N429" s="6">
        <v>27700000</v>
      </c>
      <c r="O429" s="7">
        <f>Base[[#This Row],[Coût_salarié]]*10^9*Base[[#This Row],[Risque]]*Base[[#This Row],[Prévalence]]*Base[[#This Row],[Part_coûts_salarié]]/Base[[#This Row],[Population_emploi]]</f>
        <v>0</v>
      </c>
      <c r="P429">
        <v>50</v>
      </c>
      <c r="Q429">
        <v>50</v>
      </c>
      <c r="R429" s="2">
        <v>9.9999999999999978E-2</v>
      </c>
      <c r="S429" s="2">
        <v>0.33340000000000003</v>
      </c>
      <c r="T429" s="4">
        <v>0</v>
      </c>
      <c r="U429" s="4">
        <f>IF(Bases_annexes!$F$5=0,16.6587111018772,0.77*Bases_annexes!$F$5/(IF(OR(ISBLANK('Données_d''entrée'!$E$44),'Données_d''entrée'!$E$44=0),35,'Données_d''entrée'!$E$44)*52))</f>
        <v>16.658711101877199</v>
      </c>
      <c r="V429" s="4">
        <v>0</v>
      </c>
      <c r="W4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29" s="4">
        <v>234.5</v>
      </c>
      <c r="Y429" s="4">
        <f>(Base[[#This Row],['[Maladies']Coûts_évités_par_salarié]]+Base[[#This Row],['[Travail']Coûts_évités_par_salarié]])/Base[[#This Row],[Budget_santé_salarié]]</f>
        <v>0</v>
      </c>
      <c r="Z429" s="4">
        <v>0.8</v>
      </c>
      <c r="AA429" s="4">
        <f>Base[[#This Row],[Coût]]*Base[[#This Row],[Part_société_dépenses_santé]]</f>
        <v>0</v>
      </c>
      <c r="AB429" s="4">
        <v>67635124</v>
      </c>
      <c r="AC429" s="4">
        <v>82.297079063317852</v>
      </c>
      <c r="AD429" s="4">
        <v>0</v>
      </c>
      <c r="AE429" s="4">
        <f>Base[[#This Row],['[SC']Prévalence_travail]]*Base[[#This Row],[Population_emploi]]</f>
        <v>0</v>
      </c>
      <c r="AF429" s="4">
        <f>Base[[#This Row],[Risque]]*Base[[#This Row],['[SC']Patients_en_emploi]]</f>
        <v>0</v>
      </c>
      <c r="AG429" s="4">
        <v>0</v>
      </c>
      <c r="AH429" s="4">
        <f>IFERROR(Base[[#This Row],['[SC']Prestations]]/Base[[#This Row],['[SC']Patients_en_emploi]],0)</f>
        <v>0</v>
      </c>
      <c r="AI429" s="4">
        <v>51.7</v>
      </c>
      <c r="AJ4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29" s="4">
        <f>Base[[#This Row],['[SC']'[Travail']Coûts_évités]]/Base[[#This Row],[Population_emploi]]</f>
        <v>0</v>
      </c>
      <c r="AL429" s="4">
        <f>Base[[#This Row],[Coût_société]]*10^9*Base[[#This Row],[Risque]]*Base[[#This Row],[Prévalence]]*Base[[#This Row],[Part_coûts_salarié]]/Base[[#This Row],[Population_emploi]]</f>
        <v>0</v>
      </c>
      <c r="AM429" s="4">
        <f>IF(Base[[#This Row],[Pathologie]]&lt;&gt;"Dépendance",0,14909.24243952)</f>
        <v>14909.24243952</v>
      </c>
      <c r="AN429" s="4">
        <f>IF(Base[[#This Row],[Pathologie]]&lt;&gt;"Dépendance",0,1316000)</f>
        <v>1316000</v>
      </c>
      <c r="AO429" s="4">
        <f>IF(Base[[#This Row],[Pathologie]]&lt;&gt;"Dépendance",0,Base[[#This Row],['[SC']Coût_personne_dépendante]]*Base[[#This Row],['[SC']Nb_personnes_dépendantes]])</f>
        <v>19620563050.408321</v>
      </c>
      <c r="AP429" s="4">
        <f>IF(Base[[#This Row],[Pathologie]]&lt;&gt;"Dépendance",0,Base[[#This Row],['[SC']Coût_total_dépendance]]/Base[[#This Row],[Population_totale]])</f>
        <v>290.09428666691468</v>
      </c>
      <c r="AQ429" s="4">
        <f>IF(Base[[#This Row],[Pathologie]]&lt;&gt;"Dépendance",0,4.5)</f>
        <v>4.5</v>
      </c>
      <c r="AR429" s="4">
        <v>0.83987615528424797</v>
      </c>
      <c r="AS429" s="4">
        <f>Base[[#This Row],[Espérance_vie]]+Base[[#This Row],['[SC']Hausse_esp_de_vie]]-Base[[#This Row],['[SC']Durée_moyenne_dépendance_avt]]+Base[[#This Row],[Risque]]</f>
        <v>82.378977692640831</v>
      </c>
      <c r="AT4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29" s="4">
        <v>62.9</v>
      </c>
      <c r="AW429" s="4">
        <f t="shared" si="9"/>
        <v>336905600000</v>
      </c>
      <c r="AX429" s="4">
        <v>15049171</v>
      </c>
      <c r="AY429" s="4">
        <f>Base[[#This Row],['[SC']Budget_total_retraites]]/Base[[#This Row],['[SC']Nombre_de_retraités]]</f>
        <v>22386.987296509556</v>
      </c>
      <c r="AZ429" s="4">
        <f>Base[[#This Row],['[SC']Budget_par_retraité]]*Base[[#This Row],['[SC']Nb_personnes_dépendantes]]</f>
        <v>29461275282.206577</v>
      </c>
      <c r="BA429" s="4">
        <f>Base[[#This Row],['[SC']'[Dépendance']Coût_retraite_personnes_dépendantes]]/Base[[#This Row],[Population_totale]]</f>
        <v>435.59135460750508</v>
      </c>
      <c r="BB429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29" s="4">
        <f>Base[[#This Row],['[SC']'[Dépendance']Gains]]-Base[[#This Row],['[SC']'[Dépendance']Coûts]]</f>
        <v>109.35302663174885</v>
      </c>
      <c r="BD429" s="4">
        <f>IF(Base[[#This Row],[Pathologie]]&lt;&gt;"Mort prématurée",0,Base[[#This Row],[Risque]]*Base[[#This Row],[Prévalence]]*Base[[#This Row],[Population_totale]])</f>
        <v>0</v>
      </c>
      <c r="BE429" s="4">
        <v>52.74</v>
      </c>
      <c r="BF429" s="4">
        <f>Base[[#This Row],['[SC']Âge_moyen_retraite]]-Base[[#This Row],['[SC']'[Mort_prématurée']Âge_moyen_mort précoce]]</f>
        <v>10.159999999999997</v>
      </c>
      <c r="BG429" s="4">
        <f>Base[[#This Row],[Espérance_vie]]+Base[[#This Row],['[SC']Hausse_esp_de_vie]]-Base[[#This Row],['[SC']Âge_moyen_retraite]]</f>
        <v>20.236955218602098</v>
      </c>
      <c r="BH429" s="4">
        <v>106583.42676924677</v>
      </c>
      <c r="BI429" s="4">
        <v>97601.789429271477</v>
      </c>
      <c r="BJ429" s="4">
        <v>302038.31496633729</v>
      </c>
      <c r="BK429" s="4">
        <v>117293.58934859755</v>
      </c>
      <c r="BL429" s="4">
        <v>1523999.9999999995</v>
      </c>
      <c r="BM4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29" s="4">
        <v>294804.96027377353</v>
      </c>
      <c r="BO4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29" s="4">
        <f>(Base[[#This Row],['[SC']'[Mort_prématurée']Gains]]-Base[[#This Row],['[SC']'[Mort_prématurée']Coûts]])/Base[[#This Row],[Population_totale]]</f>
        <v>0</v>
      </c>
      <c r="BQ429" s="4">
        <f>IF(Base[[#This Row],[Pathologie]]&lt;&gt;"Mort prématurée",0,Base[[#This Row],[Risque]])</f>
        <v>0</v>
      </c>
      <c r="BR429" s="4">
        <v>2680</v>
      </c>
      <c r="BS4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29" s="4">
        <f>Base[[#This Row],[Prévalence_prod]]*(1-Base[[#This Row],[Risque]])*Base[[#This Row],[Durée_arrêt]]*Base[[#This Row],[Population_emploi]]</f>
        <v>0</v>
      </c>
      <c r="BV429" s="4">
        <f>Base[[#This Row],['[Prod']'[Absentéisme']Total_jours_absence_avant]]-Base[[#This Row],['[Prod']'[Absentéisme']Total_jours_absence_après]]</f>
        <v>0</v>
      </c>
      <c r="BW429" s="4">
        <f>IF(AND(Base[[#This Row],[Pathologie]]&lt;&gt;"Dépendance",Base[[#This Row],[Pathologie]]&lt;&gt;"Mort prématurée",Base[[#This Row],[Pathologie]]&lt;&gt;"Migraine"),0.0619,0)</f>
        <v>0</v>
      </c>
      <c r="BX429" s="4">
        <v>254</v>
      </c>
      <c r="BY42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2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29" s="4">
        <f>Base[[#This Row],[Prévalence_prod]]*Base[[#This Row],[Présentéisme]]*Base[[#This Row],['[Prod']Jours_ouvrés]]</f>
        <v>0</v>
      </c>
      <c r="CB429" s="4">
        <f>Base[[#This Row],[Prévalence_prod]]*(1-Base[[#This Row],[Risque]])*Base[[#This Row],[Présentéisme]]*Base[[#This Row],['[Prod']Jours_ouvrés]]</f>
        <v>0</v>
      </c>
      <c r="CC429" s="4">
        <f>Base[[#This Row],['[Prod']'[Présentéisme']Jours_avant]]-Base[[#This Row],['[Prod']'[Présentéisme']Jours_après]]</f>
        <v>0</v>
      </c>
      <c r="CD429" s="4">
        <f>Base[[#This Row],['[Prod']'[Présentéisme']Jours_gagnés]]/Base[[#This Row],['[Prod']Jours_ouvrés]]</f>
        <v>0</v>
      </c>
      <c r="CE429">
        <v>7.5880726467531134E-2</v>
      </c>
      <c r="CF429">
        <v>1.989821358241517E-2</v>
      </c>
      <c r="CG429" s="4">
        <v>11</v>
      </c>
      <c r="CH429" s="4">
        <v>1.1593596509901765</v>
      </c>
      <c r="CI429" s="4">
        <v>4.0741311947357597E-2</v>
      </c>
      <c r="CJ429" s="4">
        <f>IF(Base[[#This Row],[Secteur]]&lt;&gt;"Moyenne",Base[[#This Row],['[Prod']'[Turnover']DMC_initiale]]*(1+Base[[#This Row],['[Prod']'[Turnover']Ecart_accidents]]*Base[[#This Row],['[Prod']Impact_motifs_turnover]]),CJ412*CI412+CJ413*CI413+CJ414*CI414+CJ415*CI415+CJ416*CI416+CJ417*CI417+CJ418*CI418+CJ419*CI419+CJ420*CI420+CJ421*CI421+CJ422*CI422+CJ423*CI423+CJ424*CI424+CJ425*CI425+CJ426*CI426+CJ427*CI427+CJ428*CI428)</f>
        <v>11.253761045496606</v>
      </c>
      <c r="CK429" s="4">
        <f>1/Base[[#This Row],['[Prod']'[Turnover']DMC_initiale]]</f>
        <v>9.0909090909090912E-2</v>
      </c>
      <c r="CL429" s="4">
        <f>1/Base[[#This Row],['[Prod']'[Turnover']DMC_finale]]</f>
        <v>8.8859181917690336E-2</v>
      </c>
    </row>
    <row r="430" spans="2:90" x14ac:dyDescent="0.25">
      <c r="B430" s="4" t="s">
        <v>332</v>
      </c>
      <c r="C430">
        <v>15</v>
      </c>
      <c r="D430" t="s">
        <v>83</v>
      </c>
      <c r="E430" t="s">
        <v>42</v>
      </c>
      <c r="F430" s="3">
        <v>3.7420224740387296</v>
      </c>
      <c r="G430" s="3">
        <v>0.371</v>
      </c>
      <c r="H430" s="3">
        <v>0.371</v>
      </c>
      <c r="I430" s="3">
        <v>0</v>
      </c>
      <c r="J430" s="3">
        <v>0</v>
      </c>
      <c r="K430" s="3">
        <v>7.0000000000000007E-2</v>
      </c>
      <c r="L430" s="2">
        <f>Base[[#This Row],[Coût]]*Base[[#This Row],[Part_ménages_dépenses_santé]]</f>
        <v>0</v>
      </c>
      <c r="M430" s="2">
        <v>0</v>
      </c>
      <c r="N430" s="6">
        <v>27700000</v>
      </c>
      <c r="O430" s="7">
        <f>Base[[#This Row],[Coût_salarié]]*10^9*Base[[#This Row],[Risque]]*Base[[#This Row],[Prévalence]]*Base[[#This Row],[Part_coûts_salarié]]/Base[[#This Row],[Population_emploi]]</f>
        <v>0</v>
      </c>
      <c r="P430">
        <v>50</v>
      </c>
      <c r="Q430">
        <v>50</v>
      </c>
      <c r="R430" s="2">
        <v>9.9999999999999978E-2</v>
      </c>
      <c r="S430" s="2">
        <v>0.33340000000000003</v>
      </c>
      <c r="T430" s="4">
        <v>0</v>
      </c>
      <c r="U430" s="4">
        <f>IF(Bases_annexes!$F$5=0,16.6587111018772,0.77*Bases_annexes!$F$5/(IF(OR(ISBLANK('Données_d''entrée'!$E$44),'Données_d''entrée'!$E$44=0),35,'Données_d''entrée'!$E$44)*52))</f>
        <v>16.658711101877199</v>
      </c>
      <c r="V430" s="4">
        <v>0</v>
      </c>
      <c r="W4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0" s="4">
        <v>234.5</v>
      </c>
      <c r="Y430" s="4">
        <f>(Base[[#This Row],['[Maladies']Coûts_évités_par_salarié]]+Base[[#This Row],['[Travail']Coûts_évités_par_salarié]])/Base[[#This Row],[Budget_santé_salarié]]</f>
        <v>0</v>
      </c>
      <c r="Z430" s="4">
        <v>0.8</v>
      </c>
      <c r="AA430" s="4">
        <f>Base[[#This Row],[Coût]]*Base[[#This Row],[Part_société_dépenses_santé]]</f>
        <v>0</v>
      </c>
      <c r="AB430" s="4">
        <v>67635124</v>
      </c>
      <c r="AC430" s="4">
        <v>82.297079063317852</v>
      </c>
      <c r="AD430" s="4">
        <v>0</v>
      </c>
      <c r="AE430" s="4">
        <f>Base[[#This Row],['[SC']Prévalence_travail]]*Base[[#This Row],[Population_emploi]]</f>
        <v>0</v>
      </c>
      <c r="AF430" s="4">
        <f>Base[[#This Row],[Risque]]*Base[[#This Row],['[SC']Patients_en_emploi]]</f>
        <v>0</v>
      </c>
      <c r="AG430" s="4">
        <v>0</v>
      </c>
      <c r="AH430" s="4">
        <f>IFERROR(Base[[#This Row],['[SC']Prestations]]/Base[[#This Row],['[SC']Patients_en_emploi]],0)</f>
        <v>0</v>
      </c>
      <c r="AI430" s="4">
        <v>51.7</v>
      </c>
      <c r="AJ4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0" s="4">
        <f>Base[[#This Row],['[SC']'[Travail']Coûts_évités]]/Base[[#This Row],[Population_emploi]]</f>
        <v>0</v>
      </c>
      <c r="AL430" s="4">
        <f>Base[[#This Row],[Coût_société]]*10^9*Base[[#This Row],[Risque]]*Base[[#This Row],[Prévalence]]*Base[[#This Row],[Part_coûts_salarié]]/Base[[#This Row],[Population_emploi]]</f>
        <v>0</v>
      </c>
      <c r="AM430" s="4">
        <f>IF(Base[[#This Row],[Pathologie]]&lt;&gt;"Dépendance",0,14909.24243952)</f>
        <v>14909.24243952</v>
      </c>
      <c r="AN430" s="4">
        <f>IF(Base[[#This Row],[Pathologie]]&lt;&gt;"Dépendance",0,1316000)</f>
        <v>1316000</v>
      </c>
      <c r="AO430" s="4">
        <f>IF(Base[[#This Row],[Pathologie]]&lt;&gt;"Dépendance",0,Base[[#This Row],['[SC']Coût_personne_dépendante]]*Base[[#This Row],['[SC']Nb_personnes_dépendantes]])</f>
        <v>19620563050.408321</v>
      </c>
      <c r="AP430" s="4">
        <f>IF(Base[[#This Row],[Pathologie]]&lt;&gt;"Dépendance",0,Base[[#This Row],['[SC']Coût_total_dépendance]]/Base[[#This Row],[Population_totale]])</f>
        <v>290.09428666691468</v>
      </c>
      <c r="AQ430" s="4">
        <f>IF(Base[[#This Row],[Pathologie]]&lt;&gt;"Dépendance",0,4.5)</f>
        <v>4.5</v>
      </c>
      <c r="AR430" s="4">
        <v>0.83987615528424797</v>
      </c>
      <c r="AS430" s="4">
        <f>Base[[#This Row],[Espérance_vie]]+Base[[#This Row],['[SC']Hausse_esp_de_vie]]-Base[[#This Row],['[SC']Durée_moyenne_dépendance_avt]]+Base[[#This Row],[Risque]]</f>
        <v>82.378977692640831</v>
      </c>
      <c r="AT4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0.757977525961266</v>
      </c>
      <c r="AU4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164.94036646460066</v>
      </c>
      <c r="AV430" s="4">
        <v>62.9</v>
      </c>
      <c r="AW430" s="4">
        <f t="shared" si="9"/>
        <v>336905600000</v>
      </c>
      <c r="AX430" s="4">
        <v>15049171</v>
      </c>
      <c r="AY430" s="4">
        <f>Base[[#This Row],['[SC']Budget_total_retraites]]/Base[[#This Row],['[SC']Nombre_de_retraités]]</f>
        <v>22386.987296509556</v>
      </c>
      <c r="AZ430" s="4">
        <f>Base[[#This Row],['[SC']Budget_par_retraité]]*Base[[#This Row],['[SC']Nb_personnes_dépendantes]]</f>
        <v>29461275282.206577</v>
      </c>
      <c r="BA430" s="4">
        <f>Base[[#This Row],['[SC']'[Dépendance']Coût_retraite_personnes_dépendantes]]/Base[[#This Row],[Population_totale]]</f>
        <v>435.59135460750508</v>
      </c>
      <c r="BB430" s="4">
        <f>Base[[#This Row],['[SC']Hausse_esp_de_vie]]*Base[[#This Row],['[SC']'[Dépendance']Coût_retraite_personnes_dépendantes_pop_totale]]*Base[[#This Row],[Prévalence]]*Base[[#This Row],[Population_emploi]]/Base[[#This Row],[Population_totale]]</f>
        <v>55.587339832851811</v>
      </c>
      <c r="BC430" s="4">
        <f>Base[[#This Row],['[SC']'[Dépendance']Gains]]-Base[[#This Row],['[SC']'[Dépendance']Coûts]]</f>
        <v>109.35302663174885</v>
      </c>
      <c r="BD430" s="4">
        <f>IF(Base[[#This Row],[Pathologie]]&lt;&gt;"Mort prématurée",0,Base[[#This Row],[Risque]]*Base[[#This Row],[Prévalence]]*Base[[#This Row],[Population_totale]])</f>
        <v>0</v>
      </c>
      <c r="BE430" s="4">
        <v>52.74</v>
      </c>
      <c r="BF430" s="4">
        <f>Base[[#This Row],['[SC']Âge_moyen_retraite]]-Base[[#This Row],['[SC']'[Mort_prématurée']Âge_moyen_mort précoce]]</f>
        <v>10.159999999999997</v>
      </c>
      <c r="BG430" s="4">
        <f>Base[[#This Row],[Espérance_vie]]+Base[[#This Row],['[SC']Hausse_esp_de_vie]]-Base[[#This Row],['[SC']Âge_moyen_retraite]]</f>
        <v>20.236955218602098</v>
      </c>
      <c r="BH430" s="4">
        <v>106583.42676924677</v>
      </c>
      <c r="BI430" s="4">
        <v>97601.789429271477</v>
      </c>
      <c r="BJ430" s="4">
        <v>302038.31496633729</v>
      </c>
      <c r="BK430" s="4">
        <v>117293.58934859755</v>
      </c>
      <c r="BL430" s="4">
        <v>1523999.9999999995</v>
      </c>
      <c r="BM4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30" s="4">
        <v>294804.96027377353</v>
      </c>
      <c r="BO4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30" s="4">
        <f>(Base[[#This Row],['[SC']'[Mort_prématurée']Gains]]-Base[[#This Row],['[SC']'[Mort_prématurée']Coûts]])/Base[[#This Row],[Population_totale]]</f>
        <v>0</v>
      </c>
      <c r="BQ430" s="4">
        <f>IF(Base[[#This Row],[Pathologie]]&lt;&gt;"Mort prématurée",0,Base[[#This Row],[Risque]])</f>
        <v>0</v>
      </c>
      <c r="BR430" s="4">
        <v>2680</v>
      </c>
      <c r="BS4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4.080336814617494E-2</v>
      </c>
      <c r="BT4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0" s="4">
        <f>Base[[#This Row],[Prévalence_prod]]*(1-Base[[#This Row],[Risque]])*Base[[#This Row],[Durée_arrêt]]*Base[[#This Row],[Population_emploi]]</f>
        <v>0</v>
      </c>
      <c r="BV430" s="4">
        <f>Base[[#This Row],['[Prod']'[Absentéisme']Total_jours_absence_avant]]-Base[[#This Row],['[Prod']'[Absentéisme']Total_jours_absence_après]]</f>
        <v>0</v>
      </c>
      <c r="BW430" s="4">
        <f>IF(AND(Base[[#This Row],[Pathologie]]&lt;&gt;"Dépendance",Base[[#This Row],[Pathologie]]&lt;&gt;"Mort prématurée",Base[[#This Row],[Pathologie]]&lt;&gt;"Migraine"),0.0619,0)</f>
        <v>0</v>
      </c>
      <c r="BX430" s="4">
        <v>254</v>
      </c>
      <c r="BY43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0" s="4">
        <f>Base[[#This Row],[Prévalence_prod]]*Base[[#This Row],[Présentéisme]]*Base[[#This Row],['[Prod']Jours_ouvrés]]</f>
        <v>0</v>
      </c>
      <c r="CB430" s="4">
        <f>Base[[#This Row],[Prévalence_prod]]*(1-Base[[#This Row],[Risque]])*Base[[#This Row],[Présentéisme]]*Base[[#This Row],['[Prod']Jours_ouvrés]]</f>
        <v>0</v>
      </c>
      <c r="CC430" s="4">
        <f>Base[[#This Row],['[Prod']'[Présentéisme']Jours_avant]]-Base[[#This Row],['[Prod']'[Présentéisme']Jours_après]]</f>
        <v>0</v>
      </c>
      <c r="CD430" s="4">
        <f>Base[[#This Row],['[Prod']'[Présentéisme']Jours_gagnés]]/Base[[#This Row],['[Prod']Jours_ouvrés]]</f>
        <v>0</v>
      </c>
      <c r="CE430">
        <v>7.5880726467531134E-2</v>
      </c>
      <c r="CF430">
        <v>1.989821358241517E-2</v>
      </c>
      <c r="CG430" s="4">
        <v>11</v>
      </c>
      <c r="CH430" s="4">
        <v>0.85076983926913452</v>
      </c>
      <c r="CI430" s="4">
        <v>0</v>
      </c>
      <c r="CJ430" s="4">
        <f>IF(Base[[#This Row],[Secteur]]&lt;&gt;"Moyenne",Base[[#This Row],['[Prod']'[Turnover']DMC_initiale]]*(1+Base[[#This Row],['[Prod']'[Turnover']Ecart_accidents]]*Base[[#This Row],['[Prod']Impact_motifs_turnover]]),CJ413*CI413+CJ414*CI414+CJ415*CI415+CJ416*CI416+CJ417*CI417+CJ418*CI418+CJ419*CI419+CJ420*CI420+CJ421*CI421+CJ422*CI422+CJ423*CI423+CJ424*CI424+CJ425*CI425+CJ426*CI426+CJ427*CI427+CJ428*CI428+CJ429*CI429)</f>
        <v>11.186216799683796</v>
      </c>
      <c r="CK430" s="4">
        <f>1/Base[[#This Row],['[Prod']'[Turnover']DMC_initiale]]</f>
        <v>9.0909090909090912E-2</v>
      </c>
      <c r="CL430" s="4">
        <f>1/Base[[#This Row],['[Prod']'[Turnover']DMC_finale]]</f>
        <v>8.9395728502979416E-2</v>
      </c>
    </row>
    <row r="431" spans="2:90" x14ac:dyDescent="0.25">
      <c r="B431" s="4" t="s">
        <v>315</v>
      </c>
      <c r="C431">
        <v>15</v>
      </c>
      <c r="D431" t="s">
        <v>83</v>
      </c>
      <c r="E431" t="s">
        <v>59</v>
      </c>
      <c r="F431" s="3">
        <v>0.24115255943805147</v>
      </c>
      <c r="G431" s="3">
        <v>1.7864082739021815E-3</v>
      </c>
      <c r="H431" s="3">
        <v>1.7864082739021815E-3</v>
      </c>
      <c r="I431" s="3">
        <v>0</v>
      </c>
      <c r="J431" s="3">
        <v>0</v>
      </c>
      <c r="K431" s="3">
        <v>7.0000000000000007E-2</v>
      </c>
      <c r="L431" s="2">
        <f>Base[[#This Row],[Coût]]*Base[[#This Row],[Part_ménages_dépenses_santé]]</f>
        <v>0</v>
      </c>
      <c r="M431" s="2">
        <v>0</v>
      </c>
      <c r="N431" s="6">
        <v>27700000</v>
      </c>
      <c r="O431" s="7">
        <f>Base[[#This Row],[Coût_salarié]]*10^9*Base[[#This Row],[Risque]]*Base[[#This Row],[Prévalence]]*Base[[#This Row],[Part_coûts_salarié]]/Base[[#This Row],[Population_emploi]]</f>
        <v>0</v>
      </c>
      <c r="P431">
        <v>50</v>
      </c>
      <c r="Q431">
        <v>50</v>
      </c>
      <c r="R431" s="2">
        <v>9.9999999999999978E-2</v>
      </c>
      <c r="S431" s="2">
        <v>0.33340000000000003</v>
      </c>
      <c r="T431" s="4">
        <v>0</v>
      </c>
      <c r="U431" s="4">
        <f>IF(Bases_annexes!$F$5=0,16.6587111018772,0.77*Bases_annexes!$F$5/(IF(OR(ISBLANK('Données_d''entrée'!$E$44),'Données_d''entrée'!$E$44=0),35,'Données_d''entrée'!$E$44)*52))</f>
        <v>16.658711101877199</v>
      </c>
      <c r="V431" s="4">
        <v>0</v>
      </c>
      <c r="W4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1" s="4">
        <v>234.5</v>
      </c>
      <c r="Y431" s="4">
        <f>(Base[[#This Row],['[Maladies']Coûts_évités_par_salarié]]+Base[[#This Row],['[Travail']Coûts_évités_par_salarié]])/Base[[#This Row],[Budget_santé_salarié]]</f>
        <v>0</v>
      </c>
      <c r="Z431" s="4">
        <v>0.8</v>
      </c>
      <c r="AA431" s="4">
        <f>Base[[#This Row],[Coût]]*Base[[#This Row],[Part_société_dépenses_santé]]</f>
        <v>0</v>
      </c>
      <c r="AB431" s="4">
        <v>67635124</v>
      </c>
      <c r="AC431" s="4">
        <v>82.297079063317852</v>
      </c>
      <c r="AD431" s="4">
        <v>0</v>
      </c>
      <c r="AE431" s="4">
        <f>Base[[#This Row],['[SC']Prévalence_travail]]*Base[[#This Row],[Population_emploi]]</f>
        <v>0</v>
      </c>
      <c r="AF431" s="4">
        <f>Base[[#This Row],[Risque]]*Base[[#This Row],['[SC']Patients_en_emploi]]</f>
        <v>0</v>
      </c>
      <c r="AG431" s="4">
        <v>0</v>
      </c>
      <c r="AH431" s="4">
        <f>IFERROR(Base[[#This Row],['[SC']Prestations]]/Base[[#This Row],['[SC']Patients_en_emploi]],0)</f>
        <v>0</v>
      </c>
      <c r="AI431" s="4">
        <v>51.7</v>
      </c>
      <c r="AJ4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1" s="4">
        <f>Base[[#This Row],['[SC']'[Travail']Coûts_évités]]/Base[[#This Row],[Population_emploi]]</f>
        <v>0</v>
      </c>
      <c r="AL431" s="4">
        <f>Base[[#This Row],[Coût_société]]*10^9*Base[[#This Row],[Risque]]*Base[[#This Row],[Prévalence]]*Base[[#This Row],[Part_coûts_salarié]]/Base[[#This Row],[Population_emploi]]</f>
        <v>0</v>
      </c>
      <c r="AM431" s="4">
        <f>IF(Base[[#This Row],[Pathologie]]&lt;&gt;"Dépendance",0,14909.24243952)</f>
        <v>0</v>
      </c>
      <c r="AN431" s="4">
        <f>IF(Base[[#This Row],[Pathologie]]&lt;&gt;"Dépendance",0,1316000)</f>
        <v>0</v>
      </c>
      <c r="AO431" s="4">
        <f>IF(Base[[#This Row],[Pathologie]]&lt;&gt;"Dépendance",0,Base[[#This Row],['[SC']Coût_personne_dépendante]]*Base[[#This Row],['[SC']Nb_personnes_dépendantes]])</f>
        <v>0</v>
      </c>
      <c r="AP431" s="4">
        <f>IF(Base[[#This Row],[Pathologie]]&lt;&gt;"Dépendance",0,Base[[#This Row],['[SC']Coût_total_dépendance]]/Base[[#This Row],[Population_totale]])</f>
        <v>0</v>
      </c>
      <c r="AQ431" s="4">
        <f>IF(Base[[#This Row],[Pathologie]]&lt;&gt;"Dépendance",0,4.5)</f>
        <v>0</v>
      </c>
      <c r="AR431" s="4">
        <v>0.83987615528424797</v>
      </c>
      <c r="AS431" s="4">
        <f>Base[[#This Row],[Espérance_vie]]+Base[[#This Row],['[SC']Hausse_esp_de_vie]]-Base[[#This Row],['[SC']Durée_moyenne_dépendance_avt]]+Base[[#This Row],[Risque]]</f>
        <v>83.378107778040146</v>
      </c>
      <c r="AT4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1" s="4">
        <v>62.9</v>
      </c>
      <c r="AW431" s="4">
        <f>336905600000</f>
        <v>336905600000</v>
      </c>
      <c r="AX431" s="4">
        <v>15049171</v>
      </c>
      <c r="AY431" s="4">
        <f>Base[[#This Row],['[SC']Budget_total_retraites]]/Base[[#This Row],['[SC']Nombre_de_retraités]]</f>
        <v>22386.987296509556</v>
      </c>
      <c r="AZ431" s="4">
        <f>Base[[#This Row],['[SC']Budget_par_retraité]]*Base[[#This Row],['[SC']Nb_personnes_dépendantes]]</f>
        <v>0</v>
      </c>
      <c r="BA431" s="4">
        <f>Base[[#This Row],['[SC']'[Dépendance']Coût_retraite_personnes_dépendantes]]/Base[[#This Row],[Population_totale]]</f>
        <v>0</v>
      </c>
      <c r="BB43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1" s="4">
        <f>Base[[#This Row],['[SC']'[Dépendance']Gains]]-Base[[#This Row],['[SC']'[Dépendance']Coûts]]</f>
        <v>0</v>
      </c>
      <c r="BD431" s="4">
        <f>IF(Base[[#This Row],[Pathologie]]&lt;&gt;"Mort prématurée",0,Base[[#This Row],[Risque]]*Base[[#This Row],[Prévalence]]*Base[[#This Row],[Population_totale]])</f>
        <v>29137.003607090672</v>
      </c>
      <c r="BE431" s="4">
        <v>52.74</v>
      </c>
      <c r="BF431" s="4">
        <f>Base[[#This Row],['[SC']Âge_moyen_retraite]]-Base[[#This Row],['[SC']'[Mort_prématurée']Âge_moyen_mort précoce]]</f>
        <v>10.159999999999997</v>
      </c>
      <c r="BG431" s="4">
        <f>Base[[#This Row],[Espérance_vie]]+Base[[#This Row],['[SC']Hausse_esp_de_vie]]-Base[[#This Row],['[SC']Âge_moyen_retraite]]</f>
        <v>20.236955218602098</v>
      </c>
      <c r="BH431" s="4">
        <v>106583.42676924677</v>
      </c>
      <c r="BI431" s="4">
        <v>97601.789429271477</v>
      </c>
      <c r="BJ431" s="4">
        <v>302038.31496633729</v>
      </c>
      <c r="BK431" s="4">
        <v>117293.58934859755</v>
      </c>
      <c r="BL431" s="4">
        <v>1523999.9999999995</v>
      </c>
      <c r="BM4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1" s="4">
        <v>294804.96027377353</v>
      </c>
      <c r="BO4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1" s="4">
        <f>(Base[[#This Row],['[SC']'[Mort_prématurée']Gains]]-Base[[#This Row],['[SC']'[Mort_prématurée']Coûts]])/Base[[#This Row],[Population_totale]]</f>
        <v>26.257324141376316</v>
      </c>
      <c r="BQ431" s="4">
        <f>IF(Base[[#This Row],[Pathologie]]&lt;&gt;"Mort prématurée",0,Base[[#This Row],[Risque]])</f>
        <v>0.24115255943805147</v>
      </c>
      <c r="BR431" s="4">
        <v>2680</v>
      </c>
      <c r="BS4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1" s="4">
        <f>Base[[#This Row],[Prévalence_prod]]*(1-Base[[#This Row],[Risque]])*Base[[#This Row],[Durée_arrêt]]*Base[[#This Row],[Population_emploi]]</f>
        <v>0</v>
      </c>
      <c r="BV431" s="4">
        <f>Base[[#This Row],['[Prod']'[Absentéisme']Total_jours_absence_avant]]-Base[[#This Row],['[Prod']'[Absentéisme']Total_jours_absence_après]]</f>
        <v>0</v>
      </c>
      <c r="BW431" s="4">
        <f>IF(AND(Base[[#This Row],[Pathologie]]&lt;&gt;"Dépendance",Base[[#This Row],[Pathologie]]&lt;&gt;"Mort prématurée",Base[[#This Row],[Pathologie]]&lt;&gt;"Migraine"),0.0619,0)</f>
        <v>0</v>
      </c>
      <c r="BX431" s="4">
        <v>254</v>
      </c>
      <c r="BY43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1" s="4">
        <f>Base[[#This Row],[Prévalence_prod]]*Base[[#This Row],[Présentéisme]]*Base[[#This Row],['[Prod']Jours_ouvrés]]</f>
        <v>0</v>
      </c>
      <c r="CB431" s="4">
        <f>Base[[#This Row],[Prévalence_prod]]*(1-Base[[#This Row],[Risque]])*Base[[#This Row],[Présentéisme]]*Base[[#This Row],['[Prod']Jours_ouvrés]]</f>
        <v>0</v>
      </c>
      <c r="CC431" s="4">
        <f>Base[[#This Row],['[Prod']'[Présentéisme']Jours_avant]]-Base[[#This Row],['[Prod']'[Présentéisme']Jours_après]]</f>
        <v>0</v>
      </c>
      <c r="CD431" s="4">
        <f>Base[[#This Row],['[Prod']'[Présentéisme']Jours_gagnés]]/Base[[#This Row],['[Prod']Jours_ouvrés]]</f>
        <v>0</v>
      </c>
      <c r="CE431">
        <v>7.5880726467531134E-2</v>
      </c>
      <c r="CF431">
        <v>1.989821358241517E-2</v>
      </c>
      <c r="CG431" s="4">
        <v>11</v>
      </c>
      <c r="CH431" s="4">
        <v>1.3966184516047948</v>
      </c>
      <c r="CI431" s="4">
        <v>1.4392894727292521E-2</v>
      </c>
      <c r="CJ431" s="4">
        <f>IF(Base[[#This Row],[Secteur]]&lt;&gt;"Moyenne",Base[[#This Row],['[Prod']'[Turnover']DMC_initiale]]*(1+Base[[#This Row],['[Prod']'[Turnover']Ecart_accidents]]*Base[[#This Row],['[Prod']Impact_motifs_turnover]]),CJ414*CI414+CJ415*CI415+CJ416*CI416+CJ417*CI417+CJ418*CI418+CJ419*CI419+CJ420*CI420+CJ421*CI421+CJ422*CI422+CJ423*CI423+CJ424*CI424+CJ425*CI425+CJ426*CI426+CJ427*CI427+CJ428*CI428+CJ429*CI429+CJ430*CI430)</f>
        <v>11.305692334674916</v>
      </c>
      <c r="CK431" s="4">
        <f>1/Base[[#This Row],['[Prod']'[Turnover']DMC_initiale]]</f>
        <v>9.0909090909090912E-2</v>
      </c>
      <c r="CL431" s="4">
        <f>1/Base[[#This Row],['[Prod']'[Turnover']DMC_finale]]</f>
        <v>8.8451018336397527E-2</v>
      </c>
    </row>
    <row r="432" spans="2:90" x14ac:dyDescent="0.25">
      <c r="B432" s="4" t="s">
        <v>316</v>
      </c>
      <c r="C432">
        <v>15</v>
      </c>
      <c r="D432" t="s">
        <v>83</v>
      </c>
      <c r="E432" t="s">
        <v>59</v>
      </c>
      <c r="F432" s="3">
        <v>0.24115255943805147</v>
      </c>
      <c r="G432" s="3">
        <v>1.7864082739021815E-3</v>
      </c>
      <c r="H432" s="3">
        <v>1.7864082739021815E-3</v>
      </c>
      <c r="I432" s="3">
        <v>0</v>
      </c>
      <c r="J432" s="3">
        <v>0</v>
      </c>
      <c r="K432" s="3">
        <v>7.0000000000000007E-2</v>
      </c>
      <c r="L432" s="2">
        <f>Base[[#This Row],[Coût]]*Base[[#This Row],[Part_ménages_dépenses_santé]]</f>
        <v>0</v>
      </c>
      <c r="M432" s="2">
        <v>0</v>
      </c>
      <c r="N432" s="6">
        <v>27700000</v>
      </c>
      <c r="O432" s="7">
        <f>Base[[#This Row],[Coût_salarié]]*10^9*Base[[#This Row],[Risque]]*Base[[#This Row],[Prévalence]]*Base[[#This Row],[Part_coûts_salarié]]/Base[[#This Row],[Population_emploi]]</f>
        <v>0</v>
      </c>
      <c r="P432">
        <v>50</v>
      </c>
      <c r="Q432">
        <v>50</v>
      </c>
      <c r="R432" s="2">
        <v>9.9999999999999978E-2</v>
      </c>
      <c r="S432" s="2">
        <v>0.33340000000000003</v>
      </c>
      <c r="T432" s="4">
        <v>0</v>
      </c>
      <c r="U432" s="4">
        <f>IF(Bases_annexes!$F$5=0,16.6587111018772,0.77*Bases_annexes!$F$5/(IF(OR(ISBLANK('Données_d''entrée'!$E$44),'Données_d''entrée'!$E$44=0),35,'Données_d''entrée'!$E$44)*52))</f>
        <v>16.658711101877199</v>
      </c>
      <c r="V432" s="4">
        <v>0</v>
      </c>
      <c r="W4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2" s="4">
        <v>234.5</v>
      </c>
      <c r="Y432" s="4">
        <f>(Base[[#This Row],['[Maladies']Coûts_évités_par_salarié]]+Base[[#This Row],['[Travail']Coûts_évités_par_salarié]])/Base[[#This Row],[Budget_santé_salarié]]</f>
        <v>0</v>
      </c>
      <c r="Z432" s="4">
        <v>0.8</v>
      </c>
      <c r="AA432" s="4">
        <f>Base[[#This Row],[Coût]]*Base[[#This Row],[Part_société_dépenses_santé]]</f>
        <v>0</v>
      </c>
      <c r="AB432" s="4">
        <v>67635124</v>
      </c>
      <c r="AC432" s="4">
        <v>82.297079063317852</v>
      </c>
      <c r="AD432" s="4">
        <v>0</v>
      </c>
      <c r="AE432" s="4">
        <f>Base[[#This Row],['[SC']Prévalence_travail]]*Base[[#This Row],[Population_emploi]]</f>
        <v>0</v>
      </c>
      <c r="AF432" s="4">
        <f>Base[[#This Row],[Risque]]*Base[[#This Row],['[SC']Patients_en_emploi]]</f>
        <v>0</v>
      </c>
      <c r="AG432" s="4">
        <v>0</v>
      </c>
      <c r="AH432" s="4">
        <f>IFERROR(Base[[#This Row],['[SC']Prestations]]/Base[[#This Row],['[SC']Patients_en_emploi]],0)</f>
        <v>0</v>
      </c>
      <c r="AI432" s="4">
        <v>51.7</v>
      </c>
      <c r="AJ4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2" s="4">
        <f>Base[[#This Row],['[SC']'[Travail']Coûts_évités]]/Base[[#This Row],[Population_emploi]]</f>
        <v>0</v>
      </c>
      <c r="AL432" s="4">
        <f>Base[[#This Row],[Coût_société]]*10^9*Base[[#This Row],[Risque]]*Base[[#This Row],[Prévalence]]*Base[[#This Row],[Part_coûts_salarié]]/Base[[#This Row],[Population_emploi]]</f>
        <v>0</v>
      </c>
      <c r="AM432" s="4">
        <f>IF(Base[[#This Row],[Pathologie]]&lt;&gt;"Dépendance",0,14909.24243952)</f>
        <v>0</v>
      </c>
      <c r="AN432" s="4">
        <f>IF(Base[[#This Row],[Pathologie]]&lt;&gt;"Dépendance",0,1316000)</f>
        <v>0</v>
      </c>
      <c r="AO432" s="4">
        <f>IF(Base[[#This Row],[Pathologie]]&lt;&gt;"Dépendance",0,Base[[#This Row],['[SC']Coût_personne_dépendante]]*Base[[#This Row],['[SC']Nb_personnes_dépendantes]])</f>
        <v>0</v>
      </c>
      <c r="AP432" s="4">
        <f>IF(Base[[#This Row],[Pathologie]]&lt;&gt;"Dépendance",0,Base[[#This Row],['[SC']Coût_total_dépendance]]/Base[[#This Row],[Population_totale]])</f>
        <v>0</v>
      </c>
      <c r="AQ432" s="4">
        <f>IF(Base[[#This Row],[Pathologie]]&lt;&gt;"Dépendance",0,4.5)</f>
        <v>0</v>
      </c>
      <c r="AR432" s="4">
        <v>0.83987615528424797</v>
      </c>
      <c r="AS432" s="4">
        <f>Base[[#This Row],[Espérance_vie]]+Base[[#This Row],['[SC']Hausse_esp_de_vie]]-Base[[#This Row],['[SC']Durée_moyenne_dépendance_avt]]+Base[[#This Row],[Risque]]</f>
        <v>83.378107778040146</v>
      </c>
      <c r="AT4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2" s="4">
        <v>62.9</v>
      </c>
      <c r="AW432" s="4">
        <f t="shared" ref="AW432:AW448" si="10">336905600000</f>
        <v>336905600000</v>
      </c>
      <c r="AX432" s="4">
        <v>15049171</v>
      </c>
      <c r="AY432" s="4">
        <f>Base[[#This Row],['[SC']Budget_total_retraites]]/Base[[#This Row],['[SC']Nombre_de_retraités]]</f>
        <v>22386.987296509556</v>
      </c>
      <c r="AZ432" s="4">
        <f>Base[[#This Row],['[SC']Budget_par_retraité]]*Base[[#This Row],['[SC']Nb_personnes_dépendantes]]</f>
        <v>0</v>
      </c>
      <c r="BA432" s="4">
        <f>Base[[#This Row],['[SC']'[Dépendance']Coût_retraite_personnes_dépendantes]]/Base[[#This Row],[Population_totale]]</f>
        <v>0</v>
      </c>
      <c r="BB43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2" s="4">
        <f>Base[[#This Row],['[SC']'[Dépendance']Gains]]-Base[[#This Row],['[SC']'[Dépendance']Coûts]]</f>
        <v>0</v>
      </c>
      <c r="BD432" s="4">
        <f>IF(Base[[#This Row],[Pathologie]]&lt;&gt;"Mort prématurée",0,Base[[#This Row],[Risque]]*Base[[#This Row],[Prévalence]]*Base[[#This Row],[Population_totale]])</f>
        <v>29137.003607090672</v>
      </c>
      <c r="BE432" s="4">
        <v>52.74</v>
      </c>
      <c r="BF432" s="4">
        <f>Base[[#This Row],['[SC']Âge_moyen_retraite]]-Base[[#This Row],['[SC']'[Mort_prématurée']Âge_moyen_mort précoce]]</f>
        <v>10.159999999999997</v>
      </c>
      <c r="BG432" s="4">
        <f>Base[[#This Row],[Espérance_vie]]+Base[[#This Row],['[SC']Hausse_esp_de_vie]]-Base[[#This Row],['[SC']Âge_moyen_retraite]]</f>
        <v>20.236955218602098</v>
      </c>
      <c r="BH432" s="4">
        <v>106583.42676924677</v>
      </c>
      <c r="BI432" s="4">
        <v>97601.789429271477</v>
      </c>
      <c r="BJ432" s="4">
        <v>302038.31496633729</v>
      </c>
      <c r="BK432" s="4">
        <v>117293.58934859755</v>
      </c>
      <c r="BL432" s="4">
        <v>1523999.9999999995</v>
      </c>
      <c r="BM4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2" s="4">
        <v>294804.96027377353</v>
      </c>
      <c r="BO4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2" s="4">
        <f>(Base[[#This Row],['[SC']'[Mort_prématurée']Gains]]-Base[[#This Row],['[SC']'[Mort_prématurée']Coûts]])/Base[[#This Row],[Population_totale]]</f>
        <v>26.257324141376316</v>
      </c>
      <c r="BQ432" s="4">
        <f>IF(Base[[#This Row],[Pathologie]]&lt;&gt;"Mort prématurée",0,Base[[#This Row],[Risque]])</f>
        <v>0.24115255943805147</v>
      </c>
      <c r="BR432" s="4">
        <v>2680</v>
      </c>
      <c r="BS4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2" s="4">
        <f>Base[[#This Row],[Prévalence_prod]]*(1-Base[[#This Row],[Risque]])*Base[[#This Row],[Durée_arrêt]]*Base[[#This Row],[Population_emploi]]</f>
        <v>0</v>
      </c>
      <c r="BV432" s="4">
        <f>Base[[#This Row],['[Prod']'[Absentéisme']Total_jours_absence_avant]]-Base[[#This Row],['[Prod']'[Absentéisme']Total_jours_absence_après]]</f>
        <v>0</v>
      </c>
      <c r="BW432" s="4">
        <f>IF(AND(Base[[#This Row],[Pathologie]]&lt;&gt;"Dépendance",Base[[#This Row],[Pathologie]]&lt;&gt;"Mort prématurée",Base[[#This Row],[Pathologie]]&lt;&gt;"Migraine"),0.0619,0)</f>
        <v>0</v>
      </c>
      <c r="BX432" s="4">
        <v>254</v>
      </c>
      <c r="BY43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2" s="4">
        <f>Base[[#This Row],[Prévalence_prod]]*Base[[#This Row],[Présentéisme]]*Base[[#This Row],['[Prod']Jours_ouvrés]]</f>
        <v>0</v>
      </c>
      <c r="CB432" s="4">
        <f>Base[[#This Row],[Prévalence_prod]]*(1-Base[[#This Row],[Risque]])*Base[[#This Row],[Présentéisme]]*Base[[#This Row],['[Prod']Jours_ouvrés]]</f>
        <v>0</v>
      </c>
      <c r="CC432" s="4">
        <f>Base[[#This Row],['[Prod']'[Présentéisme']Jours_avant]]-Base[[#This Row],['[Prod']'[Présentéisme']Jours_après]]</f>
        <v>0</v>
      </c>
      <c r="CD432" s="4">
        <f>Base[[#This Row],['[Prod']'[Présentéisme']Jours_gagnés]]/Base[[#This Row],['[Prod']Jours_ouvrés]]</f>
        <v>0</v>
      </c>
      <c r="CE432">
        <v>7.5880726467531134E-2</v>
      </c>
      <c r="CF432">
        <v>1.989821358241517E-2</v>
      </c>
      <c r="CG432" s="4">
        <v>11</v>
      </c>
      <c r="CH432" s="4">
        <v>0.68054183762612652</v>
      </c>
      <c r="CI432" s="4">
        <v>1.2135452577082654E-2</v>
      </c>
      <c r="CJ432" s="4">
        <f>IF(Base[[#This Row],[Secteur]]&lt;&gt;"Moyenne",Base[[#This Row],['[Prod']'[Turnover']DMC_initiale]]*(1+Base[[#This Row],['[Prod']'[Turnover']Ecart_accidents]]*Base[[#This Row],['[Prod']Impact_motifs_turnover]]),CJ415*CI415+CJ416*CI416+CJ417*CI417+CJ418*CI418+CJ419*CI419+CJ420*CI420+CJ421*CI421+CJ422*CI422+CJ423*CI423+CJ424*CI424+CJ425*CI425+CJ426*CI426+CJ427*CI427+CJ428*CI428+CJ429*CI429+CJ430*CI430+CJ431*CI431)</f>
        <v>11.148957235205394</v>
      </c>
      <c r="CK432" s="4">
        <f>1/Base[[#This Row],['[Prod']'[Turnover']DMC_initiale]]</f>
        <v>9.0909090909090912E-2</v>
      </c>
      <c r="CL432" s="4">
        <f>1/Base[[#This Row],['[Prod']'[Turnover']DMC_finale]]</f>
        <v>8.9694487018236124E-2</v>
      </c>
    </row>
    <row r="433" spans="2:90" x14ac:dyDescent="0.25">
      <c r="B433" s="4" t="s">
        <v>317</v>
      </c>
      <c r="C433">
        <v>15</v>
      </c>
      <c r="D433" t="s">
        <v>83</v>
      </c>
      <c r="E433" t="s">
        <v>59</v>
      </c>
      <c r="F433" s="3">
        <v>0.24115255943805147</v>
      </c>
      <c r="G433" s="3">
        <v>1.7864082739021815E-3</v>
      </c>
      <c r="H433" s="3">
        <v>1.7864082739021815E-3</v>
      </c>
      <c r="I433" s="3">
        <v>0</v>
      </c>
      <c r="J433" s="3">
        <v>0</v>
      </c>
      <c r="K433" s="3">
        <v>7.0000000000000007E-2</v>
      </c>
      <c r="L433" s="2">
        <f>Base[[#This Row],[Coût]]*Base[[#This Row],[Part_ménages_dépenses_santé]]</f>
        <v>0</v>
      </c>
      <c r="M433" s="2">
        <v>0</v>
      </c>
      <c r="N433" s="6">
        <v>27700000</v>
      </c>
      <c r="O433" s="7">
        <f>Base[[#This Row],[Coût_salarié]]*10^9*Base[[#This Row],[Risque]]*Base[[#This Row],[Prévalence]]*Base[[#This Row],[Part_coûts_salarié]]/Base[[#This Row],[Population_emploi]]</f>
        <v>0</v>
      </c>
      <c r="P433">
        <v>50</v>
      </c>
      <c r="Q433">
        <v>50</v>
      </c>
      <c r="R433" s="2">
        <v>9.9999999999999978E-2</v>
      </c>
      <c r="S433" s="2">
        <v>0.33340000000000003</v>
      </c>
      <c r="T433" s="4">
        <v>0</v>
      </c>
      <c r="U433" s="4">
        <f>IF(Bases_annexes!$F$5=0,16.6587111018772,0.77*Bases_annexes!$F$5/(IF(OR(ISBLANK('Données_d''entrée'!$E$44),'Données_d''entrée'!$E$44=0),35,'Données_d''entrée'!$E$44)*52))</f>
        <v>16.658711101877199</v>
      </c>
      <c r="V433" s="4">
        <v>0</v>
      </c>
      <c r="W4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3" s="4">
        <v>234.5</v>
      </c>
      <c r="Y433" s="4">
        <f>(Base[[#This Row],['[Maladies']Coûts_évités_par_salarié]]+Base[[#This Row],['[Travail']Coûts_évités_par_salarié]])/Base[[#This Row],[Budget_santé_salarié]]</f>
        <v>0</v>
      </c>
      <c r="Z433" s="4">
        <v>0.8</v>
      </c>
      <c r="AA433" s="4">
        <f>Base[[#This Row],[Coût]]*Base[[#This Row],[Part_société_dépenses_santé]]</f>
        <v>0</v>
      </c>
      <c r="AB433" s="4">
        <v>67635124</v>
      </c>
      <c r="AC433" s="4">
        <v>82.297079063317852</v>
      </c>
      <c r="AD433" s="4">
        <v>0</v>
      </c>
      <c r="AE433" s="4">
        <f>Base[[#This Row],['[SC']Prévalence_travail]]*Base[[#This Row],[Population_emploi]]</f>
        <v>0</v>
      </c>
      <c r="AF433" s="4">
        <f>Base[[#This Row],[Risque]]*Base[[#This Row],['[SC']Patients_en_emploi]]</f>
        <v>0</v>
      </c>
      <c r="AG433" s="4">
        <v>0</v>
      </c>
      <c r="AH433" s="4">
        <f>IFERROR(Base[[#This Row],['[SC']Prestations]]/Base[[#This Row],['[SC']Patients_en_emploi]],0)</f>
        <v>0</v>
      </c>
      <c r="AI433" s="4">
        <v>51.7</v>
      </c>
      <c r="AJ4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3" s="4">
        <f>Base[[#This Row],['[SC']'[Travail']Coûts_évités]]/Base[[#This Row],[Population_emploi]]</f>
        <v>0</v>
      </c>
      <c r="AL433" s="4">
        <f>Base[[#This Row],[Coût_société]]*10^9*Base[[#This Row],[Risque]]*Base[[#This Row],[Prévalence]]*Base[[#This Row],[Part_coûts_salarié]]/Base[[#This Row],[Population_emploi]]</f>
        <v>0</v>
      </c>
      <c r="AM433" s="4">
        <f>IF(Base[[#This Row],[Pathologie]]&lt;&gt;"Dépendance",0,14909.24243952)</f>
        <v>0</v>
      </c>
      <c r="AN433" s="4">
        <f>IF(Base[[#This Row],[Pathologie]]&lt;&gt;"Dépendance",0,1316000)</f>
        <v>0</v>
      </c>
      <c r="AO433" s="4">
        <f>IF(Base[[#This Row],[Pathologie]]&lt;&gt;"Dépendance",0,Base[[#This Row],['[SC']Coût_personne_dépendante]]*Base[[#This Row],['[SC']Nb_personnes_dépendantes]])</f>
        <v>0</v>
      </c>
      <c r="AP433" s="4">
        <f>IF(Base[[#This Row],[Pathologie]]&lt;&gt;"Dépendance",0,Base[[#This Row],['[SC']Coût_total_dépendance]]/Base[[#This Row],[Population_totale]])</f>
        <v>0</v>
      </c>
      <c r="AQ433" s="4">
        <f>IF(Base[[#This Row],[Pathologie]]&lt;&gt;"Dépendance",0,4.5)</f>
        <v>0</v>
      </c>
      <c r="AR433" s="4">
        <v>0.83987615528424797</v>
      </c>
      <c r="AS433" s="4">
        <f>Base[[#This Row],[Espérance_vie]]+Base[[#This Row],['[SC']Hausse_esp_de_vie]]-Base[[#This Row],['[SC']Durée_moyenne_dépendance_avt]]+Base[[#This Row],[Risque]]</f>
        <v>83.378107778040146</v>
      </c>
      <c r="AT4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3" s="4">
        <v>62.9</v>
      </c>
      <c r="AW433" s="4">
        <f t="shared" si="10"/>
        <v>336905600000</v>
      </c>
      <c r="AX433" s="4">
        <v>15049171</v>
      </c>
      <c r="AY433" s="4">
        <f>Base[[#This Row],['[SC']Budget_total_retraites]]/Base[[#This Row],['[SC']Nombre_de_retraités]]</f>
        <v>22386.987296509556</v>
      </c>
      <c r="AZ433" s="4">
        <f>Base[[#This Row],['[SC']Budget_par_retraité]]*Base[[#This Row],['[SC']Nb_personnes_dépendantes]]</f>
        <v>0</v>
      </c>
      <c r="BA433" s="4">
        <f>Base[[#This Row],['[SC']'[Dépendance']Coût_retraite_personnes_dépendantes]]/Base[[#This Row],[Population_totale]]</f>
        <v>0</v>
      </c>
      <c r="BB43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3" s="4">
        <f>Base[[#This Row],['[SC']'[Dépendance']Gains]]-Base[[#This Row],['[SC']'[Dépendance']Coûts]]</f>
        <v>0</v>
      </c>
      <c r="BD433" s="4">
        <f>IF(Base[[#This Row],[Pathologie]]&lt;&gt;"Mort prématurée",0,Base[[#This Row],[Risque]]*Base[[#This Row],[Prévalence]]*Base[[#This Row],[Population_totale]])</f>
        <v>29137.003607090672</v>
      </c>
      <c r="BE433" s="4">
        <v>52.74</v>
      </c>
      <c r="BF433" s="4">
        <f>Base[[#This Row],['[SC']Âge_moyen_retraite]]-Base[[#This Row],['[SC']'[Mort_prématurée']Âge_moyen_mort précoce]]</f>
        <v>10.159999999999997</v>
      </c>
      <c r="BG433" s="4">
        <f>Base[[#This Row],[Espérance_vie]]+Base[[#This Row],['[SC']Hausse_esp_de_vie]]-Base[[#This Row],['[SC']Âge_moyen_retraite]]</f>
        <v>20.236955218602098</v>
      </c>
      <c r="BH433" s="4">
        <v>106583.42676924677</v>
      </c>
      <c r="BI433" s="4">
        <v>97601.789429271477</v>
      </c>
      <c r="BJ433" s="4">
        <v>302038.31496633729</v>
      </c>
      <c r="BK433" s="4">
        <v>117293.58934859755</v>
      </c>
      <c r="BL433" s="4">
        <v>1523999.9999999995</v>
      </c>
      <c r="BM4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3" s="4">
        <v>294804.96027377353</v>
      </c>
      <c r="BO4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3" s="4">
        <f>(Base[[#This Row],['[SC']'[Mort_prématurée']Gains]]-Base[[#This Row],['[SC']'[Mort_prématurée']Coûts]])/Base[[#This Row],[Population_totale]]</f>
        <v>26.257324141376316</v>
      </c>
      <c r="BQ433" s="4">
        <f>IF(Base[[#This Row],[Pathologie]]&lt;&gt;"Mort prématurée",0,Base[[#This Row],[Risque]])</f>
        <v>0.24115255943805147</v>
      </c>
      <c r="BR433" s="4">
        <v>2680</v>
      </c>
      <c r="BS4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3" s="4">
        <f>Base[[#This Row],[Prévalence_prod]]*(1-Base[[#This Row],[Risque]])*Base[[#This Row],[Durée_arrêt]]*Base[[#This Row],[Population_emploi]]</f>
        <v>0</v>
      </c>
      <c r="BV433" s="4">
        <f>Base[[#This Row],['[Prod']'[Absentéisme']Total_jours_absence_avant]]-Base[[#This Row],['[Prod']'[Absentéisme']Total_jours_absence_après]]</f>
        <v>0</v>
      </c>
      <c r="BW433" s="4">
        <f>IF(AND(Base[[#This Row],[Pathologie]]&lt;&gt;"Dépendance",Base[[#This Row],[Pathologie]]&lt;&gt;"Mort prématurée",Base[[#This Row],[Pathologie]]&lt;&gt;"Migraine"),0.0619,0)</f>
        <v>0</v>
      </c>
      <c r="BX433" s="4">
        <v>254</v>
      </c>
      <c r="BY43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3" s="4">
        <f>Base[[#This Row],[Prévalence_prod]]*Base[[#This Row],[Présentéisme]]*Base[[#This Row],['[Prod']Jours_ouvrés]]</f>
        <v>0</v>
      </c>
      <c r="CB433" s="4">
        <f>Base[[#This Row],[Prévalence_prod]]*(1-Base[[#This Row],[Risque]])*Base[[#This Row],[Présentéisme]]*Base[[#This Row],['[Prod']Jours_ouvrés]]</f>
        <v>0</v>
      </c>
      <c r="CC433" s="4">
        <f>Base[[#This Row],['[Prod']'[Présentéisme']Jours_avant]]-Base[[#This Row],['[Prod']'[Présentéisme']Jours_après]]</f>
        <v>0</v>
      </c>
      <c r="CD433" s="4">
        <f>Base[[#This Row],['[Prod']'[Présentéisme']Jours_gagnés]]/Base[[#This Row],['[Prod']Jours_ouvrés]]</f>
        <v>0</v>
      </c>
      <c r="CE433">
        <v>7.5880726467531134E-2</v>
      </c>
      <c r="CF433">
        <v>1.989821358241517E-2</v>
      </c>
      <c r="CG433" s="4">
        <v>11</v>
      </c>
      <c r="CH433" s="4">
        <v>0.31563677172153043</v>
      </c>
      <c r="CI433" s="4">
        <v>1.3003350630813707E-4</v>
      </c>
      <c r="CJ433" s="4">
        <f>IF(Base[[#This Row],[Secteur]]&lt;&gt;"Moyenne",Base[[#This Row],['[Prod']'[Turnover']DMC_initiale]]*(1+Base[[#This Row],['[Prod']'[Turnover']Ecart_accidents]]*Base[[#This Row],['[Prod']Impact_motifs_turnover]]),CJ416*CI416+CJ417*CI417+CJ418*CI418+CJ419*CI419+CJ420*CI420+CJ421*CI421+CJ422*CI422+CJ423*CI423+CJ424*CI424+CJ425*CI425+CJ426*CI426+CJ427*CI427+CJ428*CI428+CJ429*CI429+CJ430*CI430+CJ431*CI431+CJ432*CI432)</f>
        <v>11.069086686879968</v>
      </c>
      <c r="CK433" s="4">
        <f>1/Base[[#This Row],['[Prod']'[Turnover']DMC_initiale]]</f>
        <v>9.0909090909090912E-2</v>
      </c>
      <c r="CL433" s="4">
        <f>1/Base[[#This Row],['[Prod']'[Turnover']DMC_finale]]</f>
        <v>9.0341690176235209E-2</v>
      </c>
    </row>
    <row r="434" spans="2:90" x14ac:dyDescent="0.25">
      <c r="B434" s="4" t="s">
        <v>318</v>
      </c>
      <c r="C434">
        <v>15</v>
      </c>
      <c r="D434" t="s">
        <v>83</v>
      </c>
      <c r="E434" t="s">
        <v>59</v>
      </c>
      <c r="F434" s="3">
        <v>0.24115255943805147</v>
      </c>
      <c r="G434" s="3">
        <v>1.7864082739021815E-3</v>
      </c>
      <c r="H434" s="3">
        <v>1.7864082739021815E-3</v>
      </c>
      <c r="I434" s="3">
        <v>0</v>
      </c>
      <c r="J434" s="3">
        <v>0</v>
      </c>
      <c r="K434" s="3">
        <v>7.0000000000000007E-2</v>
      </c>
      <c r="L434" s="2">
        <f>Base[[#This Row],[Coût]]*Base[[#This Row],[Part_ménages_dépenses_santé]]</f>
        <v>0</v>
      </c>
      <c r="M434" s="2">
        <v>0</v>
      </c>
      <c r="N434" s="6">
        <v>27700000</v>
      </c>
      <c r="O434" s="7">
        <f>Base[[#This Row],[Coût_salarié]]*10^9*Base[[#This Row],[Risque]]*Base[[#This Row],[Prévalence]]*Base[[#This Row],[Part_coûts_salarié]]/Base[[#This Row],[Population_emploi]]</f>
        <v>0</v>
      </c>
      <c r="P434">
        <v>50</v>
      </c>
      <c r="Q434">
        <v>50</v>
      </c>
      <c r="R434" s="2">
        <v>9.9999999999999978E-2</v>
      </c>
      <c r="S434" s="2">
        <v>0.33340000000000003</v>
      </c>
      <c r="T434" s="4">
        <v>0</v>
      </c>
      <c r="U434" s="4">
        <f>IF(Bases_annexes!$F$5=0,16.6587111018772,0.77*Bases_annexes!$F$5/(IF(OR(ISBLANK('Données_d''entrée'!$E$44),'Données_d''entrée'!$E$44=0),35,'Données_d''entrée'!$E$44)*52))</f>
        <v>16.658711101877199</v>
      </c>
      <c r="V434" s="4">
        <v>0</v>
      </c>
      <c r="W4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4" s="4">
        <v>234.5</v>
      </c>
      <c r="Y434" s="4">
        <f>(Base[[#This Row],['[Maladies']Coûts_évités_par_salarié]]+Base[[#This Row],['[Travail']Coûts_évités_par_salarié]])/Base[[#This Row],[Budget_santé_salarié]]</f>
        <v>0</v>
      </c>
      <c r="Z434" s="4">
        <v>0.8</v>
      </c>
      <c r="AA434" s="4">
        <f>Base[[#This Row],[Coût]]*Base[[#This Row],[Part_société_dépenses_santé]]</f>
        <v>0</v>
      </c>
      <c r="AB434" s="4">
        <v>67635124</v>
      </c>
      <c r="AC434" s="4">
        <v>82.297079063317852</v>
      </c>
      <c r="AD434" s="4">
        <v>0</v>
      </c>
      <c r="AE434" s="4">
        <f>Base[[#This Row],['[SC']Prévalence_travail]]*Base[[#This Row],[Population_emploi]]</f>
        <v>0</v>
      </c>
      <c r="AF434" s="4">
        <f>Base[[#This Row],[Risque]]*Base[[#This Row],['[SC']Patients_en_emploi]]</f>
        <v>0</v>
      </c>
      <c r="AG434" s="4">
        <v>0</v>
      </c>
      <c r="AH434" s="4">
        <f>IFERROR(Base[[#This Row],['[SC']Prestations]]/Base[[#This Row],['[SC']Patients_en_emploi]],0)</f>
        <v>0</v>
      </c>
      <c r="AI434" s="4">
        <v>51.7</v>
      </c>
      <c r="AJ4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4" s="4">
        <f>Base[[#This Row],['[SC']'[Travail']Coûts_évités]]/Base[[#This Row],[Population_emploi]]</f>
        <v>0</v>
      </c>
      <c r="AL434" s="4">
        <f>Base[[#This Row],[Coût_société]]*10^9*Base[[#This Row],[Risque]]*Base[[#This Row],[Prévalence]]*Base[[#This Row],[Part_coûts_salarié]]/Base[[#This Row],[Population_emploi]]</f>
        <v>0</v>
      </c>
      <c r="AM434" s="4">
        <f>IF(Base[[#This Row],[Pathologie]]&lt;&gt;"Dépendance",0,14909.24243952)</f>
        <v>0</v>
      </c>
      <c r="AN434" s="4">
        <f>IF(Base[[#This Row],[Pathologie]]&lt;&gt;"Dépendance",0,1316000)</f>
        <v>0</v>
      </c>
      <c r="AO434" s="4">
        <f>IF(Base[[#This Row],[Pathologie]]&lt;&gt;"Dépendance",0,Base[[#This Row],['[SC']Coût_personne_dépendante]]*Base[[#This Row],['[SC']Nb_personnes_dépendantes]])</f>
        <v>0</v>
      </c>
      <c r="AP434" s="4">
        <f>IF(Base[[#This Row],[Pathologie]]&lt;&gt;"Dépendance",0,Base[[#This Row],['[SC']Coût_total_dépendance]]/Base[[#This Row],[Population_totale]])</f>
        <v>0</v>
      </c>
      <c r="AQ434" s="4">
        <f>IF(Base[[#This Row],[Pathologie]]&lt;&gt;"Dépendance",0,4.5)</f>
        <v>0</v>
      </c>
      <c r="AR434" s="4">
        <v>0.83987615528424797</v>
      </c>
      <c r="AS434" s="4">
        <f>Base[[#This Row],[Espérance_vie]]+Base[[#This Row],['[SC']Hausse_esp_de_vie]]-Base[[#This Row],['[SC']Durée_moyenne_dépendance_avt]]+Base[[#This Row],[Risque]]</f>
        <v>83.378107778040146</v>
      </c>
      <c r="AT4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4" s="4">
        <v>62.9</v>
      </c>
      <c r="AW434" s="4">
        <f t="shared" si="10"/>
        <v>336905600000</v>
      </c>
      <c r="AX434" s="4">
        <v>15049171</v>
      </c>
      <c r="AY434" s="4">
        <f>Base[[#This Row],['[SC']Budget_total_retraites]]/Base[[#This Row],['[SC']Nombre_de_retraités]]</f>
        <v>22386.987296509556</v>
      </c>
      <c r="AZ434" s="4">
        <f>Base[[#This Row],['[SC']Budget_par_retraité]]*Base[[#This Row],['[SC']Nb_personnes_dépendantes]]</f>
        <v>0</v>
      </c>
      <c r="BA434" s="4">
        <f>Base[[#This Row],['[SC']'[Dépendance']Coût_retraite_personnes_dépendantes]]/Base[[#This Row],[Population_totale]]</f>
        <v>0</v>
      </c>
      <c r="BB43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4" s="4">
        <f>Base[[#This Row],['[SC']'[Dépendance']Gains]]-Base[[#This Row],['[SC']'[Dépendance']Coûts]]</f>
        <v>0</v>
      </c>
      <c r="BD434" s="4">
        <f>IF(Base[[#This Row],[Pathologie]]&lt;&gt;"Mort prématurée",0,Base[[#This Row],[Risque]]*Base[[#This Row],[Prévalence]]*Base[[#This Row],[Population_totale]])</f>
        <v>29137.003607090672</v>
      </c>
      <c r="BE434" s="4">
        <v>52.74</v>
      </c>
      <c r="BF434" s="4">
        <f>Base[[#This Row],['[SC']Âge_moyen_retraite]]-Base[[#This Row],['[SC']'[Mort_prématurée']Âge_moyen_mort précoce]]</f>
        <v>10.159999999999997</v>
      </c>
      <c r="BG434" s="4">
        <f>Base[[#This Row],[Espérance_vie]]+Base[[#This Row],['[SC']Hausse_esp_de_vie]]-Base[[#This Row],['[SC']Âge_moyen_retraite]]</f>
        <v>20.236955218602098</v>
      </c>
      <c r="BH434" s="4">
        <v>106583.42676924677</v>
      </c>
      <c r="BI434" s="4">
        <v>97601.789429271477</v>
      </c>
      <c r="BJ434" s="4">
        <v>302038.31496633729</v>
      </c>
      <c r="BK434" s="4">
        <v>117293.58934859755</v>
      </c>
      <c r="BL434" s="4">
        <v>1523999.9999999995</v>
      </c>
      <c r="BM4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4" s="4">
        <v>294804.96027377353</v>
      </c>
      <c r="BO4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4" s="4">
        <f>(Base[[#This Row],['[SC']'[Mort_prématurée']Gains]]-Base[[#This Row],['[SC']'[Mort_prématurée']Coûts]])/Base[[#This Row],[Population_totale]]</f>
        <v>26.257324141376316</v>
      </c>
      <c r="BQ434" s="4">
        <f>IF(Base[[#This Row],[Pathologie]]&lt;&gt;"Mort prématurée",0,Base[[#This Row],[Risque]])</f>
        <v>0.24115255943805147</v>
      </c>
      <c r="BR434" s="4">
        <v>2680</v>
      </c>
      <c r="BS4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4" s="4">
        <f>Base[[#This Row],[Prévalence_prod]]*(1-Base[[#This Row],[Risque]])*Base[[#This Row],[Durée_arrêt]]*Base[[#This Row],[Population_emploi]]</f>
        <v>0</v>
      </c>
      <c r="BV434" s="4">
        <f>Base[[#This Row],['[Prod']'[Absentéisme']Total_jours_absence_avant]]-Base[[#This Row],['[Prod']'[Absentéisme']Total_jours_absence_après]]</f>
        <v>0</v>
      </c>
      <c r="BW434" s="4">
        <f>IF(AND(Base[[#This Row],[Pathologie]]&lt;&gt;"Dépendance",Base[[#This Row],[Pathologie]]&lt;&gt;"Mort prématurée",Base[[#This Row],[Pathologie]]&lt;&gt;"Migraine"),0.0619,0)</f>
        <v>0</v>
      </c>
      <c r="BX434" s="4">
        <v>254</v>
      </c>
      <c r="BY43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4" s="4">
        <f>Base[[#This Row],[Prévalence_prod]]*Base[[#This Row],[Présentéisme]]*Base[[#This Row],['[Prod']Jours_ouvrés]]</f>
        <v>0</v>
      </c>
      <c r="CB434" s="4">
        <f>Base[[#This Row],[Prévalence_prod]]*(1-Base[[#This Row],[Risque]])*Base[[#This Row],[Présentéisme]]*Base[[#This Row],['[Prod']Jours_ouvrés]]</f>
        <v>0</v>
      </c>
      <c r="CC434" s="4">
        <f>Base[[#This Row],['[Prod']'[Présentéisme']Jours_avant]]-Base[[#This Row],['[Prod']'[Présentéisme']Jours_après]]</f>
        <v>0</v>
      </c>
      <c r="CD434" s="4">
        <f>Base[[#This Row],['[Prod']'[Présentéisme']Jours_gagnés]]/Base[[#This Row],['[Prod']Jours_ouvrés]]</f>
        <v>0</v>
      </c>
      <c r="CE434">
        <v>7.5880726467531134E-2</v>
      </c>
      <c r="CF434">
        <v>1.989821358241517E-2</v>
      </c>
      <c r="CG434" s="4">
        <v>11</v>
      </c>
      <c r="CH434" s="4">
        <v>1.1688035738877327</v>
      </c>
      <c r="CI434" s="4">
        <v>9.6557438521367826E-3</v>
      </c>
      <c r="CJ434" s="4">
        <f>IF(Base[[#This Row],[Secteur]]&lt;&gt;"Moyenne",Base[[#This Row],['[Prod']'[Turnover']DMC_initiale]]*(1+Base[[#This Row],['[Prod']'[Turnover']Ecart_accidents]]*Base[[#This Row],['[Prod']Impact_motifs_turnover]]),CJ417*CI417+CJ418*CI418+CJ419*CI419+CJ420*CI420+CJ421*CI421+CJ422*CI422+CJ423*CI423+CJ424*CI424+CJ425*CI425+CJ426*CI426+CJ427*CI427+CJ428*CI428+CJ429*CI429+CJ430*CI430+CJ431*CI431+CJ432*CI432+CJ433*CI433)</f>
        <v>11.25582813464019</v>
      </c>
      <c r="CK434" s="4">
        <f>1/Base[[#This Row],['[Prod']'[Turnover']DMC_initiale]]</f>
        <v>9.0909090909090912E-2</v>
      </c>
      <c r="CL434" s="4">
        <f>1/Base[[#This Row],['[Prod']'[Turnover']DMC_finale]]</f>
        <v>8.8842863273868436E-2</v>
      </c>
    </row>
    <row r="435" spans="2:90" x14ac:dyDescent="0.25">
      <c r="B435" s="4" t="s">
        <v>319</v>
      </c>
      <c r="C435">
        <v>15</v>
      </c>
      <c r="D435" t="s">
        <v>83</v>
      </c>
      <c r="E435" t="s">
        <v>59</v>
      </c>
      <c r="F435" s="3">
        <v>0.24115255943805147</v>
      </c>
      <c r="G435" s="3">
        <v>1.7864082739021815E-3</v>
      </c>
      <c r="H435" s="3">
        <v>1.7864082739021815E-3</v>
      </c>
      <c r="I435" s="3">
        <v>0</v>
      </c>
      <c r="J435" s="3">
        <v>0</v>
      </c>
      <c r="K435" s="3">
        <v>7.0000000000000007E-2</v>
      </c>
      <c r="L435" s="2">
        <f>Base[[#This Row],[Coût]]*Base[[#This Row],[Part_ménages_dépenses_santé]]</f>
        <v>0</v>
      </c>
      <c r="M435" s="2">
        <v>0</v>
      </c>
      <c r="N435" s="6">
        <v>27700000</v>
      </c>
      <c r="O435" s="7">
        <f>Base[[#This Row],[Coût_salarié]]*10^9*Base[[#This Row],[Risque]]*Base[[#This Row],[Prévalence]]*Base[[#This Row],[Part_coûts_salarié]]/Base[[#This Row],[Population_emploi]]</f>
        <v>0</v>
      </c>
      <c r="P435">
        <v>50</v>
      </c>
      <c r="Q435">
        <v>50</v>
      </c>
      <c r="R435" s="2">
        <v>9.9999999999999978E-2</v>
      </c>
      <c r="S435" s="2">
        <v>0.33340000000000003</v>
      </c>
      <c r="T435" s="4">
        <v>0</v>
      </c>
      <c r="U435" s="4">
        <f>IF(Bases_annexes!$F$5=0,16.6587111018772,0.77*Bases_annexes!$F$5/(IF(OR(ISBLANK('Données_d''entrée'!$E$44),'Données_d''entrée'!$E$44=0),35,'Données_d''entrée'!$E$44)*52))</f>
        <v>16.658711101877199</v>
      </c>
      <c r="V435" s="4">
        <v>0</v>
      </c>
      <c r="W4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5" s="4">
        <v>234.5</v>
      </c>
      <c r="Y435" s="4">
        <f>(Base[[#This Row],['[Maladies']Coûts_évités_par_salarié]]+Base[[#This Row],['[Travail']Coûts_évités_par_salarié]])/Base[[#This Row],[Budget_santé_salarié]]</f>
        <v>0</v>
      </c>
      <c r="Z435" s="4">
        <v>0.8</v>
      </c>
      <c r="AA435" s="4">
        <f>Base[[#This Row],[Coût]]*Base[[#This Row],[Part_société_dépenses_santé]]</f>
        <v>0</v>
      </c>
      <c r="AB435" s="4">
        <v>67635124</v>
      </c>
      <c r="AC435" s="4">
        <v>82.297079063317852</v>
      </c>
      <c r="AD435" s="4">
        <v>0</v>
      </c>
      <c r="AE435" s="4">
        <f>Base[[#This Row],['[SC']Prévalence_travail]]*Base[[#This Row],[Population_emploi]]</f>
        <v>0</v>
      </c>
      <c r="AF435" s="4">
        <f>Base[[#This Row],[Risque]]*Base[[#This Row],['[SC']Patients_en_emploi]]</f>
        <v>0</v>
      </c>
      <c r="AG435" s="4">
        <v>0</v>
      </c>
      <c r="AH435" s="4">
        <f>IFERROR(Base[[#This Row],['[SC']Prestations]]/Base[[#This Row],['[SC']Patients_en_emploi]],0)</f>
        <v>0</v>
      </c>
      <c r="AI435" s="4">
        <v>51.7</v>
      </c>
      <c r="AJ4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5" s="4">
        <f>Base[[#This Row],['[SC']'[Travail']Coûts_évités]]/Base[[#This Row],[Population_emploi]]</f>
        <v>0</v>
      </c>
      <c r="AL435" s="4">
        <f>Base[[#This Row],[Coût_société]]*10^9*Base[[#This Row],[Risque]]*Base[[#This Row],[Prévalence]]*Base[[#This Row],[Part_coûts_salarié]]/Base[[#This Row],[Population_emploi]]</f>
        <v>0</v>
      </c>
      <c r="AM435" s="4">
        <f>IF(Base[[#This Row],[Pathologie]]&lt;&gt;"Dépendance",0,14909.24243952)</f>
        <v>0</v>
      </c>
      <c r="AN435" s="4">
        <f>IF(Base[[#This Row],[Pathologie]]&lt;&gt;"Dépendance",0,1316000)</f>
        <v>0</v>
      </c>
      <c r="AO435" s="4">
        <f>IF(Base[[#This Row],[Pathologie]]&lt;&gt;"Dépendance",0,Base[[#This Row],['[SC']Coût_personne_dépendante]]*Base[[#This Row],['[SC']Nb_personnes_dépendantes]])</f>
        <v>0</v>
      </c>
      <c r="AP435" s="4">
        <f>IF(Base[[#This Row],[Pathologie]]&lt;&gt;"Dépendance",0,Base[[#This Row],['[SC']Coût_total_dépendance]]/Base[[#This Row],[Population_totale]])</f>
        <v>0</v>
      </c>
      <c r="AQ435" s="4">
        <f>IF(Base[[#This Row],[Pathologie]]&lt;&gt;"Dépendance",0,4.5)</f>
        <v>0</v>
      </c>
      <c r="AR435" s="4">
        <v>0.83987615528424797</v>
      </c>
      <c r="AS435" s="4">
        <f>Base[[#This Row],[Espérance_vie]]+Base[[#This Row],['[SC']Hausse_esp_de_vie]]-Base[[#This Row],['[SC']Durée_moyenne_dépendance_avt]]+Base[[#This Row],[Risque]]</f>
        <v>83.378107778040146</v>
      </c>
      <c r="AT4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5" s="4">
        <v>62.9</v>
      </c>
      <c r="AW435" s="4">
        <f t="shared" si="10"/>
        <v>336905600000</v>
      </c>
      <c r="AX435" s="4">
        <v>15049171</v>
      </c>
      <c r="AY435" s="4">
        <f>Base[[#This Row],['[SC']Budget_total_retraites]]/Base[[#This Row],['[SC']Nombre_de_retraités]]</f>
        <v>22386.987296509556</v>
      </c>
      <c r="AZ435" s="4">
        <f>Base[[#This Row],['[SC']Budget_par_retraité]]*Base[[#This Row],['[SC']Nb_personnes_dépendantes]]</f>
        <v>0</v>
      </c>
      <c r="BA435" s="4">
        <f>Base[[#This Row],['[SC']'[Dépendance']Coût_retraite_personnes_dépendantes]]/Base[[#This Row],[Population_totale]]</f>
        <v>0</v>
      </c>
      <c r="BB4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5" s="4">
        <f>Base[[#This Row],['[SC']'[Dépendance']Gains]]-Base[[#This Row],['[SC']'[Dépendance']Coûts]]</f>
        <v>0</v>
      </c>
      <c r="BD435" s="4">
        <f>IF(Base[[#This Row],[Pathologie]]&lt;&gt;"Mort prématurée",0,Base[[#This Row],[Risque]]*Base[[#This Row],[Prévalence]]*Base[[#This Row],[Population_totale]])</f>
        <v>29137.003607090672</v>
      </c>
      <c r="BE435" s="4">
        <v>52.74</v>
      </c>
      <c r="BF435" s="4">
        <f>Base[[#This Row],['[SC']Âge_moyen_retraite]]-Base[[#This Row],['[SC']'[Mort_prématurée']Âge_moyen_mort précoce]]</f>
        <v>10.159999999999997</v>
      </c>
      <c r="BG435" s="4">
        <f>Base[[#This Row],[Espérance_vie]]+Base[[#This Row],['[SC']Hausse_esp_de_vie]]-Base[[#This Row],['[SC']Âge_moyen_retraite]]</f>
        <v>20.236955218602098</v>
      </c>
      <c r="BH435" s="4">
        <v>106583.42676924677</v>
      </c>
      <c r="BI435" s="4">
        <v>97601.789429271477</v>
      </c>
      <c r="BJ435" s="4">
        <v>302038.31496633729</v>
      </c>
      <c r="BK435" s="4">
        <v>117293.58934859755</v>
      </c>
      <c r="BL435" s="4">
        <v>1523999.9999999995</v>
      </c>
      <c r="BM4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5" s="4">
        <v>294804.96027377353</v>
      </c>
      <c r="BO4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5" s="4">
        <f>(Base[[#This Row],['[SC']'[Mort_prématurée']Gains]]-Base[[#This Row],['[SC']'[Mort_prématurée']Coûts]])/Base[[#This Row],[Population_totale]]</f>
        <v>26.257324141376316</v>
      </c>
      <c r="BQ435" s="4">
        <f>IF(Base[[#This Row],[Pathologie]]&lt;&gt;"Mort prématurée",0,Base[[#This Row],[Risque]])</f>
        <v>0.24115255943805147</v>
      </c>
      <c r="BR435" s="4">
        <v>2680</v>
      </c>
      <c r="BS4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5" s="4">
        <f>Base[[#This Row],[Prévalence_prod]]*(1-Base[[#This Row],[Risque]])*Base[[#This Row],[Durée_arrêt]]*Base[[#This Row],[Population_emploi]]</f>
        <v>0</v>
      </c>
      <c r="BV435" s="4">
        <f>Base[[#This Row],['[Prod']'[Absentéisme']Total_jours_absence_avant]]-Base[[#This Row],['[Prod']'[Absentéisme']Total_jours_absence_après]]</f>
        <v>0</v>
      </c>
      <c r="BW435" s="4">
        <f>IF(AND(Base[[#This Row],[Pathologie]]&lt;&gt;"Dépendance",Base[[#This Row],[Pathologie]]&lt;&gt;"Mort prématurée",Base[[#This Row],[Pathologie]]&lt;&gt;"Migraine"),0.0619,0)</f>
        <v>0</v>
      </c>
      <c r="BX435" s="4">
        <v>254</v>
      </c>
      <c r="BY43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5" s="4">
        <f>Base[[#This Row],[Prévalence_prod]]*Base[[#This Row],[Présentéisme]]*Base[[#This Row],['[Prod']Jours_ouvrés]]</f>
        <v>0</v>
      </c>
      <c r="CB435" s="4">
        <f>Base[[#This Row],[Prévalence_prod]]*(1-Base[[#This Row],[Risque]])*Base[[#This Row],[Présentéisme]]*Base[[#This Row],['[Prod']Jours_ouvrés]]</f>
        <v>0</v>
      </c>
      <c r="CC435" s="4">
        <f>Base[[#This Row],['[Prod']'[Présentéisme']Jours_avant]]-Base[[#This Row],['[Prod']'[Présentéisme']Jours_après]]</f>
        <v>0</v>
      </c>
      <c r="CD435" s="4">
        <f>Base[[#This Row],['[Prod']'[Présentéisme']Jours_gagnés]]/Base[[#This Row],['[Prod']Jours_ouvrés]]</f>
        <v>0</v>
      </c>
      <c r="CE435">
        <v>7.5880726467531134E-2</v>
      </c>
      <c r="CF435">
        <v>1.989821358241517E-2</v>
      </c>
      <c r="CG435" s="4">
        <v>11</v>
      </c>
      <c r="CH435" s="4">
        <v>0.52204401140486179</v>
      </c>
      <c r="CI435" s="4">
        <v>1.2443904150185675E-2</v>
      </c>
      <c r="CJ435" s="4">
        <f>IF(Base[[#This Row],[Secteur]]&lt;&gt;"Moyenne",Base[[#This Row],['[Prod']'[Turnover']DMC_initiale]]*(1+Base[[#This Row],['[Prod']'[Turnover']Ecart_accidents]]*Base[[#This Row],['[Prod']Impact_motifs_turnover]]),CJ418*CI418+CJ419*CI419+CJ420*CI420+CJ421*CI421+CJ422*CI422+CJ423*CI423+CJ424*CI424+CJ425*CI425+CJ426*CI426+CJ427*CI427+CJ428*CI428+CJ429*CI429+CJ430*CI430+CJ431*CI431+CJ432*CI432+CJ433*CI433+CJ434*CI434)</f>
        <v>11.114265175621902</v>
      </c>
      <c r="CK435" s="4">
        <f>1/Base[[#This Row],['[Prod']'[Turnover']DMC_initiale]]</f>
        <v>9.0909090909090912E-2</v>
      </c>
      <c r="CL435" s="4">
        <f>1/Base[[#This Row],['[Prod']'[Turnover']DMC_finale]]</f>
        <v>8.9974459327586145E-2</v>
      </c>
    </row>
    <row r="436" spans="2:90" x14ac:dyDescent="0.25">
      <c r="B436" s="4" t="s">
        <v>320</v>
      </c>
      <c r="C436">
        <v>15</v>
      </c>
      <c r="D436" t="s">
        <v>83</v>
      </c>
      <c r="E436" t="s">
        <v>59</v>
      </c>
      <c r="F436" s="3">
        <v>0.24115255943805147</v>
      </c>
      <c r="G436" s="3">
        <v>1.7864082739021815E-3</v>
      </c>
      <c r="H436" s="3">
        <v>1.7864082739021815E-3</v>
      </c>
      <c r="I436" s="3">
        <v>0</v>
      </c>
      <c r="J436" s="3">
        <v>0</v>
      </c>
      <c r="K436" s="3">
        <v>7.0000000000000007E-2</v>
      </c>
      <c r="L436" s="2">
        <f>Base[[#This Row],[Coût]]*Base[[#This Row],[Part_ménages_dépenses_santé]]</f>
        <v>0</v>
      </c>
      <c r="M436" s="2">
        <v>0</v>
      </c>
      <c r="N436" s="6">
        <v>27700000</v>
      </c>
      <c r="O436" s="7">
        <f>Base[[#This Row],[Coût_salarié]]*10^9*Base[[#This Row],[Risque]]*Base[[#This Row],[Prévalence]]*Base[[#This Row],[Part_coûts_salarié]]/Base[[#This Row],[Population_emploi]]</f>
        <v>0</v>
      </c>
      <c r="P436">
        <v>50</v>
      </c>
      <c r="Q436">
        <v>50</v>
      </c>
      <c r="R436" s="2">
        <v>9.9999999999999978E-2</v>
      </c>
      <c r="S436" s="2">
        <v>0.33340000000000003</v>
      </c>
      <c r="T436" s="4">
        <v>0</v>
      </c>
      <c r="U436" s="4">
        <f>IF(Bases_annexes!$F$5=0,16.6587111018772,0.77*Bases_annexes!$F$5/(IF(OR(ISBLANK('Données_d''entrée'!$E$44),'Données_d''entrée'!$E$44=0),35,'Données_d''entrée'!$E$44)*52))</f>
        <v>16.658711101877199</v>
      </c>
      <c r="V436" s="4">
        <v>0</v>
      </c>
      <c r="W4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6" s="4">
        <v>234.5</v>
      </c>
      <c r="Y436" s="4">
        <f>(Base[[#This Row],['[Maladies']Coûts_évités_par_salarié]]+Base[[#This Row],['[Travail']Coûts_évités_par_salarié]])/Base[[#This Row],[Budget_santé_salarié]]</f>
        <v>0</v>
      </c>
      <c r="Z436" s="4">
        <v>0.8</v>
      </c>
      <c r="AA436" s="4">
        <f>Base[[#This Row],[Coût]]*Base[[#This Row],[Part_société_dépenses_santé]]</f>
        <v>0</v>
      </c>
      <c r="AB436" s="4">
        <v>67635124</v>
      </c>
      <c r="AC436" s="4">
        <v>82.297079063317852</v>
      </c>
      <c r="AD436" s="4">
        <v>0</v>
      </c>
      <c r="AE436" s="4">
        <f>Base[[#This Row],['[SC']Prévalence_travail]]*Base[[#This Row],[Population_emploi]]</f>
        <v>0</v>
      </c>
      <c r="AF436" s="4">
        <f>Base[[#This Row],[Risque]]*Base[[#This Row],['[SC']Patients_en_emploi]]</f>
        <v>0</v>
      </c>
      <c r="AG436" s="4">
        <v>0</v>
      </c>
      <c r="AH436" s="4">
        <f>IFERROR(Base[[#This Row],['[SC']Prestations]]/Base[[#This Row],['[SC']Patients_en_emploi]],0)</f>
        <v>0</v>
      </c>
      <c r="AI436" s="4">
        <v>51.7</v>
      </c>
      <c r="AJ4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6" s="4">
        <f>Base[[#This Row],['[SC']'[Travail']Coûts_évités]]/Base[[#This Row],[Population_emploi]]</f>
        <v>0</v>
      </c>
      <c r="AL436" s="4">
        <f>Base[[#This Row],[Coût_société]]*10^9*Base[[#This Row],[Risque]]*Base[[#This Row],[Prévalence]]*Base[[#This Row],[Part_coûts_salarié]]/Base[[#This Row],[Population_emploi]]</f>
        <v>0</v>
      </c>
      <c r="AM436" s="4">
        <f>IF(Base[[#This Row],[Pathologie]]&lt;&gt;"Dépendance",0,14909.24243952)</f>
        <v>0</v>
      </c>
      <c r="AN436" s="4">
        <f>IF(Base[[#This Row],[Pathologie]]&lt;&gt;"Dépendance",0,1316000)</f>
        <v>0</v>
      </c>
      <c r="AO436" s="4">
        <f>IF(Base[[#This Row],[Pathologie]]&lt;&gt;"Dépendance",0,Base[[#This Row],['[SC']Coût_personne_dépendante]]*Base[[#This Row],['[SC']Nb_personnes_dépendantes]])</f>
        <v>0</v>
      </c>
      <c r="AP436" s="4">
        <f>IF(Base[[#This Row],[Pathologie]]&lt;&gt;"Dépendance",0,Base[[#This Row],['[SC']Coût_total_dépendance]]/Base[[#This Row],[Population_totale]])</f>
        <v>0</v>
      </c>
      <c r="AQ436" s="4">
        <f>IF(Base[[#This Row],[Pathologie]]&lt;&gt;"Dépendance",0,4.5)</f>
        <v>0</v>
      </c>
      <c r="AR436" s="4">
        <v>0.83987615528424797</v>
      </c>
      <c r="AS436" s="4">
        <f>Base[[#This Row],[Espérance_vie]]+Base[[#This Row],['[SC']Hausse_esp_de_vie]]-Base[[#This Row],['[SC']Durée_moyenne_dépendance_avt]]+Base[[#This Row],[Risque]]</f>
        <v>83.378107778040146</v>
      </c>
      <c r="AT4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6" s="4">
        <v>62.9</v>
      </c>
      <c r="AW436" s="4">
        <f t="shared" si="10"/>
        <v>336905600000</v>
      </c>
      <c r="AX436" s="4">
        <v>15049171</v>
      </c>
      <c r="AY436" s="4">
        <f>Base[[#This Row],['[SC']Budget_total_retraites]]/Base[[#This Row],['[SC']Nombre_de_retraités]]</f>
        <v>22386.987296509556</v>
      </c>
      <c r="AZ436" s="4">
        <f>Base[[#This Row],['[SC']Budget_par_retraité]]*Base[[#This Row],['[SC']Nb_personnes_dépendantes]]</f>
        <v>0</v>
      </c>
      <c r="BA436" s="4">
        <f>Base[[#This Row],['[SC']'[Dépendance']Coût_retraite_personnes_dépendantes]]/Base[[#This Row],[Population_totale]]</f>
        <v>0</v>
      </c>
      <c r="BB4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6" s="4">
        <f>Base[[#This Row],['[SC']'[Dépendance']Gains]]-Base[[#This Row],['[SC']'[Dépendance']Coûts]]</f>
        <v>0</v>
      </c>
      <c r="BD436" s="4">
        <f>IF(Base[[#This Row],[Pathologie]]&lt;&gt;"Mort prématurée",0,Base[[#This Row],[Risque]]*Base[[#This Row],[Prévalence]]*Base[[#This Row],[Population_totale]])</f>
        <v>29137.003607090672</v>
      </c>
      <c r="BE436" s="4">
        <v>52.74</v>
      </c>
      <c r="BF436" s="4">
        <f>Base[[#This Row],['[SC']Âge_moyen_retraite]]-Base[[#This Row],['[SC']'[Mort_prématurée']Âge_moyen_mort précoce]]</f>
        <v>10.159999999999997</v>
      </c>
      <c r="BG436" s="4">
        <f>Base[[#This Row],[Espérance_vie]]+Base[[#This Row],['[SC']Hausse_esp_de_vie]]-Base[[#This Row],['[SC']Âge_moyen_retraite]]</f>
        <v>20.236955218602098</v>
      </c>
      <c r="BH436" s="4">
        <v>106583.42676924677</v>
      </c>
      <c r="BI436" s="4">
        <v>97601.789429271477</v>
      </c>
      <c r="BJ436" s="4">
        <v>302038.31496633729</v>
      </c>
      <c r="BK436" s="4">
        <v>117293.58934859755</v>
      </c>
      <c r="BL436" s="4">
        <v>1523999.9999999995</v>
      </c>
      <c r="BM4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6" s="4">
        <v>294804.96027377353</v>
      </c>
      <c r="BO4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6" s="4">
        <f>(Base[[#This Row],['[SC']'[Mort_prématurée']Gains]]-Base[[#This Row],['[SC']'[Mort_prématurée']Coûts]])/Base[[#This Row],[Population_totale]]</f>
        <v>26.257324141376316</v>
      </c>
      <c r="BQ436" s="4">
        <f>IF(Base[[#This Row],[Pathologie]]&lt;&gt;"Mort prématurée",0,Base[[#This Row],[Risque]])</f>
        <v>0.24115255943805147</v>
      </c>
      <c r="BR436" s="4">
        <v>2680</v>
      </c>
      <c r="BS4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6" s="4">
        <f>Base[[#This Row],[Prévalence_prod]]*(1-Base[[#This Row],[Risque]])*Base[[#This Row],[Durée_arrêt]]*Base[[#This Row],[Population_emploi]]</f>
        <v>0</v>
      </c>
      <c r="BV436" s="4">
        <f>Base[[#This Row],['[Prod']'[Absentéisme']Total_jours_absence_avant]]-Base[[#This Row],['[Prod']'[Absentéisme']Total_jours_absence_après]]</f>
        <v>0</v>
      </c>
      <c r="BW436" s="4">
        <f>IF(AND(Base[[#This Row],[Pathologie]]&lt;&gt;"Dépendance",Base[[#This Row],[Pathologie]]&lt;&gt;"Mort prématurée",Base[[#This Row],[Pathologie]]&lt;&gt;"Migraine"),0.0619,0)</f>
        <v>0</v>
      </c>
      <c r="BX436" s="4">
        <v>254</v>
      </c>
      <c r="BY43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6" s="4">
        <f>Base[[#This Row],[Prévalence_prod]]*Base[[#This Row],[Présentéisme]]*Base[[#This Row],['[Prod']Jours_ouvrés]]</f>
        <v>0</v>
      </c>
      <c r="CB436" s="4">
        <f>Base[[#This Row],[Prévalence_prod]]*(1-Base[[#This Row],[Risque]])*Base[[#This Row],[Présentéisme]]*Base[[#This Row],['[Prod']Jours_ouvrés]]</f>
        <v>0</v>
      </c>
      <c r="CC436" s="4">
        <f>Base[[#This Row],['[Prod']'[Présentéisme']Jours_avant]]-Base[[#This Row],['[Prod']'[Présentéisme']Jours_après]]</f>
        <v>0</v>
      </c>
      <c r="CD436" s="4">
        <f>Base[[#This Row],['[Prod']'[Présentéisme']Jours_gagnés]]/Base[[#This Row],['[Prod']Jours_ouvrés]]</f>
        <v>0</v>
      </c>
      <c r="CE436">
        <v>7.5880726467531134E-2</v>
      </c>
      <c r="CF436">
        <v>1.989821358241517E-2</v>
      </c>
      <c r="CG436" s="4">
        <v>11</v>
      </c>
      <c r="CH436" s="4">
        <v>0.49446424657188709</v>
      </c>
      <c r="CI436" s="4">
        <v>1.0795805058605798E-2</v>
      </c>
      <c r="CJ436" s="4">
        <f>IF(Base[[#This Row],[Secteur]]&lt;&gt;"Moyenne",Base[[#This Row],['[Prod']'[Turnover']DMC_initiale]]*(1+Base[[#This Row],['[Prod']'[Turnover']Ecart_accidents]]*Base[[#This Row],['[Prod']Impact_motifs_turnover]]),CJ419*CI419+CJ420*CI420+CJ421*CI421+CJ422*CI422+CJ423*CI423+CJ424*CI424+CJ425*CI425+CJ426*CI426+CJ427*CI427+CJ428*CI428+CJ429*CI429+CJ430*CI430+CJ431*CI431+CJ432*CI432+CJ433*CI433+CJ434*CI434+CJ435*CI435)</f>
        <v>11.108228507058708</v>
      </c>
      <c r="CK436" s="4">
        <f>1/Base[[#This Row],['[Prod']'[Turnover']DMC_initiale]]</f>
        <v>9.0909090909090912E-2</v>
      </c>
      <c r="CL436" s="4">
        <f>1/Base[[#This Row],['[Prod']'[Turnover']DMC_finale]]</f>
        <v>9.0023355151953477E-2</v>
      </c>
    </row>
    <row r="437" spans="2:90" x14ac:dyDescent="0.25">
      <c r="B437" s="4" t="s">
        <v>321</v>
      </c>
      <c r="C437">
        <v>15</v>
      </c>
      <c r="D437" t="s">
        <v>83</v>
      </c>
      <c r="E437" t="s">
        <v>59</v>
      </c>
      <c r="F437" s="3">
        <v>0.24115255943805147</v>
      </c>
      <c r="G437" s="3">
        <v>1.7864082739021815E-3</v>
      </c>
      <c r="H437" s="3">
        <v>1.7864082739021815E-3</v>
      </c>
      <c r="I437" s="3">
        <v>0</v>
      </c>
      <c r="J437" s="3">
        <v>0</v>
      </c>
      <c r="K437" s="3">
        <v>7.0000000000000007E-2</v>
      </c>
      <c r="L437" s="2">
        <f>Base[[#This Row],[Coût]]*Base[[#This Row],[Part_ménages_dépenses_santé]]</f>
        <v>0</v>
      </c>
      <c r="M437" s="2">
        <v>0</v>
      </c>
      <c r="N437" s="6">
        <v>27700000</v>
      </c>
      <c r="O437" s="7">
        <f>Base[[#This Row],[Coût_salarié]]*10^9*Base[[#This Row],[Risque]]*Base[[#This Row],[Prévalence]]*Base[[#This Row],[Part_coûts_salarié]]/Base[[#This Row],[Population_emploi]]</f>
        <v>0</v>
      </c>
      <c r="P437">
        <v>50</v>
      </c>
      <c r="Q437">
        <v>50</v>
      </c>
      <c r="R437" s="2">
        <v>9.9999999999999978E-2</v>
      </c>
      <c r="S437" s="2">
        <v>0.33340000000000003</v>
      </c>
      <c r="T437" s="4">
        <v>0</v>
      </c>
      <c r="U437" s="4">
        <f>IF(Bases_annexes!$F$5=0,16.6587111018772,0.77*Bases_annexes!$F$5/(IF(OR(ISBLANK('Données_d''entrée'!$E$44),'Données_d''entrée'!$E$44=0),35,'Données_d''entrée'!$E$44)*52))</f>
        <v>16.658711101877199</v>
      </c>
      <c r="V437" s="4">
        <v>0</v>
      </c>
      <c r="W4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7" s="4">
        <v>234.5</v>
      </c>
      <c r="Y437" s="4">
        <f>(Base[[#This Row],['[Maladies']Coûts_évités_par_salarié]]+Base[[#This Row],['[Travail']Coûts_évités_par_salarié]])/Base[[#This Row],[Budget_santé_salarié]]</f>
        <v>0</v>
      </c>
      <c r="Z437" s="4">
        <v>0.8</v>
      </c>
      <c r="AA437" s="4">
        <f>Base[[#This Row],[Coût]]*Base[[#This Row],[Part_société_dépenses_santé]]</f>
        <v>0</v>
      </c>
      <c r="AB437" s="4">
        <v>67635124</v>
      </c>
      <c r="AC437" s="4">
        <v>82.297079063317852</v>
      </c>
      <c r="AD437" s="4">
        <v>0</v>
      </c>
      <c r="AE437" s="4">
        <f>Base[[#This Row],['[SC']Prévalence_travail]]*Base[[#This Row],[Population_emploi]]</f>
        <v>0</v>
      </c>
      <c r="AF437" s="4">
        <f>Base[[#This Row],[Risque]]*Base[[#This Row],['[SC']Patients_en_emploi]]</f>
        <v>0</v>
      </c>
      <c r="AG437" s="4">
        <v>0</v>
      </c>
      <c r="AH437" s="4">
        <f>IFERROR(Base[[#This Row],['[SC']Prestations]]/Base[[#This Row],['[SC']Patients_en_emploi]],0)</f>
        <v>0</v>
      </c>
      <c r="AI437" s="4">
        <v>51.7</v>
      </c>
      <c r="AJ4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7" s="4">
        <f>Base[[#This Row],['[SC']'[Travail']Coûts_évités]]/Base[[#This Row],[Population_emploi]]</f>
        <v>0</v>
      </c>
      <c r="AL437" s="4">
        <f>Base[[#This Row],[Coût_société]]*10^9*Base[[#This Row],[Risque]]*Base[[#This Row],[Prévalence]]*Base[[#This Row],[Part_coûts_salarié]]/Base[[#This Row],[Population_emploi]]</f>
        <v>0</v>
      </c>
      <c r="AM437" s="4">
        <f>IF(Base[[#This Row],[Pathologie]]&lt;&gt;"Dépendance",0,14909.24243952)</f>
        <v>0</v>
      </c>
      <c r="AN437" s="4">
        <f>IF(Base[[#This Row],[Pathologie]]&lt;&gt;"Dépendance",0,1316000)</f>
        <v>0</v>
      </c>
      <c r="AO437" s="4">
        <f>IF(Base[[#This Row],[Pathologie]]&lt;&gt;"Dépendance",0,Base[[#This Row],['[SC']Coût_personne_dépendante]]*Base[[#This Row],['[SC']Nb_personnes_dépendantes]])</f>
        <v>0</v>
      </c>
      <c r="AP437" s="4">
        <f>IF(Base[[#This Row],[Pathologie]]&lt;&gt;"Dépendance",0,Base[[#This Row],['[SC']Coût_total_dépendance]]/Base[[#This Row],[Population_totale]])</f>
        <v>0</v>
      </c>
      <c r="AQ437" s="4">
        <f>IF(Base[[#This Row],[Pathologie]]&lt;&gt;"Dépendance",0,4.5)</f>
        <v>0</v>
      </c>
      <c r="AR437" s="4">
        <v>0.83987615528424797</v>
      </c>
      <c r="AS437" s="4">
        <f>Base[[#This Row],[Espérance_vie]]+Base[[#This Row],['[SC']Hausse_esp_de_vie]]-Base[[#This Row],['[SC']Durée_moyenne_dépendance_avt]]+Base[[#This Row],[Risque]]</f>
        <v>83.378107778040146</v>
      </c>
      <c r="AT4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7" s="4">
        <v>62.9</v>
      </c>
      <c r="AW437" s="4">
        <f t="shared" si="10"/>
        <v>336905600000</v>
      </c>
      <c r="AX437" s="4">
        <v>15049171</v>
      </c>
      <c r="AY437" s="4">
        <f>Base[[#This Row],['[SC']Budget_total_retraites]]/Base[[#This Row],['[SC']Nombre_de_retraités]]</f>
        <v>22386.987296509556</v>
      </c>
      <c r="AZ437" s="4">
        <f>Base[[#This Row],['[SC']Budget_par_retraité]]*Base[[#This Row],['[SC']Nb_personnes_dépendantes]]</f>
        <v>0</v>
      </c>
      <c r="BA437" s="4">
        <f>Base[[#This Row],['[SC']'[Dépendance']Coût_retraite_personnes_dépendantes]]/Base[[#This Row],[Population_totale]]</f>
        <v>0</v>
      </c>
      <c r="BB4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7" s="4">
        <f>Base[[#This Row],['[SC']'[Dépendance']Gains]]-Base[[#This Row],['[SC']'[Dépendance']Coûts]]</f>
        <v>0</v>
      </c>
      <c r="BD437" s="4">
        <f>IF(Base[[#This Row],[Pathologie]]&lt;&gt;"Mort prématurée",0,Base[[#This Row],[Risque]]*Base[[#This Row],[Prévalence]]*Base[[#This Row],[Population_totale]])</f>
        <v>29137.003607090672</v>
      </c>
      <c r="BE437" s="4">
        <v>52.74</v>
      </c>
      <c r="BF437" s="4">
        <f>Base[[#This Row],['[SC']Âge_moyen_retraite]]-Base[[#This Row],['[SC']'[Mort_prématurée']Âge_moyen_mort précoce]]</f>
        <v>10.159999999999997</v>
      </c>
      <c r="BG437" s="4">
        <f>Base[[#This Row],[Espérance_vie]]+Base[[#This Row],['[SC']Hausse_esp_de_vie]]-Base[[#This Row],['[SC']Âge_moyen_retraite]]</f>
        <v>20.236955218602098</v>
      </c>
      <c r="BH437" s="4">
        <v>106583.42676924677</v>
      </c>
      <c r="BI437" s="4">
        <v>97601.789429271477</v>
      </c>
      <c r="BJ437" s="4">
        <v>302038.31496633729</v>
      </c>
      <c r="BK437" s="4">
        <v>117293.58934859755</v>
      </c>
      <c r="BL437" s="4">
        <v>1523999.9999999995</v>
      </c>
      <c r="BM4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7" s="4">
        <v>294804.96027377353</v>
      </c>
      <c r="BO4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7" s="4">
        <f>(Base[[#This Row],['[SC']'[Mort_prématurée']Gains]]-Base[[#This Row],['[SC']'[Mort_prématurée']Coûts]])/Base[[#This Row],[Population_totale]]</f>
        <v>26.257324141376316</v>
      </c>
      <c r="BQ437" s="4">
        <f>IF(Base[[#This Row],[Pathologie]]&lt;&gt;"Mort prématurée",0,Base[[#This Row],[Risque]])</f>
        <v>0.24115255943805147</v>
      </c>
      <c r="BR437" s="4">
        <v>2680</v>
      </c>
      <c r="BS4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7" s="4">
        <f>Base[[#This Row],[Prévalence_prod]]*(1-Base[[#This Row],[Risque]])*Base[[#This Row],[Durée_arrêt]]*Base[[#This Row],[Population_emploi]]</f>
        <v>0</v>
      </c>
      <c r="BV437" s="4">
        <f>Base[[#This Row],['[Prod']'[Absentéisme']Total_jours_absence_avant]]-Base[[#This Row],['[Prod']'[Absentéisme']Total_jours_absence_après]]</f>
        <v>0</v>
      </c>
      <c r="BW437" s="4">
        <f>IF(AND(Base[[#This Row],[Pathologie]]&lt;&gt;"Dépendance",Base[[#This Row],[Pathologie]]&lt;&gt;"Mort prématurée",Base[[#This Row],[Pathologie]]&lt;&gt;"Migraine"),0.0619,0)</f>
        <v>0</v>
      </c>
      <c r="BX437" s="4">
        <v>254</v>
      </c>
      <c r="BY43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7" s="4">
        <f>Base[[#This Row],[Prévalence_prod]]*Base[[#This Row],[Présentéisme]]*Base[[#This Row],['[Prod']Jours_ouvrés]]</f>
        <v>0</v>
      </c>
      <c r="CB437" s="4">
        <f>Base[[#This Row],[Prévalence_prod]]*(1-Base[[#This Row],[Risque]])*Base[[#This Row],[Présentéisme]]*Base[[#This Row],['[Prod']Jours_ouvrés]]</f>
        <v>0</v>
      </c>
      <c r="CC437" s="4">
        <f>Base[[#This Row],['[Prod']'[Présentéisme']Jours_avant]]-Base[[#This Row],['[Prod']'[Présentéisme']Jours_après]]</f>
        <v>0</v>
      </c>
      <c r="CD437" s="4">
        <f>Base[[#This Row],['[Prod']'[Présentéisme']Jours_gagnés]]/Base[[#This Row],['[Prod']Jours_ouvrés]]</f>
        <v>0</v>
      </c>
      <c r="CE437">
        <v>7.5880726467531134E-2</v>
      </c>
      <c r="CF437">
        <v>1.989821358241517E-2</v>
      </c>
      <c r="CG437" s="4">
        <v>11</v>
      </c>
      <c r="CH437" s="4">
        <v>0.85274500894619554</v>
      </c>
      <c r="CI437" s="4">
        <v>4.2903496994109176E-2</v>
      </c>
      <c r="CJ437" s="4">
        <f>IF(Base[[#This Row],[Secteur]]&lt;&gt;"Moyenne",Base[[#This Row],['[Prod']'[Turnover']DMC_initiale]]*(1+Base[[#This Row],['[Prod']'[Turnover']Ecart_accidents]]*Base[[#This Row],['[Prod']Impact_motifs_turnover]]),CJ420*CI420+CJ421*CI421+CJ422*CI422+CJ423*CI423+CJ424*CI424+CJ425*CI425+CJ426*CI426+CJ427*CI427+CJ428*CI428+CJ429*CI429+CJ430*CI430+CJ431*CI431+CJ432*CI432+CJ433*CI433+CJ434*CI434+CJ435*CI435+CJ436*CI436)</f>
        <v>11.186649125512849</v>
      </c>
      <c r="CK437" s="4">
        <f>1/Base[[#This Row],['[Prod']'[Turnover']DMC_initiale]]</f>
        <v>9.0909090909090912E-2</v>
      </c>
      <c r="CL437" s="4">
        <f>1/Base[[#This Row],['[Prod']'[Turnover']DMC_finale]]</f>
        <v>8.9392273663017496E-2</v>
      </c>
    </row>
    <row r="438" spans="2:90" x14ac:dyDescent="0.25">
      <c r="B438" s="4" t="s">
        <v>322</v>
      </c>
      <c r="C438">
        <v>15</v>
      </c>
      <c r="D438" t="s">
        <v>83</v>
      </c>
      <c r="E438" t="s">
        <v>59</v>
      </c>
      <c r="F438" s="3">
        <v>0.24115255943805147</v>
      </c>
      <c r="G438" s="3">
        <v>1.7864082739021815E-3</v>
      </c>
      <c r="H438" s="3">
        <v>1.7864082739021815E-3</v>
      </c>
      <c r="I438" s="3">
        <v>0</v>
      </c>
      <c r="J438" s="3">
        <v>0</v>
      </c>
      <c r="K438" s="3">
        <v>7.0000000000000007E-2</v>
      </c>
      <c r="L438" s="2">
        <f>Base[[#This Row],[Coût]]*Base[[#This Row],[Part_ménages_dépenses_santé]]</f>
        <v>0</v>
      </c>
      <c r="M438" s="2">
        <v>0</v>
      </c>
      <c r="N438" s="6">
        <v>27700000</v>
      </c>
      <c r="O438" s="7">
        <f>Base[[#This Row],[Coût_salarié]]*10^9*Base[[#This Row],[Risque]]*Base[[#This Row],[Prévalence]]*Base[[#This Row],[Part_coûts_salarié]]/Base[[#This Row],[Population_emploi]]</f>
        <v>0</v>
      </c>
      <c r="P438">
        <v>50</v>
      </c>
      <c r="Q438">
        <v>50</v>
      </c>
      <c r="R438" s="2">
        <v>9.9999999999999978E-2</v>
      </c>
      <c r="S438" s="2">
        <v>0.33340000000000003</v>
      </c>
      <c r="T438" s="4">
        <v>0</v>
      </c>
      <c r="U438" s="4">
        <f>IF(Bases_annexes!$F$5=0,16.6587111018772,0.77*Bases_annexes!$F$5/(IF(OR(ISBLANK('Données_d''entrée'!$E$44),'Données_d''entrée'!$E$44=0),35,'Données_d''entrée'!$E$44)*52))</f>
        <v>16.658711101877199</v>
      </c>
      <c r="V438" s="4">
        <v>0</v>
      </c>
      <c r="W4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8" s="4">
        <v>234.5</v>
      </c>
      <c r="Y438" s="4">
        <f>(Base[[#This Row],['[Maladies']Coûts_évités_par_salarié]]+Base[[#This Row],['[Travail']Coûts_évités_par_salarié]])/Base[[#This Row],[Budget_santé_salarié]]</f>
        <v>0</v>
      </c>
      <c r="Z438" s="4">
        <v>0.8</v>
      </c>
      <c r="AA438" s="4">
        <f>Base[[#This Row],[Coût]]*Base[[#This Row],[Part_société_dépenses_santé]]</f>
        <v>0</v>
      </c>
      <c r="AB438" s="4">
        <v>67635124</v>
      </c>
      <c r="AC438" s="4">
        <v>82.297079063317852</v>
      </c>
      <c r="AD438" s="4">
        <v>0</v>
      </c>
      <c r="AE438" s="4">
        <f>Base[[#This Row],['[SC']Prévalence_travail]]*Base[[#This Row],[Population_emploi]]</f>
        <v>0</v>
      </c>
      <c r="AF438" s="4">
        <f>Base[[#This Row],[Risque]]*Base[[#This Row],['[SC']Patients_en_emploi]]</f>
        <v>0</v>
      </c>
      <c r="AG438" s="4">
        <v>0</v>
      </c>
      <c r="AH438" s="4">
        <f>IFERROR(Base[[#This Row],['[SC']Prestations]]/Base[[#This Row],['[SC']Patients_en_emploi]],0)</f>
        <v>0</v>
      </c>
      <c r="AI438" s="4">
        <v>51.7</v>
      </c>
      <c r="AJ4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8" s="4">
        <f>Base[[#This Row],['[SC']'[Travail']Coûts_évités]]/Base[[#This Row],[Population_emploi]]</f>
        <v>0</v>
      </c>
      <c r="AL438" s="4">
        <f>Base[[#This Row],[Coût_société]]*10^9*Base[[#This Row],[Risque]]*Base[[#This Row],[Prévalence]]*Base[[#This Row],[Part_coûts_salarié]]/Base[[#This Row],[Population_emploi]]</f>
        <v>0</v>
      </c>
      <c r="AM438" s="4">
        <f>IF(Base[[#This Row],[Pathologie]]&lt;&gt;"Dépendance",0,14909.24243952)</f>
        <v>0</v>
      </c>
      <c r="AN438" s="4">
        <f>IF(Base[[#This Row],[Pathologie]]&lt;&gt;"Dépendance",0,1316000)</f>
        <v>0</v>
      </c>
      <c r="AO438" s="4">
        <f>IF(Base[[#This Row],[Pathologie]]&lt;&gt;"Dépendance",0,Base[[#This Row],['[SC']Coût_personne_dépendante]]*Base[[#This Row],['[SC']Nb_personnes_dépendantes]])</f>
        <v>0</v>
      </c>
      <c r="AP438" s="4">
        <f>IF(Base[[#This Row],[Pathologie]]&lt;&gt;"Dépendance",0,Base[[#This Row],['[SC']Coût_total_dépendance]]/Base[[#This Row],[Population_totale]])</f>
        <v>0</v>
      </c>
      <c r="AQ438" s="4">
        <f>IF(Base[[#This Row],[Pathologie]]&lt;&gt;"Dépendance",0,4.5)</f>
        <v>0</v>
      </c>
      <c r="AR438" s="4">
        <v>0.83987615528424797</v>
      </c>
      <c r="AS438" s="4">
        <f>Base[[#This Row],[Espérance_vie]]+Base[[#This Row],['[SC']Hausse_esp_de_vie]]-Base[[#This Row],['[SC']Durée_moyenne_dépendance_avt]]+Base[[#This Row],[Risque]]</f>
        <v>83.378107778040146</v>
      </c>
      <c r="AT4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8" s="4">
        <v>62.9</v>
      </c>
      <c r="AW438" s="4">
        <f t="shared" si="10"/>
        <v>336905600000</v>
      </c>
      <c r="AX438" s="4">
        <v>15049171</v>
      </c>
      <c r="AY438" s="4">
        <f>Base[[#This Row],['[SC']Budget_total_retraites]]/Base[[#This Row],['[SC']Nombre_de_retraités]]</f>
        <v>22386.987296509556</v>
      </c>
      <c r="AZ438" s="4">
        <f>Base[[#This Row],['[SC']Budget_par_retraité]]*Base[[#This Row],['[SC']Nb_personnes_dépendantes]]</f>
        <v>0</v>
      </c>
      <c r="BA438" s="4">
        <f>Base[[#This Row],['[SC']'[Dépendance']Coût_retraite_personnes_dépendantes]]/Base[[#This Row],[Population_totale]]</f>
        <v>0</v>
      </c>
      <c r="BB4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8" s="4">
        <f>Base[[#This Row],['[SC']'[Dépendance']Gains]]-Base[[#This Row],['[SC']'[Dépendance']Coûts]]</f>
        <v>0</v>
      </c>
      <c r="BD438" s="4">
        <f>IF(Base[[#This Row],[Pathologie]]&lt;&gt;"Mort prématurée",0,Base[[#This Row],[Risque]]*Base[[#This Row],[Prévalence]]*Base[[#This Row],[Population_totale]])</f>
        <v>29137.003607090672</v>
      </c>
      <c r="BE438" s="4">
        <v>52.74</v>
      </c>
      <c r="BF438" s="4">
        <f>Base[[#This Row],['[SC']Âge_moyen_retraite]]-Base[[#This Row],['[SC']'[Mort_prématurée']Âge_moyen_mort précoce]]</f>
        <v>10.159999999999997</v>
      </c>
      <c r="BG438" s="4">
        <f>Base[[#This Row],[Espérance_vie]]+Base[[#This Row],['[SC']Hausse_esp_de_vie]]-Base[[#This Row],['[SC']Âge_moyen_retraite]]</f>
        <v>20.236955218602098</v>
      </c>
      <c r="BH438" s="4">
        <v>106583.42676924677</v>
      </c>
      <c r="BI438" s="4">
        <v>97601.789429271477</v>
      </c>
      <c r="BJ438" s="4">
        <v>302038.31496633729</v>
      </c>
      <c r="BK438" s="4">
        <v>117293.58934859755</v>
      </c>
      <c r="BL438" s="4">
        <v>1523999.9999999995</v>
      </c>
      <c r="BM4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8" s="4">
        <v>294804.96027377353</v>
      </c>
      <c r="BO4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8" s="4">
        <f>(Base[[#This Row],['[SC']'[Mort_prématurée']Gains]]-Base[[#This Row],['[SC']'[Mort_prématurée']Coûts]])/Base[[#This Row],[Population_totale]]</f>
        <v>26.257324141376316</v>
      </c>
      <c r="BQ438" s="4">
        <f>IF(Base[[#This Row],[Pathologie]]&lt;&gt;"Mort prématurée",0,Base[[#This Row],[Risque]])</f>
        <v>0.24115255943805147</v>
      </c>
      <c r="BR438" s="4">
        <v>2680</v>
      </c>
      <c r="BS4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8" s="4">
        <f>Base[[#This Row],[Prévalence_prod]]*(1-Base[[#This Row],[Risque]])*Base[[#This Row],[Durée_arrêt]]*Base[[#This Row],[Population_emploi]]</f>
        <v>0</v>
      </c>
      <c r="BV438" s="4">
        <f>Base[[#This Row],['[Prod']'[Absentéisme']Total_jours_absence_avant]]-Base[[#This Row],['[Prod']'[Absentéisme']Total_jours_absence_après]]</f>
        <v>0</v>
      </c>
      <c r="BW438" s="4">
        <f>IF(AND(Base[[#This Row],[Pathologie]]&lt;&gt;"Dépendance",Base[[#This Row],[Pathologie]]&lt;&gt;"Mort prématurée",Base[[#This Row],[Pathologie]]&lt;&gt;"Migraine"),0.0619,0)</f>
        <v>0</v>
      </c>
      <c r="BX438" s="4">
        <v>254</v>
      </c>
      <c r="BY43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8" s="4">
        <f>Base[[#This Row],[Prévalence_prod]]*Base[[#This Row],[Présentéisme]]*Base[[#This Row],['[Prod']Jours_ouvrés]]</f>
        <v>0</v>
      </c>
      <c r="CB438" s="4">
        <f>Base[[#This Row],[Prévalence_prod]]*(1-Base[[#This Row],[Risque]])*Base[[#This Row],[Présentéisme]]*Base[[#This Row],['[Prod']Jours_ouvrés]]</f>
        <v>0</v>
      </c>
      <c r="CC438" s="4">
        <f>Base[[#This Row],['[Prod']'[Présentéisme']Jours_avant]]-Base[[#This Row],['[Prod']'[Présentéisme']Jours_après]]</f>
        <v>0</v>
      </c>
      <c r="CD438" s="4">
        <f>Base[[#This Row],['[Prod']'[Présentéisme']Jours_gagnés]]/Base[[#This Row],['[Prod']Jours_ouvrés]]</f>
        <v>0</v>
      </c>
      <c r="CE438">
        <v>7.5880726467531134E-2</v>
      </c>
      <c r="CF438">
        <v>1.989821358241517E-2</v>
      </c>
      <c r="CG438" s="4">
        <v>11</v>
      </c>
      <c r="CH438" s="4">
        <v>1.6219398392978641</v>
      </c>
      <c r="CI438" s="4">
        <v>9.628527536862988E-2</v>
      </c>
      <c r="CJ438" s="4">
        <f>IF(Base[[#This Row],[Secteur]]&lt;&gt;"Moyenne",Base[[#This Row],['[Prod']'[Turnover']DMC_initiale]]*(1+Base[[#This Row],['[Prod']'[Turnover']Ecart_accidents]]*Base[[#This Row],['[Prod']Impact_motifs_turnover]]),CJ421*CI421+CJ422*CI422+CJ423*CI423+CJ424*CI424+CJ425*CI425+CJ426*CI426+CJ427*CI427+CJ428*CI428+CJ429*CI429+CJ430*CI430+CJ431*CI431+CJ432*CI432+CJ433*CI433+CJ434*CI434+CJ435*CI435+CJ436*CI436+CJ437*CI437)</f>
        <v>11.355010758741946</v>
      </c>
      <c r="CK438" s="4">
        <f>1/Base[[#This Row],['[Prod']'[Turnover']DMC_initiale]]</f>
        <v>9.0909090909090912E-2</v>
      </c>
      <c r="CL438" s="4">
        <f>1/Base[[#This Row],['[Prod']'[Turnover']DMC_finale]]</f>
        <v>8.8066847425056327E-2</v>
      </c>
    </row>
    <row r="439" spans="2:90" x14ac:dyDescent="0.25">
      <c r="B439" s="4" t="s">
        <v>323</v>
      </c>
      <c r="C439">
        <v>15</v>
      </c>
      <c r="D439" t="s">
        <v>83</v>
      </c>
      <c r="E439" t="s">
        <v>59</v>
      </c>
      <c r="F439" s="3">
        <v>0.24115255943805147</v>
      </c>
      <c r="G439" s="3">
        <v>1.7864082739021815E-3</v>
      </c>
      <c r="H439" s="3">
        <v>1.7864082739021815E-3</v>
      </c>
      <c r="I439" s="3">
        <v>0</v>
      </c>
      <c r="J439" s="3">
        <v>0</v>
      </c>
      <c r="K439" s="3">
        <v>7.0000000000000007E-2</v>
      </c>
      <c r="L439" s="2">
        <f>Base[[#This Row],[Coût]]*Base[[#This Row],[Part_ménages_dépenses_santé]]</f>
        <v>0</v>
      </c>
      <c r="M439" s="2">
        <v>0</v>
      </c>
      <c r="N439" s="6">
        <v>27700000</v>
      </c>
      <c r="O439" s="7">
        <f>Base[[#This Row],[Coût_salarié]]*10^9*Base[[#This Row],[Risque]]*Base[[#This Row],[Prévalence]]*Base[[#This Row],[Part_coûts_salarié]]/Base[[#This Row],[Population_emploi]]</f>
        <v>0</v>
      </c>
      <c r="P439">
        <v>50</v>
      </c>
      <c r="Q439">
        <v>50</v>
      </c>
      <c r="R439" s="2">
        <v>9.9999999999999978E-2</v>
      </c>
      <c r="S439" s="2">
        <v>0.33340000000000003</v>
      </c>
      <c r="T439" s="4">
        <v>0</v>
      </c>
      <c r="U439" s="4">
        <f>IF(Bases_annexes!$F$5=0,16.6587111018772,0.77*Bases_annexes!$F$5/(IF(OR(ISBLANK('Données_d''entrée'!$E$44),'Données_d''entrée'!$E$44=0),35,'Données_d''entrée'!$E$44)*52))</f>
        <v>16.658711101877199</v>
      </c>
      <c r="V439" s="4">
        <v>0</v>
      </c>
      <c r="W4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39" s="4">
        <v>234.5</v>
      </c>
      <c r="Y439" s="4">
        <f>(Base[[#This Row],['[Maladies']Coûts_évités_par_salarié]]+Base[[#This Row],['[Travail']Coûts_évités_par_salarié]])/Base[[#This Row],[Budget_santé_salarié]]</f>
        <v>0</v>
      </c>
      <c r="Z439" s="4">
        <v>0.8</v>
      </c>
      <c r="AA439" s="4">
        <f>Base[[#This Row],[Coût]]*Base[[#This Row],[Part_société_dépenses_santé]]</f>
        <v>0</v>
      </c>
      <c r="AB439" s="4">
        <v>67635124</v>
      </c>
      <c r="AC439" s="4">
        <v>82.297079063317852</v>
      </c>
      <c r="AD439" s="4">
        <v>0</v>
      </c>
      <c r="AE439" s="4">
        <f>Base[[#This Row],['[SC']Prévalence_travail]]*Base[[#This Row],[Population_emploi]]</f>
        <v>0</v>
      </c>
      <c r="AF439" s="4">
        <f>Base[[#This Row],[Risque]]*Base[[#This Row],['[SC']Patients_en_emploi]]</f>
        <v>0</v>
      </c>
      <c r="AG439" s="4">
        <v>0</v>
      </c>
      <c r="AH439" s="4">
        <f>IFERROR(Base[[#This Row],['[SC']Prestations]]/Base[[#This Row],['[SC']Patients_en_emploi]],0)</f>
        <v>0</v>
      </c>
      <c r="AI439" s="4">
        <v>51.7</v>
      </c>
      <c r="AJ4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39" s="4">
        <f>Base[[#This Row],['[SC']'[Travail']Coûts_évités]]/Base[[#This Row],[Population_emploi]]</f>
        <v>0</v>
      </c>
      <c r="AL439" s="4">
        <f>Base[[#This Row],[Coût_société]]*10^9*Base[[#This Row],[Risque]]*Base[[#This Row],[Prévalence]]*Base[[#This Row],[Part_coûts_salarié]]/Base[[#This Row],[Population_emploi]]</f>
        <v>0</v>
      </c>
      <c r="AM439" s="4">
        <f>IF(Base[[#This Row],[Pathologie]]&lt;&gt;"Dépendance",0,14909.24243952)</f>
        <v>0</v>
      </c>
      <c r="AN439" s="4">
        <f>IF(Base[[#This Row],[Pathologie]]&lt;&gt;"Dépendance",0,1316000)</f>
        <v>0</v>
      </c>
      <c r="AO439" s="4">
        <f>IF(Base[[#This Row],[Pathologie]]&lt;&gt;"Dépendance",0,Base[[#This Row],['[SC']Coût_personne_dépendante]]*Base[[#This Row],['[SC']Nb_personnes_dépendantes]])</f>
        <v>0</v>
      </c>
      <c r="AP439" s="4">
        <f>IF(Base[[#This Row],[Pathologie]]&lt;&gt;"Dépendance",0,Base[[#This Row],['[SC']Coût_total_dépendance]]/Base[[#This Row],[Population_totale]])</f>
        <v>0</v>
      </c>
      <c r="AQ439" s="4">
        <f>IF(Base[[#This Row],[Pathologie]]&lt;&gt;"Dépendance",0,4.5)</f>
        <v>0</v>
      </c>
      <c r="AR439" s="4">
        <v>0.83987615528424797</v>
      </c>
      <c r="AS439" s="4">
        <f>Base[[#This Row],[Espérance_vie]]+Base[[#This Row],['[SC']Hausse_esp_de_vie]]-Base[[#This Row],['[SC']Durée_moyenne_dépendance_avt]]+Base[[#This Row],[Risque]]</f>
        <v>83.378107778040146</v>
      </c>
      <c r="AT4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39" s="4">
        <v>62.9</v>
      </c>
      <c r="AW439" s="4">
        <f t="shared" si="10"/>
        <v>336905600000</v>
      </c>
      <c r="AX439" s="4">
        <v>15049171</v>
      </c>
      <c r="AY439" s="4">
        <f>Base[[#This Row],['[SC']Budget_total_retraites]]/Base[[#This Row],['[SC']Nombre_de_retraités]]</f>
        <v>22386.987296509556</v>
      </c>
      <c r="AZ439" s="4">
        <f>Base[[#This Row],['[SC']Budget_par_retraité]]*Base[[#This Row],['[SC']Nb_personnes_dépendantes]]</f>
        <v>0</v>
      </c>
      <c r="BA439" s="4">
        <f>Base[[#This Row],['[SC']'[Dépendance']Coût_retraite_personnes_dépendantes]]/Base[[#This Row],[Population_totale]]</f>
        <v>0</v>
      </c>
      <c r="BB4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39" s="4">
        <f>Base[[#This Row],['[SC']'[Dépendance']Gains]]-Base[[#This Row],['[SC']'[Dépendance']Coûts]]</f>
        <v>0</v>
      </c>
      <c r="BD439" s="4">
        <f>IF(Base[[#This Row],[Pathologie]]&lt;&gt;"Mort prématurée",0,Base[[#This Row],[Risque]]*Base[[#This Row],[Prévalence]]*Base[[#This Row],[Population_totale]])</f>
        <v>29137.003607090672</v>
      </c>
      <c r="BE439" s="4">
        <v>52.74</v>
      </c>
      <c r="BF439" s="4">
        <f>Base[[#This Row],['[SC']Âge_moyen_retraite]]-Base[[#This Row],['[SC']'[Mort_prématurée']Âge_moyen_mort précoce]]</f>
        <v>10.159999999999997</v>
      </c>
      <c r="BG439" s="4">
        <f>Base[[#This Row],[Espérance_vie]]+Base[[#This Row],['[SC']Hausse_esp_de_vie]]-Base[[#This Row],['[SC']Âge_moyen_retraite]]</f>
        <v>20.236955218602098</v>
      </c>
      <c r="BH439" s="4">
        <v>106583.42676924677</v>
      </c>
      <c r="BI439" s="4">
        <v>97601.789429271477</v>
      </c>
      <c r="BJ439" s="4">
        <v>302038.31496633729</v>
      </c>
      <c r="BK439" s="4">
        <v>117293.58934859755</v>
      </c>
      <c r="BL439" s="4">
        <v>1523999.9999999995</v>
      </c>
      <c r="BM4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39" s="4">
        <v>294804.96027377353</v>
      </c>
      <c r="BO4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39" s="4">
        <f>(Base[[#This Row],['[SC']'[Mort_prématurée']Gains]]-Base[[#This Row],['[SC']'[Mort_prématurée']Coûts]])/Base[[#This Row],[Population_totale]]</f>
        <v>26.257324141376316</v>
      </c>
      <c r="BQ439" s="4">
        <f>IF(Base[[#This Row],[Pathologie]]&lt;&gt;"Mort prématurée",0,Base[[#This Row],[Risque]])</f>
        <v>0.24115255943805147</v>
      </c>
      <c r="BR439" s="4">
        <v>2680</v>
      </c>
      <c r="BS4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39" s="4">
        <f>Base[[#This Row],[Prévalence_prod]]*(1-Base[[#This Row],[Risque]])*Base[[#This Row],[Durée_arrêt]]*Base[[#This Row],[Population_emploi]]</f>
        <v>0</v>
      </c>
      <c r="BV439" s="4">
        <f>Base[[#This Row],['[Prod']'[Absentéisme']Total_jours_absence_avant]]-Base[[#This Row],['[Prod']'[Absentéisme']Total_jours_absence_après]]</f>
        <v>0</v>
      </c>
      <c r="BW439" s="4">
        <f>IF(AND(Base[[#This Row],[Pathologie]]&lt;&gt;"Dépendance",Base[[#This Row],[Pathologie]]&lt;&gt;"Mort prématurée",Base[[#This Row],[Pathologie]]&lt;&gt;"Migraine"),0.0619,0)</f>
        <v>0</v>
      </c>
      <c r="BX439" s="4">
        <v>254</v>
      </c>
      <c r="BY43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3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39" s="4">
        <f>Base[[#This Row],[Prévalence_prod]]*Base[[#This Row],[Présentéisme]]*Base[[#This Row],['[Prod']Jours_ouvrés]]</f>
        <v>0</v>
      </c>
      <c r="CB439" s="4">
        <f>Base[[#This Row],[Prévalence_prod]]*(1-Base[[#This Row],[Risque]])*Base[[#This Row],[Présentéisme]]*Base[[#This Row],['[Prod']Jours_ouvrés]]</f>
        <v>0</v>
      </c>
      <c r="CC439" s="4">
        <f>Base[[#This Row],['[Prod']'[Présentéisme']Jours_avant]]-Base[[#This Row],['[Prod']'[Présentéisme']Jours_après]]</f>
        <v>0</v>
      </c>
      <c r="CD439" s="4">
        <f>Base[[#This Row],['[Prod']'[Présentéisme']Jours_gagnés]]/Base[[#This Row],['[Prod']Jours_ouvrés]]</f>
        <v>0</v>
      </c>
      <c r="CE439">
        <v>7.5880726467531134E-2</v>
      </c>
      <c r="CF439">
        <v>1.989821358241517E-2</v>
      </c>
      <c r="CG439" s="4">
        <v>11</v>
      </c>
      <c r="CH439" s="4">
        <v>0.96913802401210614</v>
      </c>
      <c r="CI439" s="4">
        <v>0.10293966445307301</v>
      </c>
      <c r="CJ439" s="4">
        <f>IF(Base[[#This Row],[Secteur]]&lt;&gt;"Moyenne",Base[[#This Row],['[Prod']'[Turnover']DMC_initiale]]*(1+Base[[#This Row],['[Prod']'[Turnover']Ecart_accidents]]*Base[[#This Row],['[Prod']Impact_motifs_turnover]]),CJ422*CI422+CJ423*CI423+CJ424*CI424+CJ425*CI425+CJ426*CI426+CJ427*CI427+CJ428*CI428+CJ429*CI429+CJ430*CI430+CJ431*CI431+CJ432*CI432+CJ433*CI433+CJ434*CI434+CJ435*CI435+CJ436*CI436+CJ437*CI437+CJ438*CI438)</f>
        <v>11.212125269318959</v>
      </c>
      <c r="CK439" s="4">
        <f>1/Base[[#This Row],['[Prod']'[Turnover']DMC_initiale]]</f>
        <v>9.0909090909090912E-2</v>
      </c>
      <c r="CL439" s="4">
        <f>1/Base[[#This Row],['[Prod']'[Turnover']DMC_finale]]</f>
        <v>8.9189156915363429E-2</v>
      </c>
    </row>
    <row r="440" spans="2:90" x14ac:dyDescent="0.25">
      <c r="B440" s="4" t="s">
        <v>324</v>
      </c>
      <c r="C440">
        <v>15</v>
      </c>
      <c r="D440" t="s">
        <v>83</v>
      </c>
      <c r="E440" t="s">
        <v>59</v>
      </c>
      <c r="F440" s="3">
        <v>0.24115255943805147</v>
      </c>
      <c r="G440" s="3">
        <v>1.7864082739021815E-3</v>
      </c>
      <c r="H440" s="3">
        <v>1.7864082739021815E-3</v>
      </c>
      <c r="I440" s="3">
        <v>0</v>
      </c>
      <c r="J440" s="3">
        <v>0</v>
      </c>
      <c r="K440" s="3">
        <v>7.0000000000000007E-2</v>
      </c>
      <c r="L440" s="2">
        <f>Base[[#This Row],[Coût]]*Base[[#This Row],[Part_ménages_dépenses_santé]]</f>
        <v>0</v>
      </c>
      <c r="M440" s="2">
        <v>0</v>
      </c>
      <c r="N440" s="6">
        <v>27700000</v>
      </c>
      <c r="O440" s="7">
        <f>Base[[#This Row],[Coût_salarié]]*10^9*Base[[#This Row],[Risque]]*Base[[#This Row],[Prévalence]]*Base[[#This Row],[Part_coûts_salarié]]/Base[[#This Row],[Population_emploi]]</f>
        <v>0</v>
      </c>
      <c r="P440">
        <v>50</v>
      </c>
      <c r="Q440">
        <v>50</v>
      </c>
      <c r="R440" s="2">
        <v>9.9999999999999978E-2</v>
      </c>
      <c r="S440" s="2">
        <v>0.33340000000000003</v>
      </c>
      <c r="T440" s="4">
        <v>0</v>
      </c>
      <c r="U440" s="4">
        <f>IF(Bases_annexes!$F$5=0,16.6587111018772,0.77*Bases_annexes!$F$5/(IF(OR(ISBLANK('Données_d''entrée'!$E$44),'Données_d''entrée'!$E$44=0),35,'Données_d''entrée'!$E$44)*52))</f>
        <v>16.658711101877199</v>
      </c>
      <c r="V440" s="4">
        <v>0</v>
      </c>
      <c r="W4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0" s="4">
        <v>234.5</v>
      </c>
      <c r="Y440" s="4">
        <f>(Base[[#This Row],['[Maladies']Coûts_évités_par_salarié]]+Base[[#This Row],['[Travail']Coûts_évités_par_salarié]])/Base[[#This Row],[Budget_santé_salarié]]</f>
        <v>0</v>
      </c>
      <c r="Z440" s="4">
        <v>0.8</v>
      </c>
      <c r="AA440" s="4">
        <f>Base[[#This Row],[Coût]]*Base[[#This Row],[Part_société_dépenses_santé]]</f>
        <v>0</v>
      </c>
      <c r="AB440" s="4">
        <v>67635124</v>
      </c>
      <c r="AC440" s="4">
        <v>82.297079063317852</v>
      </c>
      <c r="AD440" s="4">
        <v>0</v>
      </c>
      <c r="AE440" s="4">
        <f>Base[[#This Row],['[SC']Prévalence_travail]]*Base[[#This Row],[Population_emploi]]</f>
        <v>0</v>
      </c>
      <c r="AF440" s="4">
        <f>Base[[#This Row],[Risque]]*Base[[#This Row],['[SC']Patients_en_emploi]]</f>
        <v>0</v>
      </c>
      <c r="AG440" s="4">
        <v>0</v>
      </c>
      <c r="AH440" s="4">
        <f>IFERROR(Base[[#This Row],['[SC']Prestations]]/Base[[#This Row],['[SC']Patients_en_emploi]],0)</f>
        <v>0</v>
      </c>
      <c r="AI440" s="4">
        <v>51.7</v>
      </c>
      <c r="AJ4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0" s="4">
        <f>Base[[#This Row],['[SC']'[Travail']Coûts_évités]]/Base[[#This Row],[Population_emploi]]</f>
        <v>0</v>
      </c>
      <c r="AL440" s="4">
        <f>Base[[#This Row],[Coût_société]]*10^9*Base[[#This Row],[Risque]]*Base[[#This Row],[Prévalence]]*Base[[#This Row],[Part_coûts_salarié]]/Base[[#This Row],[Population_emploi]]</f>
        <v>0</v>
      </c>
      <c r="AM440" s="4">
        <f>IF(Base[[#This Row],[Pathologie]]&lt;&gt;"Dépendance",0,14909.24243952)</f>
        <v>0</v>
      </c>
      <c r="AN440" s="4">
        <f>IF(Base[[#This Row],[Pathologie]]&lt;&gt;"Dépendance",0,1316000)</f>
        <v>0</v>
      </c>
      <c r="AO440" s="4">
        <f>IF(Base[[#This Row],[Pathologie]]&lt;&gt;"Dépendance",0,Base[[#This Row],['[SC']Coût_personne_dépendante]]*Base[[#This Row],['[SC']Nb_personnes_dépendantes]])</f>
        <v>0</v>
      </c>
      <c r="AP440" s="4">
        <f>IF(Base[[#This Row],[Pathologie]]&lt;&gt;"Dépendance",0,Base[[#This Row],['[SC']Coût_total_dépendance]]/Base[[#This Row],[Population_totale]])</f>
        <v>0</v>
      </c>
      <c r="AQ440" s="4">
        <f>IF(Base[[#This Row],[Pathologie]]&lt;&gt;"Dépendance",0,4.5)</f>
        <v>0</v>
      </c>
      <c r="AR440" s="4">
        <v>0.83987615528424797</v>
      </c>
      <c r="AS440" s="4">
        <f>Base[[#This Row],[Espérance_vie]]+Base[[#This Row],['[SC']Hausse_esp_de_vie]]-Base[[#This Row],['[SC']Durée_moyenne_dépendance_avt]]+Base[[#This Row],[Risque]]</f>
        <v>83.378107778040146</v>
      </c>
      <c r="AT4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0" s="4">
        <v>62.9</v>
      </c>
      <c r="AW440" s="4">
        <f t="shared" si="10"/>
        <v>336905600000</v>
      </c>
      <c r="AX440" s="4">
        <v>15049171</v>
      </c>
      <c r="AY440" s="4">
        <f>Base[[#This Row],['[SC']Budget_total_retraites]]/Base[[#This Row],['[SC']Nombre_de_retraités]]</f>
        <v>22386.987296509556</v>
      </c>
      <c r="AZ440" s="4">
        <f>Base[[#This Row],['[SC']Budget_par_retraité]]*Base[[#This Row],['[SC']Nb_personnes_dépendantes]]</f>
        <v>0</v>
      </c>
      <c r="BA440" s="4">
        <f>Base[[#This Row],['[SC']'[Dépendance']Coût_retraite_personnes_dépendantes]]/Base[[#This Row],[Population_totale]]</f>
        <v>0</v>
      </c>
      <c r="BB4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0" s="4">
        <f>Base[[#This Row],['[SC']'[Dépendance']Gains]]-Base[[#This Row],['[SC']'[Dépendance']Coûts]]</f>
        <v>0</v>
      </c>
      <c r="BD440" s="4">
        <f>IF(Base[[#This Row],[Pathologie]]&lt;&gt;"Mort prématurée",0,Base[[#This Row],[Risque]]*Base[[#This Row],[Prévalence]]*Base[[#This Row],[Population_totale]])</f>
        <v>29137.003607090672</v>
      </c>
      <c r="BE440" s="4">
        <v>52.74</v>
      </c>
      <c r="BF440" s="4">
        <f>Base[[#This Row],['[SC']Âge_moyen_retraite]]-Base[[#This Row],['[SC']'[Mort_prématurée']Âge_moyen_mort précoce]]</f>
        <v>10.159999999999997</v>
      </c>
      <c r="BG440" s="4">
        <f>Base[[#This Row],[Espérance_vie]]+Base[[#This Row],['[SC']Hausse_esp_de_vie]]-Base[[#This Row],['[SC']Âge_moyen_retraite]]</f>
        <v>20.236955218602098</v>
      </c>
      <c r="BH440" s="4">
        <v>106583.42676924677</v>
      </c>
      <c r="BI440" s="4">
        <v>97601.789429271477</v>
      </c>
      <c r="BJ440" s="4">
        <v>302038.31496633729</v>
      </c>
      <c r="BK440" s="4">
        <v>117293.58934859755</v>
      </c>
      <c r="BL440" s="4">
        <v>1523999.9999999995</v>
      </c>
      <c r="BM4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0" s="4">
        <v>294804.96027377353</v>
      </c>
      <c r="BO4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0" s="4">
        <f>(Base[[#This Row],['[SC']'[Mort_prématurée']Gains]]-Base[[#This Row],['[SC']'[Mort_prématurée']Coûts]])/Base[[#This Row],[Population_totale]]</f>
        <v>26.257324141376316</v>
      </c>
      <c r="BQ440" s="4">
        <f>IF(Base[[#This Row],[Pathologie]]&lt;&gt;"Mort prématurée",0,Base[[#This Row],[Risque]])</f>
        <v>0.24115255943805147</v>
      </c>
      <c r="BR440" s="4">
        <v>2680</v>
      </c>
      <c r="BS4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0" s="4">
        <f>Base[[#This Row],[Prévalence_prod]]*(1-Base[[#This Row],[Risque]])*Base[[#This Row],[Durée_arrêt]]*Base[[#This Row],[Population_emploi]]</f>
        <v>0</v>
      </c>
      <c r="BV440" s="4">
        <f>Base[[#This Row],['[Prod']'[Absentéisme']Total_jours_absence_avant]]-Base[[#This Row],['[Prod']'[Absentéisme']Total_jours_absence_après]]</f>
        <v>0</v>
      </c>
      <c r="BW440" s="4">
        <f>IF(AND(Base[[#This Row],[Pathologie]]&lt;&gt;"Dépendance",Base[[#This Row],[Pathologie]]&lt;&gt;"Mort prématurée",Base[[#This Row],[Pathologie]]&lt;&gt;"Migraine"),0.0619,0)</f>
        <v>0</v>
      </c>
      <c r="BX440" s="4">
        <v>254</v>
      </c>
      <c r="BY44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0" s="4">
        <f>Base[[#This Row],[Prévalence_prod]]*Base[[#This Row],[Présentéisme]]*Base[[#This Row],['[Prod']Jours_ouvrés]]</f>
        <v>0</v>
      </c>
      <c r="CB440" s="4">
        <f>Base[[#This Row],[Prévalence_prod]]*(1-Base[[#This Row],[Risque]])*Base[[#This Row],[Présentéisme]]*Base[[#This Row],['[Prod']Jours_ouvrés]]</f>
        <v>0</v>
      </c>
      <c r="CC440" s="4">
        <f>Base[[#This Row],['[Prod']'[Présentéisme']Jours_avant]]-Base[[#This Row],['[Prod']'[Présentéisme']Jours_après]]</f>
        <v>0</v>
      </c>
      <c r="CD440" s="4">
        <f>Base[[#This Row],['[Prod']'[Présentéisme']Jours_gagnés]]/Base[[#This Row],['[Prod']Jours_ouvrés]]</f>
        <v>0</v>
      </c>
      <c r="CE440">
        <v>7.5880726467531134E-2</v>
      </c>
      <c r="CF440">
        <v>1.989821358241517E-2</v>
      </c>
      <c r="CG440" s="4">
        <v>11</v>
      </c>
      <c r="CH440" s="4">
        <v>1.3987208237662601</v>
      </c>
      <c r="CI440" s="4">
        <v>2.1768516166491274E-2</v>
      </c>
      <c r="CJ440" s="4">
        <f>IF(Base[[#This Row],[Secteur]]&lt;&gt;"Moyenne",Base[[#This Row],['[Prod']'[Turnover']DMC_initiale]]*(1+Base[[#This Row],['[Prod']'[Turnover']Ecart_accidents]]*Base[[#This Row],['[Prod']Impact_motifs_turnover]]),CJ423*CI423+CJ424*CI424+CJ425*CI425+CJ426*CI426+CJ427*CI427+CJ428*CI428+CJ429*CI429+CJ430*CI430+CJ431*CI431+CJ432*CI432+CJ433*CI433+CJ434*CI434+CJ435*CI435+CJ436*CI436+CJ437*CI437+CJ438*CI438+CJ439*CI439)</f>
        <v>11.306152502628199</v>
      </c>
      <c r="CK440" s="4">
        <f>1/Base[[#This Row],['[Prod']'[Turnover']DMC_initiale]]</f>
        <v>9.0909090909090912E-2</v>
      </c>
      <c r="CL440" s="4">
        <f>1/Base[[#This Row],['[Prod']'[Turnover']DMC_finale]]</f>
        <v>8.8447418320913546E-2</v>
      </c>
    </row>
    <row r="441" spans="2:90" x14ac:dyDescent="0.25">
      <c r="B441" s="4" t="s">
        <v>325</v>
      </c>
      <c r="C441">
        <v>15</v>
      </c>
      <c r="D441" t="s">
        <v>83</v>
      </c>
      <c r="E441" t="s">
        <v>59</v>
      </c>
      <c r="F441" s="3">
        <v>0.24115255943805147</v>
      </c>
      <c r="G441" s="3">
        <v>1.7864082739021815E-3</v>
      </c>
      <c r="H441" s="3">
        <v>1.7864082739021815E-3</v>
      </c>
      <c r="I441" s="3">
        <v>0</v>
      </c>
      <c r="J441" s="3">
        <v>0</v>
      </c>
      <c r="K441" s="3">
        <v>7.0000000000000007E-2</v>
      </c>
      <c r="L441" s="2">
        <f>Base[[#This Row],[Coût]]*Base[[#This Row],[Part_ménages_dépenses_santé]]</f>
        <v>0</v>
      </c>
      <c r="M441" s="2">
        <v>0</v>
      </c>
      <c r="N441" s="6">
        <v>27700000</v>
      </c>
      <c r="O441" s="7">
        <f>Base[[#This Row],[Coût_salarié]]*10^9*Base[[#This Row],[Risque]]*Base[[#This Row],[Prévalence]]*Base[[#This Row],[Part_coûts_salarié]]/Base[[#This Row],[Population_emploi]]</f>
        <v>0</v>
      </c>
      <c r="P441">
        <v>50</v>
      </c>
      <c r="Q441">
        <v>50</v>
      </c>
      <c r="R441" s="2">
        <v>9.9999999999999978E-2</v>
      </c>
      <c r="S441" s="2">
        <v>0.33340000000000003</v>
      </c>
      <c r="T441" s="4">
        <v>0</v>
      </c>
      <c r="U441" s="4">
        <f>IF(Bases_annexes!$F$5=0,16.6587111018772,0.77*Bases_annexes!$F$5/(IF(OR(ISBLANK('Données_d''entrée'!$E$44),'Données_d''entrée'!$E$44=0),35,'Données_d''entrée'!$E$44)*52))</f>
        <v>16.658711101877199</v>
      </c>
      <c r="V441" s="4">
        <v>0</v>
      </c>
      <c r="W4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1" s="4">
        <v>234.5</v>
      </c>
      <c r="Y441" s="4">
        <f>(Base[[#This Row],['[Maladies']Coûts_évités_par_salarié]]+Base[[#This Row],['[Travail']Coûts_évités_par_salarié]])/Base[[#This Row],[Budget_santé_salarié]]</f>
        <v>0</v>
      </c>
      <c r="Z441" s="4">
        <v>0.8</v>
      </c>
      <c r="AA441" s="4">
        <f>Base[[#This Row],[Coût]]*Base[[#This Row],[Part_société_dépenses_santé]]</f>
        <v>0</v>
      </c>
      <c r="AB441" s="4">
        <v>67635124</v>
      </c>
      <c r="AC441" s="4">
        <v>82.297079063317852</v>
      </c>
      <c r="AD441" s="4">
        <v>0</v>
      </c>
      <c r="AE441" s="4">
        <f>Base[[#This Row],['[SC']Prévalence_travail]]*Base[[#This Row],[Population_emploi]]</f>
        <v>0</v>
      </c>
      <c r="AF441" s="4">
        <f>Base[[#This Row],[Risque]]*Base[[#This Row],['[SC']Patients_en_emploi]]</f>
        <v>0</v>
      </c>
      <c r="AG441" s="4">
        <v>0</v>
      </c>
      <c r="AH441" s="4">
        <f>IFERROR(Base[[#This Row],['[SC']Prestations]]/Base[[#This Row],['[SC']Patients_en_emploi]],0)</f>
        <v>0</v>
      </c>
      <c r="AI441" s="4">
        <v>51.7</v>
      </c>
      <c r="AJ4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1" s="4">
        <f>Base[[#This Row],['[SC']'[Travail']Coûts_évités]]/Base[[#This Row],[Population_emploi]]</f>
        <v>0</v>
      </c>
      <c r="AL441" s="4">
        <f>Base[[#This Row],[Coût_société]]*10^9*Base[[#This Row],[Risque]]*Base[[#This Row],[Prévalence]]*Base[[#This Row],[Part_coûts_salarié]]/Base[[#This Row],[Population_emploi]]</f>
        <v>0</v>
      </c>
      <c r="AM441" s="4">
        <f>IF(Base[[#This Row],[Pathologie]]&lt;&gt;"Dépendance",0,14909.24243952)</f>
        <v>0</v>
      </c>
      <c r="AN441" s="4">
        <f>IF(Base[[#This Row],[Pathologie]]&lt;&gt;"Dépendance",0,1316000)</f>
        <v>0</v>
      </c>
      <c r="AO441" s="4">
        <f>IF(Base[[#This Row],[Pathologie]]&lt;&gt;"Dépendance",0,Base[[#This Row],['[SC']Coût_personne_dépendante]]*Base[[#This Row],['[SC']Nb_personnes_dépendantes]])</f>
        <v>0</v>
      </c>
      <c r="AP441" s="4">
        <f>IF(Base[[#This Row],[Pathologie]]&lt;&gt;"Dépendance",0,Base[[#This Row],['[SC']Coût_total_dépendance]]/Base[[#This Row],[Population_totale]])</f>
        <v>0</v>
      </c>
      <c r="AQ441" s="4">
        <f>IF(Base[[#This Row],[Pathologie]]&lt;&gt;"Dépendance",0,4.5)</f>
        <v>0</v>
      </c>
      <c r="AR441" s="4">
        <v>0.83987615528424797</v>
      </c>
      <c r="AS441" s="4">
        <f>Base[[#This Row],[Espérance_vie]]+Base[[#This Row],['[SC']Hausse_esp_de_vie]]-Base[[#This Row],['[SC']Durée_moyenne_dépendance_avt]]+Base[[#This Row],[Risque]]</f>
        <v>83.378107778040146</v>
      </c>
      <c r="AT4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1" s="4">
        <v>62.9</v>
      </c>
      <c r="AW441" s="4">
        <f t="shared" si="10"/>
        <v>336905600000</v>
      </c>
      <c r="AX441" s="4">
        <v>15049171</v>
      </c>
      <c r="AY441" s="4">
        <f>Base[[#This Row],['[SC']Budget_total_retraites]]/Base[[#This Row],['[SC']Nombre_de_retraités]]</f>
        <v>22386.987296509556</v>
      </c>
      <c r="AZ441" s="4">
        <f>Base[[#This Row],['[SC']Budget_par_retraité]]*Base[[#This Row],['[SC']Nb_personnes_dépendantes]]</f>
        <v>0</v>
      </c>
      <c r="BA441" s="4">
        <f>Base[[#This Row],['[SC']'[Dépendance']Coût_retraite_personnes_dépendantes]]/Base[[#This Row],[Population_totale]]</f>
        <v>0</v>
      </c>
      <c r="BB4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1" s="4">
        <f>Base[[#This Row],['[SC']'[Dépendance']Gains]]-Base[[#This Row],['[SC']'[Dépendance']Coûts]]</f>
        <v>0</v>
      </c>
      <c r="BD441" s="4">
        <f>IF(Base[[#This Row],[Pathologie]]&lt;&gt;"Mort prématurée",0,Base[[#This Row],[Risque]]*Base[[#This Row],[Prévalence]]*Base[[#This Row],[Population_totale]])</f>
        <v>29137.003607090672</v>
      </c>
      <c r="BE441" s="4">
        <v>52.74</v>
      </c>
      <c r="BF441" s="4">
        <f>Base[[#This Row],['[SC']Âge_moyen_retraite]]-Base[[#This Row],['[SC']'[Mort_prématurée']Âge_moyen_mort précoce]]</f>
        <v>10.159999999999997</v>
      </c>
      <c r="BG441" s="4">
        <f>Base[[#This Row],[Espérance_vie]]+Base[[#This Row],['[SC']Hausse_esp_de_vie]]-Base[[#This Row],['[SC']Âge_moyen_retraite]]</f>
        <v>20.236955218602098</v>
      </c>
      <c r="BH441" s="4">
        <v>106583.42676924677</v>
      </c>
      <c r="BI441" s="4">
        <v>97601.789429271477</v>
      </c>
      <c r="BJ441" s="4">
        <v>302038.31496633729</v>
      </c>
      <c r="BK441" s="4">
        <v>117293.58934859755</v>
      </c>
      <c r="BL441" s="4">
        <v>1523999.9999999995</v>
      </c>
      <c r="BM4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1" s="4">
        <v>294804.96027377353</v>
      </c>
      <c r="BO4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1" s="4">
        <f>(Base[[#This Row],['[SC']'[Mort_prématurée']Gains]]-Base[[#This Row],['[SC']'[Mort_prématurée']Coûts]])/Base[[#This Row],[Population_totale]]</f>
        <v>26.257324141376316</v>
      </c>
      <c r="BQ441" s="4">
        <f>IF(Base[[#This Row],[Pathologie]]&lt;&gt;"Mort prématurée",0,Base[[#This Row],[Risque]])</f>
        <v>0.24115255943805147</v>
      </c>
      <c r="BR441" s="4">
        <v>2680</v>
      </c>
      <c r="BS4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1" s="4">
        <f>Base[[#This Row],[Prévalence_prod]]*(1-Base[[#This Row],[Risque]])*Base[[#This Row],[Durée_arrêt]]*Base[[#This Row],[Population_emploi]]</f>
        <v>0</v>
      </c>
      <c r="BV441" s="4">
        <f>Base[[#This Row],['[Prod']'[Absentéisme']Total_jours_absence_avant]]-Base[[#This Row],['[Prod']'[Absentéisme']Total_jours_absence_après]]</f>
        <v>0</v>
      </c>
      <c r="BW441" s="4">
        <f>IF(AND(Base[[#This Row],[Pathologie]]&lt;&gt;"Dépendance",Base[[#This Row],[Pathologie]]&lt;&gt;"Mort prématurée",Base[[#This Row],[Pathologie]]&lt;&gt;"Migraine"),0.0619,0)</f>
        <v>0</v>
      </c>
      <c r="BX441" s="4">
        <v>254</v>
      </c>
      <c r="BY44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1" s="4">
        <f>Base[[#This Row],[Prévalence_prod]]*Base[[#This Row],[Présentéisme]]*Base[[#This Row],['[Prod']Jours_ouvrés]]</f>
        <v>0</v>
      </c>
      <c r="CB441" s="4">
        <f>Base[[#This Row],[Prévalence_prod]]*(1-Base[[#This Row],[Risque]])*Base[[#This Row],[Présentéisme]]*Base[[#This Row],['[Prod']Jours_ouvrés]]</f>
        <v>0</v>
      </c>
      <c r="CC441" s="4">
        <f>Base[[#This Row],['[Prod']'[Présentéisme']Jours_avant]]-Base[[#This Row],['[Prod']'[Présentéisme']Jours_après]]</f>
        <v>0</v>
      </c>
      <c r="CD441" s="4">
        <f>Base[[#This Row],['[Prod']'[Présentéisme']Jours_gagnés]]/Base[[#This Row],['[Prod']Jours_ouvrés]]</f>
        <v>0</v>
      </c>
      <c r="CE441">
        <v>7.5880726467531134E-2</v>
      </c>
      <c r="CF441">
        <v>1.989821358241517E-2</v>
      </c>
      <c r="CG441" s="4">
        <v>11</v>
      </c>
      <c r="CH441" s="4">
        <v>1.1624525375985588</v>
      </c>
      <c r="CI441" s="4">
        <v>3.7953151649308701E-2</v>
      </c>
      <c r="CJ441" s="4">
        <f>IF(Base[[#This Row],[Secteur]]&lt;&gt;"Moyenne",Base[[#This Row],['[Prod']'[Turnover']DMC_initiale]]*(1+Base[[#This Row],['[Prod']'[Turnover']Ecart_accidents]]*Base[[#This Row],['[Prod']Impact_motifs_turnover]]),CJ424*CI424+CJ425*CI425+CJ426*CI426+CJ427*CI427+CJ428*CI428+CJ429*CI429+CJ430*CI430+CJ431*CI431+CJ432*CI432+CJ433*CI433+CJ434*CI434+CJ435*CI435+CJ436*CI436+CJ437*CI437+CJ438*CI438+CJ439*CI439+CJ440*CI440)</f>
        <v>11.254438017598122</v>
      </c>
      <c r="CK441" s="4">
        <f>1/Base[[#This Row],['[Prod']'[Turnover']DMC_initiale]]</f>
        <v>9.0909090909090912E-2</v>
      </c>
      <c r="CL441" s="4">
        <f>1/Base[[#This Row],['[Prod']'[Turnover']DMC_finale]]</f>
        <v>8.885383689850522E-2</v>
      </c>
    </row>
    <row r="442" spans="2:90" x14ac:dyDescent="0.25">
      <c r="B442" s="4" t="s">
        <v>326</v>
      </c>
      <c r="C442">
        <v>15</v>
      </c>
      <c r="D442" t="s">
        <v>83</v>
      </c>
      <c r="E442" t="s">
        <v>59</v>
      </c>
      <c r="F442" s="3">
        <v>0.24115255943805147</v>
      </c>
      <c r="G442" s="3">
        <v>1.7864082739021815E-3</v>
      </c>
      <c r="H442" s="3">
        <v>1.7864082739021815E-3</v>
      </c>
      <c r="I442" s="3">
        <v>0</v>
      </c>
      <c r="J442" s="3">
        <v>0</v>
      </c>
      <c r="K442" s="3">
        <v>7.0000000000000007E-2</v>
      </c>
      <c r="L442" s="2">
        <f>Base[[#This Row],[Coût]]*Base[[#This Row],[Part_ménages_dépenses_santé]]</f>
        <v>0</v>
      </c>
      <c r="M442" s="2">
        <v>0</v>
      </c>
      <c r="N442" s="6">
        <v>27700000</v>
      </c>
      <c r="O442" s="7">
        <f>Base[[#This Row],[Coût_salarié]]*10^9*Base[[#This Row],[Risque]]*Base[[#This Row],[Prévalence]]*Base[[#This Row],[Part_coûts_salarié]]/Base[[#This Row],[Population_emploi]]</f>
        <v>0</v>
      </c>
      <c r="P442">
        <v>50</v>
      </c>
      <c r="Q442">
        <v>50</v>
      </c>
      <c r="R442" s="2">
        <v>9.9999999999999978E-2</v>
      </c>
      <c r="S442" s="2">
        <v>0.33340000000000003</v>
      </c>
      <c r="T442" s="4">
        <v>0</v>
      </c>
      <c r="U442" s="4">
        <f>IF(Bases_annexes!$F$5=0,16.6587111018772,0.77*Bases_annexes!$F$5/(IF(OR(ISBLANK('Données_d''entrée'!$E$44),'Données_d''entrée'!$E$44=0),35,'Données_d''entrée'!$E$44)*52))</f>
        <v>16.658711101877199</v>
      </c>
      <c r="V442" s="4">
        <v>0</v>
      </c>
      <c r="W4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2" s="4">
        <v>234.5</v>
      </c>
      <c r="Y442" s="4">
        <f>(Base[[#This Row],['[Maladies']Coûts_évités_par_salarié]]+Base[[#This Row],['[Travail']Coûts_évités_par_salarié]])/Base[[#This Row],[Budget_santé_salarié]]</f>
        <v>0</v>
      </c>
      <c r="Z442" s="4">
        <v>0.8</v>
      </c>
      <c r="AA442" s="4">
        <f>Base[[#This Row],[Coût]]*Base[[#This Row],[Part_société_dépenses_santé]]</f>
        <v>0</v>
      </c>
      <c r="AB442" s="4">
        <v>67635124</v>
      </c>
      <c r="AC442" s="4">
        <v>82.297079063317852</v>
      </c>
      <c r="AD442" s="4">
        <v>0</v>
      </c>
      <c r="AE442" s="4">
        <f>Base[[#This Row],['[SC']Prévalence_travail]]*Base[[#This Row],[Population_emploi]]</f>
        <v>0</v>
      </c>
      <c r="AF442" s="4">
        <f>Base[[#This Row],[Risque]]*Base[[#This Row],['[SC']Patients_en_emploi]]</f>
        <v>0</v>
      </c>
      <c r="AG442" s="4">
        <v>0</v>
      </c>
      <c r="AH442" s="4">
        <f>IFERROR(Base[[#This Row],['[SC']Prestations]]/Base[[#This Row],['[SC']Patients_en_emploi]],0)</f>
        <v>0</v>
      </c>
      <c r="AI442" s="4">
        <v>51.7</v>
      </c>
      <c r="AJ4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2" s="4">
        <f>Base[[#This Row],['[SC']'[Travail']Coûts_évités]]/Base[[#This Row],[Population_emploi]]</f>
        <v>0</v>
      </c>
      <c r="AL442" s="4">
        <f>Base[[#This Row],[Coût_société]]*10^9*Base[[#This Row],[Risque]]*Base[[#This Row],[Prévalence]]*Base[[#This Row],[Part_coûts_salarié]]/Base[[#This Row],[Population_emploi]]</f>
        <v>0</v>
      </c>
      <c r="AM442" s="4">
        <f>IF(Base[[#This Row],[Pathologie]]&lt;&gt;"Dépendance",0,14909.24243952)</f>
        <v>0</v>
      </c>
      <c r="AN442" s="4">
        <f>IF(Base[[#This Row],[Pathologie]]&lt;&gt;"Dépendance",0,1316000)</f>
        <v>0</v>
      </c>
      <c r="AO442" s="4">
        <f>IF(Base[[#This Row],[Pathologie]]&lt;&gt;"Dépendance",0,Base[[#This Row],['[SC']Coût_personne_dépendante]]*Base[[#This Row],['[SC']Nb_personnes_dépendantes]])</f>
        <v>0</v>
      </c>
      <c r="AP442" s="4">
        <f>IF(Base[[#This Row],[Pathologie]]&lt;&gt;"Dépendance",0,Base[[#This Row],['[SC']Coût_total_dépendance]]/Base[[#This Row],[Population_totale]])</f>
        <v>0</v>
      </c>
      <c r="AQ442" s="4">
        <f>IF(Base[[#This Row],[Pathologie]]&lt;&gt;"Dépendance",0,4.5)</f>
        <v>0</v>
      </c>
      <c r="AR442" s="4">
        <v>0.83987615528424797</v>
      </c>
      <c r="AS442" s="4">
        <f>Base[[#This Row],[Espérance_vie]]+Base[[#This Row],['[SC']Hausse_esp_de_vie]]-Base[[#This Row],['[SC']Durée_moyenne_dépendance_avt]]+Base[[#This Row],[Risque]]</f>
        <v>83.378107778040146</v>
      </c>
      <c r="AT4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2" s="4">
        <v>62.9</v>
      </c>
      <c r="AW442" s="4">
        <f t="shared" si="10"/>
        <v>336905600000</v>
      </c>
      <c r="AX442" s="4">
        <v>15049171</v>
      </c>
      <c r="AY442" s="4">
        <f>Base[[#This Row],['[SC']Budget_total_retraites]]/Base[[#This Row],['[SC']Nombre_de_retraités]]</f>
        <v>22386.987296509556</v>
      </c>
      <c r="AZ442" s="4">
        <f>Base[[#This Row],['[SC']Budget_par_retraité]]*Base[[#This Row],['[SC']Nb_personnes_dépendantes]]</f>
        <v>0</v>
      </c>
      <c r="BA442" s="4">
        <f>Base[[#This Row],['[SC']'[Dépendance']Coût_retraite_personnes_dépendantes]]/Base[[#This Row],[Population_totale]]</f>
        <v>0</v>
      </c>
      <c r="BB4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2" s="4">
        <f>Base[[#This Row],['[SC']'[Dépendance']Gains]]-Base[[#This Row],['[SC']'[Dépendance']Coûts]]</f>
        <v>0</v>
      </c>
      <c r="BD442" s="4">
        <f>IF(Base[[#This Row],[Pathologie]]&lt;&gt;"Mort prématurée",0,Base[[#This Row],[Risque]]*Base[[#This Row],[Prévalence]]*Base[[#This Row],[Population_totale]])</f>
        <v>29137.003607090672</v>
      </c>
      <c r="BE442" s="4">
        <v>52.74</v>
      </c>
      <c r="BF442" s="4">
        <f>Base[[#This Row],['[SC']Âge_moyen_retraite]]-Base[[#This Row],['[SC']'[Mort_prématurée']Âge_moyen_mort précoce]]</f>
        <v>10.159999999999997</v>
      </c>
      <c r="BG442" s="4">
        <f>Base[[#This Row],[Espérance_vie]]+Base[[#This Row],['[SC']Hausse_esp_de_vie]]-Base[[#This Row],['[SC']Âge_moyen_retraite]]</f>
        <v>20.236955218602098</v>
      </c>
      <c r="BH442" s="4">
        <v>106583.42676924677</v>
      </c>
      <c r="BI442" s="4">
        <v>97601.789429271477</v>
      </c>
      <c r="BJ442" s="4">
        <v>302038.31496633729</v>
      </c>
      <c r="BK442" s="4">
        <v>117293.58934859755</v>
      </c>
      <c r="BL442" s="4">
        <v>1523999.9999999995</v>
      </c>
      <c r="BM4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2" s="4">
        <v>294804.96027377353</v>
      </c>
      <c r="BO4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2" s="4">
        <f>(Base[[#This Row],['[SC']'[Mort_prématurée']Gains]]-Base[[#This Row],['[SC']'[Mort_prématurée']Coûts]])/Base[[#This Row],[Population_totale]]</f>
        <v>26.257324141376316</v>
      </c>
      <c r="BQ442" s="4">
        <f>IF(Base[[#This Row],[Pathologie]]&lt;&gt;"Mort prématurée",0,Base[[#This Row],[Risque]])</f>
        <v>0.24115255943805147</v>
      </c>
      <c r="BR442" s="4">
        <v>2680</v>
      </c>
      <c r="BS4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2" s="4">
        <f>Base[[#This Row],[Prévalence_prod]]*(1-Base[[#This Row],[Risque]])*Base[[#This Row],[Durée_arrêt]]*Base[[#This Row],[Population_emploi]]</f>
        <v>0</v>
      </c>
      <c r="BV442" s="4">
        <f>Base[[#This Row],['[Prod']'[Absentéisme']Total_jours_absence_avant]]-Base[[#This Row],['[Prod']'[Absentéisme']Total_jours_absence_après]]</f>
        <v>0</v>
      </c>
      <c r="BW442" s="4">
        <f>IF(AND(Base[[#This Row],[Pathologie]]&lt;&gt;"Dépendance",Base[[#This Row],[Pathologie]]&lt;&gt;"Mort prématurée",Base[[#This Row],[Pathologie]]&lt;&gt;"Migraine"),0.0619,0)</f>
        <v>0</v>
      </c>
      <c r="BX442" s="4">
        <v>254</v>
      </c>
      <c r="BY44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2" s="4">
        <f>Base[[#This Row],[Prévalence_prod]]*Base[[#This Row],[Présentéisme]]*Base[[#This Row],['[Prod']Jours_ouvrés]]</f>
        <v>0</v>
      </c>
      <c r="CB442" s="4">
        <f>Base[[#This Row],[Prévalence_prod]]*(1-Base[[#This Row],[Risque]])*Base[[#This Row],[Présentéisme]]*Base[[#This Row],['[Prod']Jours_ouvrés]]</f>
        <v>0</v>
      </c>
      <c r="CC442" s="4">
        <f>Base[[#This Row],['[Prod']'[Présentéisme']Jours_avant]]-Base[[#This Row],['[Prod']'[Présentéisme']Jours_après]]</f>
        <v>0</v>
      </c>
      <c r="CD442" s="4">
        <f>Base[[#This Row],['[Prod']'[Présentéisme']Jours_gagnés]]/Base[[#This Row],['[Prod']Jours_ouvrés]]</f>
        <v>0</v>
      </c>
      <c r="CE442">
        <v>7.5880726467531134E-2</v>
      </c>
      <c r="CF442">
        <v>1.989821358241517E-2</v>
      </c>
      <c r="CG442" s="4">
        <v>11</v>
      </c>
      <c r="CH442" s="4">
        <v>0.19346787829229528</v>
      </c>
      <c r="CI442" s="4">
        <v>2.8126549817953091E-2</v>
      </c>
      <c r="CJ442" s="4">
        <f>IF(Base[[#This Row],[Secteur]]&lt;&gt;"Moyenne",Base[[#This Row],['[Prod']'[Turnover']DMC_initiale]]*(1+Base[[#This Row],['[Prod']'[Turnover']Ecart_accidents]]*Base[[#This Row],['[Prod']Impact_motifs_turnover]]),CJ425*CI425+CJ426*CI426+CJ427*CI427+CJ428*CI428+CJ429*CI429+CJ430*CI430+CJ431*CI431+CJ432*CI432+CJ433*CI433+CJ434*CI434+CJ435*CI435+CJ436*CI436+CJ437*CI437+CJ438*CI438+CJ439*CI439+CJ440*CI440+CJ441*CI441)</f>
        <v>11.042346316799566</v>
      </c>
      <c r="CK442" s="4">
        <f>1/Base[[#This Row],['[Prod']'[Turnover']DMC_initiale]]</f>
        <v>9.0909090909090912E-2</v>
      </c>
      <c r="CL442" s="4">
        <f>1/Base[[#This Row],['[Prod']'[Turnover']DMC_finale]]</f>
        <v>9.0560463447756881E-2</v>
      </c>
    </row>
    <row r="443" spans="2:90" x14ac:dyDescent="0.25">
      <c r="B443" s="4" t="s">
        <v>327</v>
      </c>
      <c r="C443">
        <v>15</v>
      </c>
      <c r="D443" t="s">
        <v>83</v>
      </c>
      <c r="E443" t="s">
        <v>59</v>
      </c>
      <c r="F443" s="3">
        <v>0.24115255943805147</v>
      </c>
      <c r="G443" s="3">
        <v>1.7864082739021815E-3</v>
      </c>
      <c r="H443" s="3">
        <v>1.7864082739021815E-3</v>
      </c>
      <c r="I443" s="3">
        <v>0</v>
      </c>
      <c r="J443" s="3">
        <v>0</v>
      </c>
      <c r="K443" s="3">
        <v>7.0000000000000007E-2</v>
      </c>
      <c r="L443" s="2">
        <f>Base[[#This Row],[Coût]]*Base[[#This Row],[Part_ménages_dépenses_santé]]</f>
        <v>0</v>
      </c>
      <c r="M443" s="2">
        <v>0</v>
      </c>
      <c r="N443" s="6">
        <v>27700000</v>
      </c>
      <c r="O443" s="7">
        <f>Base[[#This Row],[Coût_salarié]]*10^9*Base[[#This Row],[Risque]]*Base[[#This Row],[Prévalence]]*Base[[#This Row],[Part_coûts_salarié]]/Base[[#This Row],[Population_emploi]]</f>
        <v>0</v>
      </c>
      <c r="P443">
        <v>50</v>
      </c>
      <c r="Q443">
        <v>50</v>
      </c>
      <c r="R443" s="2">
        <v>9.9999999999999978E-2</v>
      </c>
      <c r="S443" s="2">
        <v>0.33340000000000003</v>
      </c>
      <c r="T443" s="4">
        <v>0</v>
      </c>
      <c r="U443" s="4">
        <f>IF(Bases_annexes!$F$5=0,16.6587111018772,0.77*Bases_annexes!$F$5/(IF(OR(ISBLANK('Données_d''entrée'!$E$44),'Données_d''entrée'!$E$44=0),35,'Données_d''entrée'!$E$44)*52))</f>
        <v>16.658711101877199</v>
      </c>
      <c r="V443" s="4">
        <v>0</v>
      </c>
      <c r="W4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3" s="4">
        <v>234.5</v>
      </c>
      <c r="Y443" s="4">
        <f>(Base[[#This Row],['[Maladies']Coûts_évités_par_salarié]]+Base[[#This Row],['[Travail']Coûts_évités_par_salarié]])/Base[[#This Row],[Budget_santé_salarié]]</f>
        <v>0</v>
      </c>
      <c r="Z443" s="4">
        <v>0.8</v>
      </c>
      <c r="AA443" s="4">
        <f>Base[[#This Row],[Coût]]*Base[[#This Row],[Part_société_dépenses_santé]]</f>
        <v>0</v>
      </c>
      <c r="AB443" s="4">
        <v>67635124</v>
      </c>
      <c r="AC443" s="4">
        <v>82.297079063317852</v>
      </c>
      <c r="AD443" s="4">
        <v>0</v>
      </c>
      <c r="AE443" s="4">
        <f>Base[[#This Row],['[SC']Prévalence_travail]]*Base[[#This Row],[Population_emploi]]</f>
        <v>0</v>
      </c>
      <c r="AF443" s="4">
        <f>Base[[#This Row],[Risque]]*Base[[#This Row],['[SC']Patients_en_emploi]]</f>
        <v>0</v>
      </c>
      <c r="AG443" s="4">
        <v>0</v>
      </c>
      <c r="AH443" s="4">
        <f>IFERROR(Base[[#This Row],['[SC']Prestations]]/Base[[#This Row],['[SC']Patients_en_emploi]],0)</f>
        <v>0</v>
      </c>
      <c r="AI443" s="4">
        <v>51.7</v>
      </c>
      <c r="AJ4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3" s="4">
        <f>Base[[#This Row],['[SC']'[Travail']Coûts_évités]]/Base[[#This Row],[Population_emploi]]</f>
        <v>0</v>
      </c>
      <c r="AL443" s="4">
        <f>Base[[#This Row],[Coût_société]]*10^9*Base[[#This Row],[Risque]]*Base[[#This Row],[Prévalence]]*Base[[#This Row],[Part_coûts_salarié]]/Base[[#This Row],[Population_emploi]]</f>
        <v>0</v>
      </c>
      <c r="AM443" s="4">
        <f>IF(Base[[#This Row],[Pathologie]]&lt;&gt;"Dépendance",0,14909.24243952)</f>
        <v>0</v>
      </c>
      <c r="AN443" s="4">
        <f>IF(Base[[#This Row],[Pathologie]]&lt;&gt;"Dépendance",0,1316000)</f>
        <v>0</v>
      </c>
      <c r="AO443" s="4">
        <f>IF(Base[[#This Row],[Pathologie]]&lt;&gt;"Dépendance",0,Base[[#This Row],['[SC']Coût_personne_dépendante]]*Base[[#This Row],['[SC']Nb_personnes_dépendantes]])</f>
        <v>0</v>
      </c>
      <c r="AP443" s="4">
        <f>IF(Base[[#This Row],[Pathologie]]&lt;&gt;"Dépendance",0,Base[[#This Row],['[SC']Coût_total_dépendance]]/Base[[#This Row],[Population_totale]])</f>
        <v>0</v>
      </c>
      <c r="AQ443" s="4">
        <f>IF(Base[[#This Row],[Pathologie]]&lt;&gt;"Dépendance",0,4.5)</f>
        <v>0</v>
      </c>
      <c r="AR443" s="4">
        <v>0.83987615528424797</v>
      </c>
      <c r="AS443" s="4">
        <f>Base[[#This Row],[Espérance_vie]]+Base[[#This Row],['[SC']Hausse_esp_de_vie]]-Base[[#This Row],['[SC']Durée_moyenne_dépendance_avt]]+Base[[#This Row],[Risque]]</f>
        <v>83.378107778040146</v>
      </c>
      <c r="AT4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3" s="4">
        <v>62.9</v>
      </c>
      <c r="AW443" s="4">
        <f t="shared" si="10"/>
        <v>336905600000</v>
      </c>
      <c r="AX443" s="4">
        <v>15049171</v>
      </c>
      <c r="AY443" s="4">
        <f>Base[[#This Row],['[SC']Budget_total_retraites]]/Base[[#This Row],['[SC']Nombre_de_retraités]]</f>
        <v>22386.987296509556</v>
      </c>
      <c r="AZ443" s="4">
        <f>Base[[#This Row],['[SC']Budget_par_retraité]]*Base[[#This Row],['[SC']Nb_personnes_dépendantes]]</f>
        <v>0</v>
      </c>
      <c r="BA443" s="4">
        <f>Base[[#This Row],['[SC']'[Dépendance']Coût_retraite_personnes_dépendantes]]/Base[[#This Row],[Population_totale]]</f>
        <v>0</v>
      </c>
      <c r="BB4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3" s="4">
        <f>Base[[#This Row],['[SC']'[Dépendance']Gains]]-Base[[#This Row],['[SC']'[Dépendance']Coûts]]</f>
        <v>0</v>
      </c>
      <c r="BD443" s="4">
        <f>IF(Base[[#This Row],[Pathologie]]&lt;&gt;"Mort prématurée",0,Base[[#This Row],[Risque]]*Base[[#This Row],[Prévalence]]*Base[[#This Row],[Population_totale]])</f>
        <v>29137.003607090672</v>
      </c>
      <c r="BE443" s="4">
        <v>52.74</v>
      </c>
      <c r="BF443" s="4">
        <f>Base[[#This Row],['[SC']Âge_moyen_retraite]]-Base[[#This Row],['[SC']'[Mort_prématurée']Âge_moyen_mort précoce]]</f>
        <v>10.159999999999997</v>
      </c>
      <c r="BG443" s="4">
        <f>Base[[#This Row],[Espérance_vie]]+Base[[#This Row],['[SC']Hausse_esp_de_vie]]-Base[[#This Row],['[SC']Âge_moyen_retraite]]</f>
        <v>20.236955218602098</v>
      </c>
      <c r="BH443" s="4">
        <v>106583.42676924677</v>
      </c>
      <c r="BI443" s="4">
        <v>97601.789429271477</v>
      </c>
      <c r="BJ443" s="4">
        <v>302038.31496633729</v>
      </c>
      <c r="BK443" s="4">
        <v>117293.58934859755</v>
      </c>
      <c r="BL443" s="4">
        <v>1523999.9999999995</v>
      </c>
      <c r="BM4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3" s="4">
        <v>294804.96027377353</v>
      </c>
      <c r="BO4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3" s="4">
        <f>(Base[[#This Row],['[SC']'[Mort_prématurée']Gains]]-Base[[#This Row],['[SC']'[Mort_prématurée']Coûts]])/Base[[#This Row],[Population_totale]]</f>
        <v>26.257324141376316</v>
      </c>
      <c r="BQ443" s="4">
        <f>IF(Base[[#This Row],[Pathologie]]&lt;&gt;"Mort prématurée",0,Base[[#This Row],[Risque]])</f>
        <v>0.24115255943805147</v>
      </c>
      <c r="BR443" s="4">
        <v>2680</v>
      </c>
      <c r="BS4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3" s="4">
        <f>Base[[#This Row],[Prévalence_prod]]*(1-Base[[#This Row],[Risque]])*Base[[#This Row],[Durée_arrêt]]*Base[[#This Row],[Population_emploi]]</f>
        <v>0</v>
      </c>
      <c r="BV443" s="4">
        <f>Base[[#This Row],['[Prod']'[Absentéisme']Total_jours_absence_avant]]-Base[[#This Row],['[Prod']'[Absentéisme']Total_jours_absence_après]]</f>
        <v>0</v>
      </c>
      <c r="BW443" s="4">
        <f>IF(AND(Base[[#This Row],[Pathologie]]&lt;&gt;"Dépendance",Base[[#This Row],[Pathologie]]&lt;&gt;"Mort prématurée",Base[[#This Row],[Pathologie]]&lt;&gt;"Migraine"),0.0619,0)</f>
        <v>0</v>
      </c>
      <c r="BX443" s="4">
        <v>254</v>
      </c>
      <c r="BY44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3" s="4">
        <f>Base[[#This Row],[Prévalence_prod]]*Base[[#This Row],[Présentéisme]]*Base[[#This Row],['[Prod']Jours_ouvrés]]</f>
        <v>0</v>
      </c>
      <c r="CB443" s="4">
        <f>Base[[#This Row],[Prévalence_prod]]*(1-Base[[#This Row],[Risque]])*Base[[#This Row],[Présentéisme]]*Base[[#This Row],['[Prod']Jours_ouvrés]]</f>
        <v>0</v>
      </c>
      <c r="CC443" s="4">
        <f>Base[[#This Row],['[Prod']'[Présentéisme']Jours_avant]]-Base[[#This Row],['[Prod']'[Présentéisme']Jours_après]]</f>
        <v>0</v>
      </c>
      <c r="CD443" s="4">
        <f>Base[[#This Row],['[Prod']'[Présentéisme']Jours_gagnés]]/Base[[#This Row],['[Prod']Jours_ouvrés]]</f>
        <v>0</v>
      </c>
      <c r="CE443">
        <v>7.5880726467531134E-2</v>
      </c>
      <c r="CF443">
        <v>1.989821358241517E-2</v>
      </c>
      <c r="CG443" s="4">
        <v>11</v>
      </c>
      <c r="CH443" s="4">
        <v>0.13729577077682142</v>
      </c>
      <c r="CI443" s="4">
        <v>1.373516710817578E-2</v>
      </c>
      <c r="CJ443" s="4">
        <f>IF(Base[[#This Row],[Secteur]]&lt;&gt;"Moyenne",Base[[#This Row],['[Prod']'[Turnover']DMC_initiale]]*(1+Base[[#This Row],['[Prod']'[Turnover']Ecart_accidents]]*Base[[#This Row],['[Prod']Impact_motifs_turnover]]),CJ426*CI426+CJ427*CI427+CJ428*CI428+CJ429*CI429+CJ430*CI430+CJ431*CI431+CJ432*CI432+CJ433*CI433+CJ434*CI434+CJ435*CI435+CJ436*CI436+CJ437*CI437+CJ438*CI438+CJ439*CI439+CJ440*CI440+CJ441*CI441+CJ442*CI442)</f>
        <v>11.030051346279674</v>
      </c>
      <c r="CK443" s="4">
        <f>1/Base[[#This Row],['[Prod']'[Turnover']DMC_initiale]]</f>
        <v>9.0909090909090912E-2</v>
      </c>
      <c r="CL443" s="4">
        <f>1/Base[[#This Row],['[Prod']'[Turnover']DMC_finale]]</f>
        <v>9.0661409326738093E-2</v>
      </c>
    </row>
    <row r="444" spans="2:90" x14ac:dyDescent="0.25">
      <c r="B444" s="4" t="s">
        <v>328</v>
      </c>
      <c r="C444">
        <v>15</v>
      </c>
      <c r="D444" t="s">
        <v>83</v>
      </c>
      <c r="E444" t="s">
        <v>59</v>
      </c>
      <c r="F444" s="3">
        <v>0.24115255943805147</v>
      </c>
      <c r="G444" s="3">
        <v>1.7864082739021815E-3</v>
      </c>
      <c r="H444" s="3">
        <v>1.7864082739021815E-3</v>
      </c>
      <c r="I444" s="3">
        <v>0</v>
      </c>
      <c r="J444" s="3">
        <v>0</v>
      </c>
      <c r="K444" s="3">
        <v>7.0000000000000007E-2</v>
      </c>
      <c r="L444" s="2">
        <f>Base[[#This Row],[Coût]]*Base[[#This Row],[Part_ménages_dépenses_santé]]</f>
        <v>0</v>
      </c>
      <c r="M444" s="2">
        <v>0</v>
      </c>
      <c r="N444" s="6">
        <v>27700000</v>
      </c>
      <c r="O444" s="7">
        <f>Base[[#This Row],[Coût_salarié]]*10^9*Base[[#This Row],[Risque]]*Base[[#This Row],[Prévalence]]*Base[[#This Row],[Part_coûts_salarié]]/Base[[#This Row],[Population_emploi]]</f>
        <v>0</v>
      </c>
      <c r="P444">
        <v>50</v>
      </c>
      <c r="Q444">
        <v>50</v>
      </c>
      <c r="R444" s="2">
        <v>9.9999999999999978E-2</v>
      </c>
      <c r="S444" s="2">
        <v>0.33340000000000003</v>
      </c>
      <c r="T444" s="4">
        <v>0</v>
      </c>
      <c r="U444" s="4">
        <f>IF(Bases_annexes!$F$5=0,16.6587111018772,0.77*Bases_annexes!$F$5/(IF(OR(ISBLANK('Données_d''entrée'!$E$44),'Données_d''entrée'!$E$44=0),35,'Données_d''entrée'!$E$44)*52))</f>
        <v>16.658711101877199</v>
      </c>
      <c r="V444" s="4">
        <v>0</v>
      </c>
      <c r="W4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4" s="4">
        <v>234.5</v>
      </c>
      <c r="Y444" s="4">
        <f>(Base[[#This Row],['[Maladies']Coûts_évités_par_salarié]]+Base[[#This Row],['[Travail']Coûts_évités_par_salarié]])/Base[[#This Row],[Budget_santé_salarié]]</f>
        <v>0</v>
      </c>
      <c r="Z444" s="4">
        <v>0.8</v>
      </c>
      <c r="AA444" s="4">
        <f>Base[[#This Row],[Coût]]*Base[[#This Row],[Part_société_dépenses_santé]]</f>
        <v>0</v>
      </c>
      <c r="AB444" s="4">
        <v>67635124</v>
      </c>
      <c r="AC444" s="4">
        <v>82.297079063317852</v>
      </c>
      <c r="AD444" s="4">
        <v>0</v>
      </c>
      <c r="AE444" s="4">
        <f>Base[[#This Row],['[SC']Prévalence_travail]]*Base[[#This Row],[Population_emploi]]</f>
        <v>0</v>
      </c>
      <c r="AF444" s="4">
        <f>Base[[#This Row],[Risque]]*Base[[#This Row],['[SC']Patients_en_emploi]]</f>
        <v>0</v>
      </c>
      <c r="AG444" s="4">
        <v>0</v>
      </c>
      <c r="AH444" s="4">
        <f>IFERROR(Base[[#This Row],['[SC']Prestations]]/Base[[#This Row],['[SC']Patients_en_emploi]],0)</f>
        <v>0</v>
      </c>
      <c r="AI444" s="4">
        <v>51.7</v>
      </c>
      <c r="AJ4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4" s="4">
        <f>Base[[#This Row],['[SC']'[Travail']Coûts_évités]]/Base[[#This Row],[Population_emploi]]</f>
        <v>0</v>
      </c>
      <c r="AL444" s="4">
        <f>Base[[#This Row],[Coût_société]]*10^9*Base[[#This Row],[Risque]]*Base[[#This Row],[Prévalence]]*Base[[#This Row],[Part_coûts_salarié]]/Base[[#This Row],[Population_emploi]]</f>
        <v>0</v>
      </c>
      <c r="AM444" s="4">
        <f>IF(Base[[#This Row],[Pathologie]]&lt;&gt;"Dépendance",0,14909.24243952)</f>
        <v>0</v>
      </c>
      <c r="AN444" s="4">
        <f>IF(Base[[#This Row],[Pathologie]]&lt;&gt;"Dépendance",0,1316000)</f>
        <v>0</v>
      </c>
      <c r="AO444" s="4">
        <f>IF(Base[[#This Row],[Pathologie]]&lt;&gt;"Dépendance",0,Base[[#This Row],['[SC']Coût_personne_dépendante]]*Base[[#This Row],['[SC']Nb_personnes_dépendantes]])</f>
        <v>0</v>
      </c>
      <c r="AP444" s="4">
        <f>IF(Base[[#This Row],[Pathologie]]&lt;&gt;"Dépendance",0,Base[[#This Row],['[SC']Coût_total_dépendance]]/Base[[#This Row],[Population_totale]])</f>
        <v>0</v>
      </c>
      <c r="AQ444" s="4">
        <f>IF(Base[[#This Row],[Pathologie]]&lt;&gt;"Dépendance",0,4.5)</f>
        <v>0</v>
      </c>
      <c r="AR444" s="4">
        <v>0.83987615528424797</v>
      </c>
      <c r="AS444" s="4">
        <f>Base[[#This Row],[Espérance_vie]]+Base[[#This Row],['[SC']Hausse_esp_de_vie]]-Base[[#This Row],['[SC']Durée_moyenne_dépendance_avt]]+Base[[#This Row],[Risque]]</f>
        <v>83.378107778040146</v>
      </c>
      <c r="AT4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4" s="4">
        <v>62.9</v>
      </c>
      <c r="AW444" s="4">
        <f t="shared" si="10"/>
        <v>336905600000</v>
      </c>
      <c r="AX444" s="4">
        <v>15049171</v>
      </c>
      <c r="AY444" s="4">
        <f>Base[[#This Row],['[SC']Budget_total_retraites]]/Base[[#This Row],['[SC']Nombre_de_retraités]]</f>
        <v>22386.987296509556</v>
      </c>
      <c r="AZ444" s="4">
        <f>Base[[#This Row],['[SC']Budget_par_retraité]]*Base[[#This Row],['[SC']Nb_personnes_dépendantes]]</f>
        <v>0</v>
      </c>
      <c r="BA444" s="4">
        <f>Base[[#This Row],['[SC']'[Dépendance']Coût_retraite_personnes_dépendantes]]/Base[[#This Row],[Population_totale]]</f>
        <v>0</v>
      </c>
      <c r="BB4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4" s="4">
        <f>Base[[#This Row],['[SC']'[Dépendance']Gains]]-Base[[#This Row],['[SC']'[Dépendance']Coûts]]</f>
        <v>0</v>
      </c>
      <c r="BD444" s="4">
        <f>IF(Base[[#This Row],[Pathologie]]&lt;&gt;"Mort prématurée",0,Base[[#This Row],[Risque]]*Base[[#This Row],[Prévalence]]*Base[[#This Row],[Population_totale]])</f>
        <v>29137.003607090672</v>
      </c>
      <c r="BE444" s="4">
        <v>52.74</v>
      </c>
      <c r="BF444" s="4">
        <f>Base[[#This Row],['[SC']Âge_moyen_retraite]]-Base[[#This Row],['[SC']'[Mort_prématurée']Âge_moyen_mort précoce]]</f>
        <v>10.159999999999997</v>
      </c>
      <c r="BG444" s="4">
        <f>Base[[#This Row],[Espérance_vie]]+Base[[#This Row],['[SC']Hausse_esp_de_vie]]-Base[[#This Row],['[SC']Âge_moyen_retraite]]</f>
        <v>20.236955218602098</v>
      </c>
      <c r="BH444" s="4">
        <v>106583.42676924677</v>
      </c>
      <c r="BI444" s="4">
        <v>97601.789429271477</v>
      </c>
      <c r="BJ444" s="4">
        <v>302038.31496633729</v>
      </c>
      <c r="BK444" s="4">
        <v>117293.58934859755</v>
      </c>
      <c r="BL444" s="4">
        <v>1523999.9999999995</v>
      </c>
      <c r="BM4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4" s="4">
        <v>294804.96027377353</v>
      </c>
      <c r="BO4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4" s="4">
        <f>(Base[[#This Row],['[SC']'[Mort_prématurée']Gains]]-Base[[#This Row],['[SC']'[Mort_prématurée']Coûts]])/Base[[#This Row],[Population_totale]]</f>
        <v>26.257324141376316</v>
      </c>
      <c r="BQ444" s="4">
        <f>IF(Base[[#This Row],[Pathologie]]&lt;&gt;"Mort prématurée",0,Base[[#This Row],[Risque]])</f>
        <v>0.24115255943805147</v>
      </c>
      <c r="BR444" s="4">
        <v>2680</v>
      </c>
      <c r="BS4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4" s="4">
        <f>Base[[#This Row],[Prévalence_prod]]*(1-Base[[#This Row],[Risque]])*Base[[#This Row],[Durée_arrêt]]*Base[[#This Row],[Population_emploi]]</f>
        <v>0</v>
      </c>
      <c r="BV444" s="4">
        <f>Base[[#This Row],['[Prod']'[Absentéisme']Total_jours_absence_avant]]-Base[[#This Row],['[Prod']'[Absentéisme']Total_jours_absence_après]]</f>
        <v>0</v>
      </c>
      <c r="BW444" s="4">
        <f>IF(AND(Base[[#This Row],[Pathologie]]&lt;&gt;"Dépendance",Base[[#This Row],[Pathologie]]&lt;&gt;"Mort prématurée",Base[[#This Row],[Pathologie]]&lt;&gt;"Migraine"),0.0619,0)</f>
        <v>0</v>
      </c>
      <c r="BX444" s="4">
        <v>254</v>
      </c>
      <c r="BY44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4" s="4">
        <f>Base[[#This Row],[Prévalence_prod]]*Base[[#This Row],[Présentéisme]]*Base[[#This Row],['[Prod']Jours_ouvrés]]</f>
        <v>0</v>
      </c>
      <c r="CB444" s="4">
        <f>Base[[#This Row],[Prévalence_prod]]*(1-Base[[#This Row],[Risque]])*Base[[#This Row],[Présentéisme]]*Base[[#This Row],['[Prod']Jours_ouvrés]]</f>
        <v>0</v>
      </c>
      <c r="CC444" s="4">
        <f>Base[[#This Row],['[Prod']'[Présentéisme']Jours_avant]]-Base[[#This Row],['[Prod']'[Présentéisme']Jours_après]]</f>
        <v>0</v>
      </c>
      <c r="CD444" s="4">
        <f>Base[[#This Row],['[Prod']'[Présentéisme']Jours_gagnés]]/Base[[#This Row],['[Prod']Jours_ouvrés]]</f>
        <v>0</v>
      </c>
      <c r="CE444">
        <v>7.5880726467531134E-2</v>
      </c>
      <c r="CF444">
        <v>1.989821358241517E-2</v>
      </c>
      <c r="CG444" s="4">
        <v>11</v>
      </c>
      <c r="CH444" s="4">
        <v>0.60922528771817497</v>
      </c>
      <c r="CI444" s="4">
        <v>3.8601807163334179E-3</v>
      </c>
      <c r="CJ444" s="4">
        <f>IF(Base[[#This Row],[Secteur]]&lt;&gt;"Moyenne",Base[[#This Row],['[Prod']'[Turnover']DMC_initiale]]*(1+Base[[#This Row],['[Prod']'[Turnover']Ecart_accidents]]*Base[[#This Row],['[Prod']Impact_motifs_turnover]]),CJ427*CI427+CJ428*CI428+CJ429*CI429+CJ430*CI430+CJ431*CI431+CJ432*CI432+CJ433*CI433+CJ434*CI434+CJ435*CI435+CJ436*CI436+CJ437*CI437+CJ438*CI438+CJ439*CI439+CJ440*CI440+CJ441*CI441+CJ442*CI442+CJ443*CI443)</f>
        <v>11.133347443843071</v>
      </c>
      <c r="CK444" s="4">
        <f>1/Base[[#This Row],['[Prod']'[Turnover']DMC_initiale]]</f>
        <v>9.0909090909090912E-2</v>
      </c>
      <c r="CL444" s="4">
        <f>1/Base[[#This Row],['[Prod']'[Turnover']DMC_finale]]</f>
        <v>8.9820245442265148E-2</v>
      </c>
    </row>
    <row r="445" spans="2:90" x14ac:dyDescent="0.25">
      <c r="B445" s="4" t="s">
        <v>329</v>
      </c>
      <c r="C445">
        <v>15</v>
      </c>
      <c r="D445" t="s">
        <v>83</v>
      </c>
      <c r="E445" t="s">
        <v>59</v>
      </c>
      <c r="F445" s="3">
        <v>0.24115255943805147</v>
      </c>
      <c r="G445" s="3">
        <v>1.7864082739021815E-3</v>
      </c>
      <c r="H445" s="3">
        <v>1.7864082739021815E-3</v>
      </c>
      <c r="I445" s="3">
        <v>0</v>
      </c>
      <c r="J445" s="3">
        <v>0</v>
      </c>
      <c r="K445" s="3">
        <v>7.0000000000000007E-2</v>
      </c>
      <c r="L445" s="2">
        <f>Base[[#This Row],[Coût]]*Base[[#This Row],[Part_ménages_dépenses_santé]]</f>
        <v>0</v>
      </c>
      <c r="M445" s="2">
        <v>0</v>
      </c>
      <c r="N445" s="6">
        <v>27700000</v>
      </c>
      <c r="O445" s="7">
        <f>Base[[#This Row],[Coût_salarié]]*10^9*Base[[#This Row],[Risque]]*Base[[#This Row],[Prévalence]]*Base[[#This Row],[Part_coûts_salarié]]/Base[[#This Row],[Population_emploi]]</f>
        <v>0</v>
      </c>
      <c r="P445">
        <v>50</v>
      </c>
      <c r="Q445">
        <v>50</v>
      </c>
      <c r="R445" s="2">
        <v>9.9999999999999978E-2</v>
      </c>
      <c r="S445" s="2">
        <v>0.33340000000000003</v>
      </c>
      <c r="T445" s="4">
        <v>0</v>
      </c>
      <c r="U445" s="4">
        <f>IF(Bases_annexes!$F$5=0,16.6587111018772,0.77*Bases_annexes!$F$5/(IF(OR(ISBLANK('Données_d''entrée'!$E$44),'Données_d''entrée'!$E$44=0),35,'Données_d''entrée'!$E$44)*52))</f>
        <v>16.658711101877199</v>
      </c>
      <c r="V445" s="4">
        <v>0</v>
      </c>
      <c r="W4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5" s="4">
        <v>234.5</v>
      </c>
      <c r="Y445" s="4">
        <f>(Base[[#This Row],['[Maladies']Coûts_évités_par_salarié]]+Base[[#This Row],['[Travail']Coûts_évités_par_salarié]])/Base[[#This Row],[Budget_santé_salarié]]</f>
        <v>0</v>
      </c>
      <c r="Z445" s="4">
        <v>0.8</v>
      </c>
      <c r="AA445" s="4">
        <f>Base[[#This Row],[Coût]]*Base[[#This Row],[Part_société_dépenses_santé]]</f>
        <v>0</v>
      </c>
      <c r="AB445" s="4">
        <v>67635124</v>
      </c>
      <c r="AC445" s="4">
        <v>82.297079063317852</v>
      </c>
      <c r="AD445" s="4">
        <v>0</v>
      </c>
      <c r="AE445" s="4">
        <f>Base[[#This Row],['[SC']Prévalence_travail]]*Base[[#This Row],[Population_emploi]]</f>
        <v>0</v>
      </c>
      <c r="AF445" s="4">
        <f>Base[[#This Row],[Risque]]*Base[[#This Row],['[SC']Patients_en_emploi]]</f>
        <v>0</v>
      </c>
      <c r="AG445" s="4">
        <v>0</v>
      </c>
      <c r="AH445" s="4">
        <f>IFERROR(Base[[#This Row],['[SC']Prestations]]/Base[[#This Row],['[SC']Patients_en_emploi]],0)</f>
        <v>0</v>
      </c>
      <c r="AI445" s="4">
        <v>51.7</v>
      </c>
      <c r="AJ4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5" s="4">
        <f>Base[[#This Row],['[SC']'[Travail']Coûts_évités]]/Base[[#This Row],[Population_emploi]]</f>
        <v>0</v>
      </c>
      <c r="AL445" s="4">
        <f>Base[[#This Row],[Coût_société]]*10^9*Base[[#This Row],[Risque]]*Base[[#This Row],[Prévalence]]*Base[[#This Row],[Part_coûts_salarié]]/Base[[#This Row],[Population_emploi]]</f>
        <v>0</v>
      </c>
      <c r="AM445" s="4">
        <f>IF(Base[[#This Row],[Pathologie]]&lt;&gt;"Dépendance",0,14909.24243952)</f>
        <v>0</v>
      </c>
      <c r="AN445" s="4">
        <f>IF(Base[[#This Row],[Pathologie]]&lt;&gt;"Dépendance",0,1316000)</f>
        <v>0</v>
      </c>
      <c r="AO445" s="4">
        <f>IF(Base[[#This Row],[Pathologie]]&lt;&gt;"Dépendance",0,Base[[#This Row],['[SC']Coût_personne_dépendante]]*Base[[#This Row],['[SC']Nb_personnes_dépendantes]])</f>
        <v>0</v>
      </c>
      <c r="AP445" s="4">
        <f>IF(Base[[#This Row],[Pathologie]]&lt;&gt;"Dépendance",0,Base[[#This Row],['[SC']Coût_total_dépendance]]/Base[[#This Row],[Population_totale]])</f>
        <v>0</v>
      </c>
      <c r="AQ445" s="4">
        <f>IF(Base[[#This Row],[Pathologie]]&lt;&gt;"Dépendance",0,4.5)</f>
        <v>0</v>
      </c>
      <c r="AR445" s="4">
        <v>0.83987615528424797</v>
      </c>
      <c r="AS445" s="4">
        <f>Base[[#This Row],[Espérance_vie]]+Base[[#This Row],['[SC']Hausse_esp_de_vie]]-Base[[#This Row],['[SC']Durée_moyenne_dépendance_avt]]+Base[[#This Row],[Risque]]</f>
        <v>83.378107778040146</v>
      </c>
      <c r="AT4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5" s="4">
        <v>62.9</v>
      </c>
      <c r="AW445" s="4">
        <f t="shared" si="10"/>
        <v>336905600000</v>
      </c>
      <c r="AX445" s="4">
        <v>15049171</v>
      </c>
      <c r="AY445" s="4">
        <f>Base[[#This Row],['[SC']Budget_total_retraites]]/Base[[#This Row],['[SC']Nombre_de_retraités]]</f>
        <v>22386.987296509556</v>
      </c>
      <c r="AZ445" s="4">
        <f>Base[[#This Row],['[SC']Budget_par_retraité]]*Base[[#This Row],['[SC']Nb_personnes_dépendantes]]</f>
        <v>0</v>
      </c>
      <c r="BA445" s="4">
        <f>Base[[#This Row],['[SC']'[Dépendance']Coût_retraite_personnes_dépendantes]]/Base[[#This Row],[Population_totale]]</f>
        <v>0</v>
      </c>
      <c r="BB4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5" s="4">
        <f>Base[[#This Row],['[SC']'[Dépendance']Gains]]-Base[[#This Row],['[SC']'[Dépendance']Coûts]]</f>
        <v>0</v>
      </c>
      <c r="BD445" s="4">
        <f>IF(Base[[#This Row],[Pathologie]]&lt;&gt;"Mort prématurée",0,Base[[#This Row],[Risque]]*Base[[#This Row],[Prévalence]]*Base[[#This Row],[Population_totale]])</f>
        <v>29137.003607090672</v>
      </c>
      <c r="BE445" s="4">
        <v>52.74</v>
      </c>
      <c r="BF445" s="4">
        <f>Base[[#This Row],['[SC']Âge_moyen_retraite]]-Base[[#This Row],['[SC']'[Mort_prématurée']Âge_moyen_mort précoce]]</f>
        <v>10.159999999999997</v>
      </c>
      <c r="BG445" s="4">
        <f>Base[[#This Row],[Espérance_vie]]+Base[[#This Row],['[SC']Hausse_esp_de_vie]]-Base[[#This Row],['[SC']Âge_moyen_retraite]]</f>
        <v>20.236955218602098</v>
      </c>
      <c r="BH445" s="4">
        <v>106583.42676924677</v>
      </c>
      <c r="BI445" s="4">
        <v>97601.789429271477</v>
      </c>
      <c r="BJ445" s="4">
        <v>302038.31496633729</v>
      </c>
      <c r="BK445" s="4">
        <v>117293.58934859755</v>
      </c>
      <c r="BL445" s="4">
        <v>1523999.9999999995</v>
      </c>
      <c r="BM4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5" s="4">
        <v>294804.96027377353</v>
      </c>
      <c r="BO4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5" s="4">
        <f>(Base[[#This Row],['[SC']'[Mort_prématurée']Gains]]-Base[[#This Row],['[SC']'[Mort_prématurée']Coûts]])/Base[[#This Row],[Population_totale]]</f>
        <v>26.257324141376316</v>
      </c>
      <c r="BQ445" s="4">
        <f>IF(Base[[#This Row],[Pathologie]]&lt;&gt;"Mort prématurée",0,Base[[#This Row],[Risque]])</f>
        <v>0.24115255943805147</v>
      </c>
      <c r="BR445" s="4">
        <v>2680</v>
      </c>
      <c r="BS4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5" s="4">
        <f>Base[[#This Row],[Prévalence_prod]]*(1-Base[[#This Row],[Risque]])*Base[[#This Row],[Durée_arrêt]]*Base[[#This Row],[Population_emploi]]</f>
        <v>0</v>
      </c>
      <c r="BV445" s="4">
        <f>Base[[#This Row],['[Prod']'[Absentéisme']Total_jours_absence_avant]]-Base[[#This Row],['[Prod']'[Absentéisme']Total_jours_absence_après]]</f>
        <v>0</v>
      </c>
      <c r="BW445" s="4">
        <f>IF(AND(Base[[#This Row],[Pathologie]]&lt;&gt;"Dépendance",Base[[#This Row],[Pathologie]]&lt;&gt;"Mort prématurée",Base[[#This Row],[Pathologie]]&lt;&gt;"Migraine"),0.0619,0)</f>
        <v>0</v>
      </c>
      <c r="BX445" s="4">
        <v>254</v>
      </c>
      <c r="BY44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5" s="4">
        <f>Base[[#This Row],[Prévalence_prod]]*Base[[#This Row],[Présentéisme]]*Base[[#This Row],['[Prod']Jours_ouvrés]]</f>
        <v>0</v>
      </c>
      <c r="CB445" s="4">
        <f>Base[[#This Row],[Prévalence_prod]]*(1-Base[[#This Row],[Risque]])*Base[[#This Row],[Présentéisme]]*Base[[#This Row],['[Prod']Jours_ouvrés]]</f>
        <v>0</v>
      </c>
      <c r="CC445" s="4">
        <f>Base[[#This Row],['[Prod']'[Présentéisme']Jours_avant]]-Base[[#This Row],['[Prod']'[Présentéisme']Jours_après]]</f>
        <v>0</v>
      </c>
      <c r="CD445" s="4">
        <f>Base[[#This Row],['[Prod']'[Présentéisme']Jours_gagnés]]/Base[[#This Row],['[Prod']Jours_ouvrés]]</f>
        <v>0</v>
      </c>
      <c r="CE445">
        <v>7.5880726467531134E-2</v>
      </c>
      <c r="CF445">
        <v>1.989821358241517E-2</v>
      </c>
      <c r="CG445" s="4">
        <v>11</v>
      </c>
      <c r="CH445" s="4">
        <v>0.78414927716175975</v>
      </c>
      <c r="CI445" s="4">
        <v>0.12835819090128339</v>
      </c>
      <c r="CJ445" s="4">
        <f>IF(Base[[#This Row],[Secteur]]&lt;&gt;"Moyenne",Base[[#This Row],['[Prod']'[Turnover']DMC_initiale]]*(1+Base[[#This Row],['[Prod']'[Turnover']Ecart_accidents]]*Base[[#This Row],['[Prod']Impact_motifs_turnover]]),CJ428*CI428+CJ429*CI429+CJ430*CI430+CJ431*CI431+CJ432*CI432+CJ433*CI433+CJ434*CI434+CJ435*CI435+CJ436*CI436+CJ437*CI437+CJ438*CI438+CJ439*CI439+CJ440*CI440+CJ441*CI441+CJ442*CI442+CJ443*CI443+CJ444*CI444)</f>
        <v>11.171634867772074</v>
      </c>
      <c r="CK445" s="4">
        <f>1/Base[[#This Row],['[Prod']'[Turnover']DMC_initiale]]</f>
        <v>9.0909090909090912E-2</v>
      </c>
      <c r="CL445" s="4">
        <f>1/Base[[#This Row],['[Prod']'[Turnover']DMC_finale]]</f>
        <v>8.9512413521927708E-2</v>
      </c>
    </row>
    <row r="446" spans="2:90" x14ac:dyDescent="0.25">
      <c r="B446" s="4" t="s">
        <v>330</v>
      </c>
      <c r="C446">
        <v>15</v>
      </c>
      <c r="D446" t="s">
        <v>83</v>
      </c>
      <c r="E446" t="s">
        <v>59</v>
      </c>
      <c r="F446" s="3">
        <v>0.24115255943805147</v>
      </c>
      <c r="G446" s="3">
        <v>1.7864082739021815E-3</v>
      </c>
      <c r="H446" s="3">
        <v>1.7864082739021815E-3</v>
      </c>
      <c r="I446" s="3">
        <v>0</v>
      </c>
      <c r="J446" s="3">
        <v>0</v>
      </c>
      <c r="K446" s="3">
        <v>7.0000000000000007E-2</v>
      </c>
      <c r="L446" s="2">
        <f>Base[[#This Row],[Coût]]*Base[[#This Row],[Part_ménages_dépenses_santé]]</f>
        <v>0</v>
      </c>
      <c r="M446" s="2">
        <v>0</v>
      </c>
      <c r="N446" s="6">
        <v>27700000</v>
      </c>
      <c r="O446" s="7">
        <f>Base[[#This Row],[Coût_salarié]]*10^9*Base[[#This Row],[Risque]]*Base[[#This Row],[Prévalence]]*Base[[#This Row],[Part_coûts_salarié]]/Base[[#This Row],[Population_emploi]]</f>
        <v>0</v>
      </c>
      <c r="P446">
        <v>50</v>
      </c>
      <c r="Q446">
        <v>50</v>
      </c>
      <c r="R446" s="2">
        <v>9.9999999999999978E-2</v>
      </c>
      <c r="S446" s="2">
        <v>0.33340000000000003</v>
      </c>
      <c r="T446" s="4">
        <v>0</v>
      </c>
      <c r="U446" s="4">
        <f>IF(Bases_annexes!$F$5=0,16.6587111018772,0.77*Bases_annexes!$F$5/(IF(OR(ISBLANK('Données_d''entrée'!$E$44),'Données_d''entrée'!$E$44=0),35,'Données_d''entrée'!$E$44)*52))</f>
        <v>16.658711101877199</v>
      </c>
      <c r="V446" s="4">
        <v>0</v>
      </c>
      <c r="W4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6" s="4">
        <v>234.5</v>
      </c>
      <c r="Y446" s="4">
        <f>(Base[[#This Row],['[Maladies']Coûts_évités_par_salarié]]+Base[[#This Row],['[Travail']Coûts_évités_par_salarié]])/Base[[#This Row],[Budget_santé_salarié]]</f>
        <v>0</v>
      </c>
      <c r="Z446" s="4">
        <v>0.8</v>
      </c>
      <c r="AA446" s="4">
        <f>Base[[#This Row],[Coût]]*Base[[#This Row],[Part_société_dépenses_santé]]</f>
        <v>0</v>
      </c>
      <c r="AB446" s="4">
        <v>67635124</v>
      </c>
      <c r="AC446" s="4">
        <v>82.297079063317852</v>
      </c>
      <c r="AD446" s="4">
        <v>0</v>
      </c>
      <c r="AE446" s="4">
        <f>Base[[#This Row],['[SC']Prévalence_travail]]*Base[[#This Row],[Population_emploi]]</f>
        <v>0</v>
      </c>
      <c r="AF446" s="4">
        <f>Base[[#This Row],[Risque]]*Base[[#This Row],['[SC']Patients_en_emploi]]</f>
        <v>0</v>
      </c>
      <c r="AG446" s="4">
        <v>0</v>
      </c>
      <c r="AH446" s="4">
        <f>IFERROR(Base[[#This Row],['[SC']Prestations]]/Base[[#This Row],['[SC']Patients_en_emploi]],0)</f>
        <v>0</v>
      </c>
      <c r="AI446" s="4">
        <v>51.7</v>
      </c>
      <c r="AJ4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6" s="4">
        <f>Base[[#This Row],['[SC']'[Travail']Coûts_évités]]/Base[[#This Row],[Population_emploi]]</f>
        <v>0</v>
      </c>
      <c r="AL446" s="4">
        <f>Base[[#This Row],[Coût_société]]*10^9*Base[[#This Row],[Risque]]*Base[[#This Row],[Prévalence]]*Base[[#This Row],[Part_coûts_salarié]]/Base[[#This Row],[Population_emploi]]</f>
        <v>0</v>
      </c>
      <c r="AM446" s="4">
        <f>IF(Base[[#This Row],[Pathologie]]&lt;&gt;"Dépendance",0,14909.24243952)</f>
        <v>0</v>
      </c>
      <c r="AN446" s="4">
        <f>IF(Base[[#This Row],[Pathologie]]&lt;&gt;"Dépendance",0,1316000)</f>
        <v>0</v>
      </c>
      <c r="AO446" s="4">
        <f>IF(Base[[#This Row],[Pathologie]]&lt;&gt;"Dépendance",0,Base[[#This Row],['[SC']Coût_personne_dépendante]]*Base[[#This Row],['[SC']Nb_personnes_dépendantes]])</f>
        <v>0</v>
      </c>
      <c r="AP446" s="4">
        <f>IF(Base[[#This Row],[Pathologie]]&lt;&gt;"Dépendance",0,Base[[#This Row],['[SC']Coût_total_dépendance]]/Base[[#This Row],[Population_totale]])</f>
        <v>0</v>
      </c>
      <c r="AQ446" s="4">
        <f>IF(Base[[#This Row],[Pathologie]]&lt;&gt;"Dépendance",0,4.5)</f>
        <v>0</v>
      </c>
      <c r="AR446" s="4">
        <v>0.83987615528424797</v>
      </c>
      <c r="AS446" s="4">
        <f>Base[[#This Row],[Espérance_vie]]+Base[[#This Row],['[SC']Hausse_esp_de_vie]]-Base[[#This Row],['[SC']Durée_moyenne_dépendance_avt]]+Base[[#This Row],[Risque]]</f>
        <v>83.378107778040146</v>
      </c>
      <c r="AT4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6" s="4">
        <v>62.9</v>
      </c>
      <c r="AW446" s="4">
        <f t="shared" si="10"/>
        <v>336905600000</v>
      </c>
      <c r="AX446" s="4">
        <v>15049171</v>
      </c>
      <c r="AY446" s="4">
        <f>Base[[#This Row],['[SC']Budget_total_retraites]]/Base[[#This Row],['[SC']Nombre_de_retraités]]</f>
        <v>22386.987296509556</v>
      </c>
      <c r="AZ446" s="4">
        <f>Base[[#This Row],['[SC']Budget_par_retraité]]*Base[[#This Row],['[SC']Nb_personnes_dépendantes]]</f>
        <v>0</v>
      </c>
      <c r="BA446" s="4">
        <f>Base[[#This Row],['[SC']'[Dépendance']Coût_retraite_personnes_dépendantes]]/Base[[#This Row],[Population_totale]]</f>
        <v>0</v>
      </c>
      <c r="BB4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6" s="4">
        <f>Base[[#This Row],['[SC']'[Dépendance']Gains]]-Base[[#This Row],['[SC']'[Dépendance']Coûts]]</f>
        <v>0</v>
      </c>
      <c r="BD446" s="4">
        <f>IF(Base[[#This Row],[Pathologie]]&lt;&gt;"Mort prématurée",0,Base[[#This Row],[Risque]]*Base[[#This Row],[Prévalence]]*Base[[#This Row],[Population_totale]])</f>
        <v>29137.003607090672</v>
      </c>
      <c r="BE446" s="4">
        <v>52.74</v>
      </c>
      <c r="BF446" s="4">
        <f>Base[[#This Row],['[SC']Âge_moyen_retraite]]-Base[[#This Row],['[SC']'[Mort_prématurée']Âge_moyen_mort précoce]]</f>
        <v>10.159999999999997</v>
      </c>
      <c r="BG446" s="4">
        <f>Base[[#This Row],[Espérance_vie]]+Base[[#This Row],['[SC']Hausse_esp_de_vie]]-Base[[#This Row],['[SC']Âge_moyen_retraite]]</f>
        <v>20.236955218602098</v>
      </c>
      <c r="BH446" s="4">
        <v>106583.42676924677</v>
      </c>
      <c r="BI446" s="4">
        <v>97601.789429271477</v>
      </c>
      <c r="BJ446" s="4">
        <v>302038.31496633729</v>
      </c>
      <c r="BK446" s="4">
        <v>117293.58934859755</v>
      </c>
      <c r="BL446" s="4">
        <v>1523999.9999999995</v>
      </c>
      <c r="BM4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6" s="4">
        <v>294804.96027377353</v>
      </c>
      <c r="BO4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6" s="4">
        <f>(Base[[#This Row],['[SC']'[Mort_prématurée']Gains]]-Base[[#This Row],['[SC']'[Mort_prématurée']Coûts]])/Base[[#This Row],[Population_totale]]</f>
        <v>26.257324141376316</v>
      </c>
      <c r="BQ446" s="4">
        <f>IF(Base[[#This Row],[Pathologie]]&lt;&gt;"Mort prématurée",0,Base[[#This Row],[Risque]])</f>
        <v>0.24115255943805147</v>
      </c>
      <c r="BR446" s="4">
        <v>2680</v>
      </c>
      <c r="BS4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6" s="4">
        <f>Base[[#This Row],[Prévalence_prod]]*(1-Base[[#This Row],[Risque]])*Base[[#This Row],[Durée_arrêt]]*Base[[#This Row],[Population_emploi]]</f>
        <v>0</v>
      </c>
      <c r="BV446" s="4">
        <f>Base[[#This Row],['[Prod']'[Absentéisme']Total_jours_absence_avant]]-Base[[#This Row],['[Prod']'[Absentéisme']Total_jours_absence_après]]</f>
        <v>0</v>
      </c>
      <c r="BW446" s="4">
        <f>IF(AND(Base[[#This Row],[Pathologie]]&lt;&gt;"Dépendance",Base[[#This Row],[Pathologie]]&lt;&gt;"Mort prématurée",Base[[#This Row],[Pathologie]]&lt;&gt;"Migraine"),0.0619,0)</f>
        <v>0</v>
      </c>
      <c r="BX446" s="4">
        <v>254</v>
      </c>
      <c r="BY44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6" s="4">
        <f>Base[[#This Row],[Prévalence_prod]]*Base[[#This Row],[Présentéisme]]*Base[[#This Row],['[Prod']Jours_ouvrés]]</f>
        <v>0</v>
      </c>
      <c r="CB446" s="4">
        <f>Base[[#This Row],[Prévalence_prod]]*(1-Base[[#This Row],[Risque]])*Base[[#This Row],[Présentéisme]]*Base[[#This Row],['[Prod']Jours_ouvrés]]</f>
        <v>0</v>
      </c>
      <c r="CC446" s="4">
        <f>Base[[#This Row],['[Prod']'[Présentéisme']Jours_avant]]-Base[[#This Row],['[Prod']'[Présentéisme']Jours_après]]</f>
        <v>0</v>
      </c>
      <c r="CD446" s="4">
        <f>Base[[#This Row],['[Prod']'[Présentéisme']Jours_gagnés]]/Base[[#This Row],['[Prod']Jours_ouvrés]]</f>
        <v>0</v>
      </c>
      <c r="CE446">
        <v>7.5880726467531134E-2</v>
      </c>
      <c r="CF446">
        <v>1.989821358241517E-2</v>
      </c>
      <c r="CG446" s="4">
        <v>11</v>
      </c>
      <c r="CH446" s="4">
        <v>0.99648427619813984</v>
      </c>
      <c r="CI446" s="4">
        <v>0.42377466100567313</v>
      </c>
      <c r="CJ446" s="4">
        <f>IF(Base[[#This Row],[Secteur]]&lt;&gt;"Moyenne",Base[[#This Row],['[Prod']'[Turnover']DMC_initiale]]*(1+Base[[#This Row],['[Prod']'[Turnover']Ecart_accidents]]*Base[[#This Row],['[Prod']Impact_motifs_turnover]]),CJ429*CI429+CJ430*CI430+CJ431*CI431+CJ432*CI432+CJ433*CI433+CJ434*CI434+CJ435*CI435+CJ436*CI436+CJ437*CI437+CJ438*CI438+CJ439*CI439+CJ440*CI440+CJ441*CI441+CJ442*CI442+CJ443*CI443+CJ444*CI444+CJ445*CI445)</f>
        <v>11.218110826552397</v>
      </c>
      <c r="CK446" s="4">
        <f>1/Base[[#This Row],['[Prod']'[Turnover']DMC_initiale]]</f>
        <v>9.0909090909090912E-2</v>
      </c>
      <c r="CL446" s="4">
        <f>1/Base[[#This Row],['[Prod']'[Turnover']DMC_finale]]</f>
        <v>8.9141568973723953E-2</v>
      </c>
    </row>
    <row r="447" spans="2:90" x14ac:dyDescent="0.25">
      <c r="B447" s="4" t="s">
        <v>331</v>
      </c>
      <c r="C447">
        <v>15</v>
      </c>
      <c r="D447" t="s">
        <v>83</v>
      </c>
      <c r="E447" t="s">
        <v>59</v>
      </c>
      <c r="F447" s="3">
        <v>0.24115255943805147</v>
      </c>
      <c r="G447" s="3">
        <v>1.7864082739021815E-3</v>
      </c>
      <c r="H447" s="3">
        <v>1.7864082739021815E-3</v>
      </c>
      <c r="I447" s="3">
        <v>0</v>
      </c>
      <c r="J447" s="3">
        <v>0</v>
      </c>
      <c r="K447" s="3">
        <v>7.0000000000000007E-2</v>
      </c>
      <c r="L447" s="2">
        <f>Base[[#This Row],[Coût]]*Base[[#This Row],[Part_ménages_dépenses_santé]]</f>
        <v>0</v>
      </c>
      <c r="M447" s="2">
        <v>0</v>
      </c>
      <c r="N447" s="6">
        <v>27700000</v>
      </c>
      <c r="O447" s="7">
        <f>Base[[#This Row],[Coût_salarié]]*10^9*Base[[#This Row],[Risque]]*Base[[#This Row],[Prévalence]]*Base[[#This Row],[Part_coûts_salarié]]/Base[[#This Row],[Population_emploi]]</f>
        <v>0</v>
      </c>
      <c r="P447">
        <v>50</v>
      </c>
      <c r="Q447">
        <v>50</v>
      </c>
      <c r="R447" s="2">
        <v>9.9999999999999978E-2</v>
      </c>
      <c r="S447" s="2">
        <v>0.33340000000000003</v>
      </c>
      <c r="T447" s="4">
        <v>0</v>
      </c>
      <c r="U447" s="4">
        <f>IF(Bases_annexes!$F$5=0,16.6587111018772,0.77*Bases_annexes!$F$5/(IF(OR(ISBLANK('Données_d''entrée'!$E$44),'Données_d''entrée'!$E$44=0),35,'Données_d''entrée'!$E$44)*52))</f>
        <v>16.658711101877199</v>
      </c>
      <c r="V447" s="4">
        <v>0</v>
      </c>
      <c r="W4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7" s="4">
        <v>234.5</v>
      </c>
      <c r="Y447" s="4">
        <f>(Base[[#This Row],['[Maladies']Coûts_évités_par_salarié]]+Base[[#This Row],['[Travail']Coûts_évités_par_salarié]])/Base[[#This Row],[Budget_santé_salarié]]</f>
        <v>0</v>
      </c>
      <c r="Z447" s="4">
        <v>0.8</v>
      </c>
      <c r="AA447" s="4">
        <f>Base[[#This Row],[Coût]]*Base[[#This Row],[Part_société_dépenses_santé]]</f>
        <v>0</v>
      </c>
      <c r="AB447" s="4">
        <v>67635124</v>
      </c>
      <c r="AC447" s="4">
        <v>82.297079063317852</v>
      </c>
      <c r="AD447" s="4">
        <v>0</v>
      </c>
      <c r="AE447" s="4">
        <f>Base[[#This Row],['[SC']Prévalence_travail]]*Base[[#This Row],[Population_emploi]]</f>
        <v>0</v>
      </c>
      <c r="AF447" s="4">
        <f>Base[[#This Row],[Risque]]*Base[[#This Row],['[SC']Patients_en_emploi]]</f>
        <v>0</v>
      </c>
      <c r="AG447" s="4">
        <v>0</v>
      </c>
      <c r="AH447" s="4">
        <f>IFERROR(Base[[#This Row],['[SC']Prestations]]/Base[[#This Row],['[SC']Patients_en_emploi]],0)</f>
        <v>0</v>
      </c>
      <c r="AI447" s="4">
        <v>51.7</v>
      </c>
      <c r="AJ4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7" s="4">
        <f>Base[[#This Row],['[SC']'[Travail']Coûts_évités]]/Base[[#This Row],[Population_emploi]]</f>
        <v>0</v>
      </c>
      <c r="AL447" s="4">
        <f>Base[[#This Row],[Coût_société]]*10^9*Base[[#This Row],[Risque]]*Base[[#This Row],[Prévalence]]*Base[[#This Row],[Part_coûts_salarié]]/Base[[#This Row],[Population_emploi]]</f>
        <v>0</v>
      </c>
      <c r="AM447" s="4">
        <f>IF(Base[[#This Row],[Pathologie]]&lt;&gt;"Dépendance",0,14909.24243952)</f>
        <v>0</v>
      </c>
      <c r="AN447" s="4">
        <f>IF(Base[[#This Row],[Pathologie]]&lt;&gt;"Dépendance",0,1316000)</f>
        <v>0</v>
      </c>
      <c r="AO447" s="4">
        <f>IF(Base[[#This Row],[Pathologie]]&lt;&gt;"Dépendance",0,Base[[#This Row],['[SC']Coût_personne_dépendante]]*Base[[#This Row],['[SC']Nb_personnes_dépendantes]])</f>
        <v>0</v>
      </c>
      <c r="AP447" s="4">
        <f>IF(Base[[#This Row],[Pathologie]]&lt;&gt;"Dépendance",0,Base[[#This Row],['[SC']Coût_total_dépendance]]/Base[[#This Row],[Population_totale]])</f>
        <v>0</v>
      </c>
      <c r="AQ447" s="4">
        <f>IF(Base[[#This Row],[Pathologie]]&lt;&gt;"Dépendance",0,4.5)</f>
        <v>0</v>
      </c>
      <c r="AR447" s="4">
        <v>0.83987615528424797</v>
      </c>
      <c r="AS447" s="4">
        <f>Base[[#This Row],[Espérance_vie]]+Base[[#This Row],['[SC']Hausse_esp_de_vie]]-Base[[#This Row],['[SC']Durée_moyenne_dépendance_avt]]+Base[[#This Row],[Risque]]</f>
        <v>83.378107778040146</v>
      </c>
      <c r="AT4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7" s="4">
        <v>62.9</v>
      </c>
      <c r="AW447" s="4">
        <f t="shared" si="10"/>
        <v>336905600000</v>
      </c>
      <c r="AX447" s="4">
        <v>15049171</v>
      </c>
      <c r="AY447" s="4">
        <f>Base[[#This Row],['[SC']Budget_total_retraites]]/Base[[#This Row],['[SC']Nombre_de_retraités]]</f>
        <v>22386.987296509556</v>
      </c>
      <c r="AZ447" s="4">
        <f>Base[[#This Row],['[SC']Budget_par_retraité]]*Base[[#This Row],['[SC']Nb_personnes_dépendantes]]</f>
        <v>0</v>
      </c>
      <c r="BA447" s="4">
        <f>Base[[#This Row],['[SC']'[Dépendance']Coût_retraite_personnes_dépendantes]]/Base[[#This Row],[Population_totale]]</f>
        <v>0</v>
      </c>
      <c r="BB4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7" s="4">
        <f>Base[[#This Row],['[SC']'[Dépendance']Gains]]-Base[[#This Row],['[SC']'[Dépendance']Coûts]]</f>
        <v>0</v>
      </c>
      <c r="BD447" s="4">
        <f>IF(Base[[#This Row],[Pathologie]]&lt;&gt;"Mort prématurée",0,Base[[#This Row],[Risque]]*Base[[#This Row],[Prévalence]]*Base[[#This Row],[Population_totale]])</f>
        <v>29137.003607090672</v>
      </c>
      <c r="BE447" s="4">
        <v>52.74</v>
      </c>
      <c r="BF447" s="4">
        <f>Base[[#This Row],['[SC']Âge_moyen_retraite]]-Base[[#This Row],['[SC']'[Mort_prématurée']Âge_moyen_mort précoce]]</f>
        <v>10.159999999999997</v>
      </c>
      <c r="BG447" s="4">
        <f>Base[[#This Row],[Espérance_vie]]+Base[[#This Row],['[SC']Hausse_esp_de_vie]]-Base[[#This Row],['[SC']Âge_moyen_retraite]]</f>
        <v>20.236955218602098</v>
      </c>
      <c r="BH447" s="4">
        <v>106583.42676924677</v>
      </c>
      <c r="BI447" s="4">
        <v>97601.789429271477</v>
      </c>
      <c r="BJ447" s="4">
        <v>302038.31496633729</v>
      </c>
      <c r="BK447" s="4">
        <v>117293.58934859755</v>
      </c>
      <c r="BL447" s="4">
        <v>1523999.9999999995</v>
      </c>
      <c r="BM4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7" s="4">
        <v>294804.96027377353</v>
      </c>
      <c r="BO4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7" s="4">
        <f>(Base[[#This Row],['[SC']'[Mort_prématurée']Gains]]-Base[[#This Row],['[SC']'[Mort_prématurée']Coûts]])/Base[[#This Row],[Population_totale]]</f>
        <v>26.257324141376316</v>
      </c>
      <c r="BQ447" s="4">
        <f>IF(Base[[#This Row],[Pathologie]]&lt;&gt;"Mort prématurée",0,Base[[#This Row],[Risque]])</f>
        <v>0.24115255943805147</v>
      </c>
      <c r="BR447" s="4">
        <v>2680</v>
      </c>
      <c r="BS4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7" s="4">
        <f>Base[[#This Row],[Prévalence_prod]]*(1-Base[[#This Row],[Risque]])*Base[[#This Row],[Durée_arrêt]]*Base[[#This Row],[Population_emploi]]</f>
        <v>0</v>
      </c>
      <c r="BV447" s="4">
        <f>Base[[#This Row],['[Prod']'[Absentéisme']Total_jours_absence_avant]]-Base[[#This Row],['[Prod']'[Absentéisme']Total_jours_absence_après]]</f>
        <v>0</v>
      </c>
      <c r="BW447" s="4">
        <f>IF(AND(Base[[#This Row],[Pathologie]]&lt;&gt;"Dépendance",Base[[#This Row],[Pathologie]]&lt;&gt;"Mort prématurée",Base[[#This Row],[Pathologie]]&lt;&gt;"Migraine"),0.0619,0)</f>
        <v>0</v>
      </c>
      <c r="BX447" s="4">
        <v>254</v>
      </c>
      <c r="BY44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7" s="4">
        <f>Base[[#This Row],[Prévalence_prod]]*Base[[#This Row],[Présentéisme]]*Base[[#This Row],['[Prod']Jours_ouvrés]]</f>
        <v>0</v>
      </c>
      <c r="CB447" s="4">
        <f>Base[[#This Row],[Prévalence_prod]]*(1-Base[[#This Row],[Risque]])*Base[[#This Row],[Présentéisme]]*Base[[#This Row],['[Prod']Jours_ouvrés]]</f>
        <v>0</v>
      </c>
      <c r="CC447" s="4">
        <f>Base[[#This Row],['[Prod']'[Présentéisme']Jours_avant]]-Base[[#This Row],['[Prod']'[Présentéisme']Jours_après]]</f>
        <v>0</v>
      </c>
      <c r="CD447" s="4">
        <f>Base[[#This Row],['[Prod']'[Présentéisme']Jours_gagnés]]/Base[[#This Row],['[Prod']Jours_ouvrés]]</f>
        <v>0</v>
      </c>
      <c r="CE447">
        <v>7.5880726467531134E-2</v>
      </c>
      <c r="CF447">
        <v>1.989821358241517E-2</v>
      </c>
      <c r="CG447" s="4">
        <v>11</v>
      </c>
      <c r="CH447" s="4">
        <v>1.1593596509901765</v>
      </c>
      <c r="CI447" s="4">
        <v>4.0741311947357597E-2</v>
      </c>
      <c r="CJ447" s="4">
        <f>IF(Base[[#This Row],[Secteur]]&lt;&gt;"Moyenne",Base[[#This Row],['[Prod']'[Turnover']DMC_initiale]]*(1+Base[[#This Row],['[Prod']'[Turnover']Ecart_accidents]]*Base[[#This Row],['[Prod']Impact_motifs_turnover]]),CJ430*CI430+CJ431*CI431+CJ432*CI432+CJ433*CI433+CJ434*CI434+CJ435*CI435+CJ436*CI436+CJ437*CI437+CJ438*CI438+CJ439*CI439+CJ440*CI440+CJ441*CI441+CJ442*CI442+CJ443*CI443+CJ444*CI444+CJ445*CI445+CJ446*CI446)</f>
        <v>11.253761045496606</v>
      </c>
      <c r="CK447" s="4">
        <f>1/Base[[#This Row],['[Prod']'[Turnover']DMC_initiale]]</f>
        <v>9.0909090909090912E-2</v>
      </c>
      <c r="CL447" s="4">
        <f>1/Base[[#This Row],['[Prod']'[Turnover']DMC_finale]]</f>
        <v>8.8859181917690336E-2</v>
      </c>
    </row>
    <row r="448" spans="2:90" x14ac:dyDescent="0.25">
      <c r="B448" s="4" t="s">
        <v>332</v>
      </c>
      <c r="C448">
        <v>15</v>
      </c>
      <c r="D448" t="s">
        <v>83</v>
      </c>
      <c r="E448" t="s">
        <v>59</v>
      </c>
      <c r="F448" s="3">
        <v>0.24115255943805147</v>
      </c>
      <c r="G448" s="3">
        <v>1.7864082739021815E-3</v>
      </c>
      <c r="H448" s="3">
        <v>1.7864082739021815E-3</v>
      </c>
      <c r="I448" s="3">
        <v>0</v>
      </c>
      <c r="J448" s="3">
        <v>0</v>
      </c>
      <c r="K448" s="3">
        <v>7.0000000000000007E-2</v>
      </c>
      <c r="L448" s="2">
        <f>Base[[#This Row],[Coût]]*Base[[#This Row],[Part_ménages_dépenses_santé]]</f>
        <v>0</v>
      </c>
      <c r="M448" s="2">
        <v>0</v>
      </c>
      <c r="N448" s="6">
        <v>27700000</v>
      </c>
      <c r="O448" s="7">
        <f>Base[[#This Row],[Coût_salarié]]*10^9*Base[[#This Row],[Risque]]*Base[[#This Row],[Prévalence]]*Base[[#This Row],[Part_coûts_salarié]]/Base[[#This Row],[Population_emploi]]</f>
        <v>0</v>
      </c>
      <c r="P448">
        <v>50</v>
      </c>
      <c r="Q448">
        <v>50</v>
      </c>
      <c r="R448" s="2">
        <v>9.9999999999999978E-2</v>
      </c>
      <c r="S448" s="2">
        <v>0.33340000000000003</v>
      </c>
      <c r="T448" s="4">
        <v>0</v>
      </c>
      <c r="U448" s="4">
        <f>IF(Bases_annexes!$F$5=0,16.6587111018772,0.77*Bases_annexes!$F$5/(IF(OR(ISBLANK('Données_d''entrée'!$E$44),'Données_d''entrée'!$E$44=0),35,'Données_d''entrée'!$E$44)*52))</f>
        <v>16.658711101877199</v>
      </c>
      <c r="V448" s="4">
        <v>0</v>
      </c>
      <c r="W4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8" s="4">
        <v>234.5</v>
      </c>
      <c r="Y448" s="4">
        <f>(Base[[#This Row],['[Maladies']Coûts_évités_par_salarié]]+Base[[#This Row],['[Travail']Coûts_évités_par_salarié]])/Base[[#This Row],[Budget_santé_salarié]]</f>
        <v>0</v>
      </c>
      <c r="Z448" s="4">
        <v>0.8</v>
      </c>
      <c r="AA448" s="4">
        <f>Base[[#This Row],[Coût]]*Base[[#This Row],[Part_société_dépenses_santé]]</f>
        <v>0</v>
      </c>
      <c r="AB448" s="4">
        <v>67635124</v>
      </c>
      <c r="AC448" s="4">
        <v>82.297079063317852</v>
      </c>
      <c r="AD448" s="4">
        <v>0</v>
      </c>
      <c r="AE448" s="4">
        <f>Base[[#This Row],['[SC']Prévalence_travail]]*Base[[#This Row],[Population_emploi]]</f>
        <v>0</v>
      </c>
      <c r="AF448" s="4">
        <f>Base[[#This Row],[Risque]]*Base[[#This Row],['[SC']Patients_en_emploi]]</f>
        <v>0</v>
      </c>
      <c r="AG448" s="4">
        <v>0</v>
      </c>
      <c r="AH448" s="4">
        <f>IFERROR(Base[[#This Row],['[SC']Prestations]]/Base[[#This Row],['[SC']Patients_en_emploi]],0)</f>
        <v>0</v>
      </c>
      <c r="AI448" s="4">
        <v>51.7</v>
      </c>
      <c r="AJ4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8" s="4">
        <f>Base[[#This Row],['[SC']'[Travail']Coûts_évités]]/Base[[#This Row],[Population_emploi]]</f>
        <v>0</v>
      </c>
      <c r="AL448" s="4">
        <f>Base[[#This Row],[Coût_société]]*10^9*Base[[#This Row],[Risque]]*Base[[#This Row],[Prévalence]]*Base[[#This Row],[Part_coûts_salarié]]/Base[[#This Row],[Population_emploi]]</f>
        <v>0</v>
      </c>
      <c r="AM448" s="4">
        <f>IF(Base[[#This Row],[Pathologie]]&lt;&gt;"Dépendance",0,14909.24243952)</f>
        <v>0</v>
      </c>
      <c r="AN448" s="4">
        <f>IF(Base[[#This Row],[Pathologie]]&lt;&gt;"Dépendance",0,1316000)</f>
        <v>0</v>
      </c>
      <c r="AO448" s="4">
        <f>IF(Base[[#This Row],[Pathologie]]&lt;&gt;"Dépendance",0,Base[[#This Row],['[SC']Coût_personne_dépendante]]*Base[[#This Row],['[SC']Nb_personnes_dépendantes]])</f>
        <v>0</v>
      </c>
      <c r="AP448" s="4">
        <f>IF(Base[[#This Row],[Pathologie]]&lt;&gt;"Dépendance",0,Base[[#This Row],['[SC']Coût_total_dépendance]]/Base[[#This Row],[Population_totale]])</f>
        <v>0</v>
      </c>
      <c r="AQ448" s="4">
        <f>IF(Base[[#This Row],[Pathologie]]&lt;&gt;"Dépendance",0,4.5)</f>
        <v>0</v>
      </c>
      <c r="AR448" s="4">
        <v>0.83987615528424797</v>
      </c>
      <c r="AS448" s="4">
        <f>Base[[#This Row],[Espérance_vie]]+Base[[#This Row],['[SC']Hausse_esp_de_vie]]-Base[[#This Row],['[SC']Durée_moyenne_dépendance_avt]]+Base[[#This Row],[Risque]]</f>
        <v>83.378107778040146</v>
      </c>
      <c r="AT4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8" s="4">
        <v>62.9</v>
      </c>
      <c r="AW448" s="4">
        <f t="shared" si="10"/>
        <v>336905600000</v>
      </c>
      <c r="AX448" s="4">
        <v>15049171</v>
      </c>
      <c r="AY448" s="4">
        <f>Base[[#This Row],['[SC']Budget_total_retraites]]/Base[[#This Row],['[SC']Nombre_de_retraités]]</f>
        <v>22386.987296509556</v>
      </c>
      <c r="AZ448" s="4">
        <f>Base[[#This Row],['[SC']Budget_par_retraité]]*Base[[#This Row],['[SC']Nb_personnes_dépendantes]]</f>
        <v>0</v>
      </c>
      <c r="BA448" s="4">
        <f>Base[[#This Row],['[SC']'[Dépendance']Coût_retraite_personnes_dépendantes]]/Base[[#This Row],[Population_totale]]</f>
        <v>0</v>
      </c>
      <c r="BB4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8" s="4">
        <f>Base[[#This Row],['[SC']'[Dépendance']Gains]]-Base[[#This Row],['[SC']'[Dépendance']Coûts]]</f>
        <v>0</v>
      </c>
      <c r="BD448" s="4">
        <f>IF(Base[[#This Row],[Pathologie]]&lt;&gt;"Mort prématurée",0,Base[[#This Row],[Risque]]*Base[[#This Row],[Prévalence]]*Base[[#This Row],[Population_totale]])</f>
        <v>29137.003607090672</v>
      </c>
      <c r="BE448" s="4">
        <v>52.74</v>
      </c>
      <c r="BF448" s="4">
        <f>Base[[#This Row],['[SC']Âge_moyen_retraite]]-Base[[#This Row],['[SC']'[Mort_prématurée']Âge_moyen_mort précoce]]</f>
        <v>10.159999999999997</v>
      </c>
      <c r="BG448" s="4">
        <f>Base[[#This Row],[Espérance_vie]]+Base[[#This Row],['[SC']Hausse_esp_de_vie]]-Base[[#This Row],['[SC']Âge_moyen_retraite]]</f>
        <v>20.236955218602098</v>
      </c>
      <c r="BH448" s="4">
        <v>106583.42676924677</v>
      </c>
      <c r="BI448" s="4">
        <v>97601.789429271477</v>
      </c>
      <c r="BJ448" s="4">
        <v>302038.31496633729</v>
      </c>
      <c r="BK448" s="4">
        <v>117293.58934859755</v>
      </c>
      <c r="BL448" s="4">
        <v>1523999.9999999995</v>
      </c>
      <c r="BM4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2058502690.045646</v>
      </c>
      <c r="BN448" s="4">
        <v>294804.96027377353</v>
      </c>
      <c r="BO4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282585315.83546507</v>
      </c>
      <c r="BP448" s="4">
        <f>(Base[[#This Row],['[SC']'[Mort_prématurée']Gains]]-Base[[#This Row],['[SC']'[Mort_prématurée']Coûts]])/Base[[#This Row],[Population_totale]]</f>
        <v>26.257324141376316</v>
      </c>
      <c r="BQ448" s="4">
        <f>IF(Base[[#This Row],[Pathologie]]&lt;&gt;"Mort prématurée",0,Base[[#This Row],[Risque]])</f>
        <v>0.24115255943805147</v>
      </c>
      <c r="BR448" s="4">
        <v>2680</v>
      </c>
      <c r="BS4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9.7975090079762371E-3</v>
      </c>
      <c r="BT4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8" s="4">
        <f>Base[[#This Row],[Prévalence_prod]]*(1-Base[[#This Row],[Risque]])*Base[[#This Row],[Durée_arrêt]]*Base[[#This Row],[Population_emploi]]</f>
        <v>0</v>
      </c>
      <c r="BV448" s="4">
        <f>Base[[#This Row],['[Prod']'[Absentéisme']Total_jours_absence_avant]]-Base[[#This Row],['[Prod']'[Absentéisme']Total_jours_absence_après]]</f>
        <v>0</v>
      </c>
      <c r="BW448" s="4">
        <f>IF(AND(Base[[#This Row],[Pathologie]]&lt;&gt;"Dépendance",Base[[#This Row],[Pathologie]]&lt;&gt;"Mort prématurée",Base[[#This Row],[Pathologie]]&lt;&gt;"Migraine"),0.0619,0)</f>
        <v>0</v>
      </c>
      <c r="BX448" s="4">
        <v>254</v>
      </c>
      <c r="BY44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8" s="4">
        <f>Base[[#This Row],[Prévalence_prod]]*Base[[#This Row],[Présentéisme]]*Base[[#This Row],['[Prod']Jours_ouvrés]]</f>
        <v>0</v>
      </c>
      <c r="CB448" s="4">
        <f>Base[[#This Row],[Prévalence_prod]]*(1-Base[[#This Row],[Risque]])*Base[[#This Row],[Présentéisme]]*Base[[#This Row],['[Prod']Jours_ouvrés]]</f>
        <v>0</v>
      </c>
      <c r="CC448" s="4">
        <f>Base[[#This Row],['[Prod']'[Présentéisme']Jours_avant]]-Base[[#This Row],['[Prod']'[Présentéisme']Jours_après]]</f>
        <v>0</v>
      </c>
      <c r="CD448" s="4">
        <f>Base[[#This Row],['[Prod']'[Présentéisme']Jours_gagnés]]/Base[[#This Row],['[Prod']Jours_ouvrés]]</f>
        <v>0</v>
      </c>
      <c r="CE448">
        <v>7.5880726467531134E-2</v>
      </c>
      <c r="CF448">
        <v>1.989821358241517E-2</v>
      </c>
      <c r="CG448" s="4">
        <v>11</v>
      </c>
      <c r="CH448" s="4">
        <v>0.85076983926913452</v>
      </c>
      <c r="CI448" s="4">
        <v>0</v>
      </c>
      <c r="CJ448" s="4">
        <f>IF(Base[[#This Row],[Secteur]]&lt;&gt;"Moyenne",Base[[#This Row],['[Prod']'[Turnover']DMC_initiale]]*(1+Base[[#This Row],['[Prod']'[Turnover']Ecart_accidents]]*Base[[#This Row],['[Prod']Impact_motifs_turnover]]),CJ431*CI431+CJ432*CI432+CJ433*CI433+CJ434*CI434+CJ435*CI435+CJ436*CI436+CJ437*CI437+CJ438*CI438+CJ439*CI439+CJ440*CI440+CJ441*CI441+CJ442*CI442+CJ443*CI443+CJ444*CI444+CJ445*CI445+CJ446*CI446+CJ447*CI447)</f>
        <v>11.186216799683796</v>
      </c>
      <c r="CK448" s="4">
        <f>1/Base[[#This Row],['[Prod']'[Turnover']DMC_initiale]]</f>
        <v>9.0909090909090912E-2</v>
      </c>
      <c r="CL448" s="4">
        <f>1/Base[[#This Row],['[Prod']'[Turnover']DMC_finale]]</f>
        <v>8.9395728502979416E-2</v>
      </c>
    </row>
    <row r="449" spans="2:90" x14ac:dyDescent="0.25">
      <c r="B449" s="4" t="s">
        <v>315</v>
      </c>
      <c r="C449">
        <v>15</v>
      </c>
      <c r="D449" t="s">
        <v>83</v>
      </c>
      <c r="E449" t="s">
        <v>97</v>
      </c>
      <c r="F449" s="3">
        <v>0.349255430910281</v>
      </c>
      <c r="G449" s="3">
        <v>0.2</v>
      </c>
      <c r="H449" s="3">
        <v>0.2</v>
      </c>
      <c r="I449" s="3">
        <v>0.127</v>
      </c>
      <c r="J449" s="3">
        <v>0</v>
      </c>
      <c r="K449" s="3">
        <v>7.0000000000000007E-2</v>
      </c>
      <c r="L449" s="2">
        <f>Base[[#This Row],[Coût]]*Base[[#This Row],[Part_ménages_dépenses_santé]]</f>
        <v>0</v>
      </c>
      <c r="M449" s="2">
        <v>0</v>
      </c>
      <c r="N449" s="6">
        <v>27700000</v>
      </c>
      <c r="O449" s="7">
        <f>Base[[#This Row],[Coût_salarié]]*10^9*Base[[#This Row],[Risque]]*Base[[#This Row],[Prévalence]]*Base[[#This Row],[Part_coûts_salarié]]/Base[[#This Row],[Population_emploi]]</f>
        <v>0</v>
      </c>
      <c r="P449">
        <v>50</v>
      </c>
      <c r="Q449">
        <v>50</v>
      </c>
      <c r="R449" s="2">
        <v>9.9999999999999978E-2</v>
      </c>
      <c r="S449" s="2">
        <v>0.33340000000000003</v>
      </c>
      <c r="T449" s="4">
        <v>0</v>
      </c>
      <c r="U449" s="4">
        <f>IF(Bases_annexes!$F$5=0,16.6587111018772,0.77*Bases_annexes!$F$5/(IF(OR(ISBLANK('Données_d''entrée'!$E$44),'Données_d''entrée'!$E$44=0),35,'Données_d''entrée'!$E$44)*52))</f>
        <v>16.658711101877199</v>
      </c>
      <c r="V449" s="4">
        <v>0</v>
      </c>
      <c r="W4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49" s="4">
        <v>234.5</v>
      </c>
      <c r="Y449" s="4">
        <f>(Base[[#This Row],['[Maladies']Coûts_évités_par_salarié]]+Base[[#This Row],['[Travail']Coûts_évités_par_salarié]])/Base[[#This Row],[Budget_santé_salarié]]</f>
        <v>0</v>
      </c>
      <c r="Z449" s="4">
        <v>0.8</v>
      </c>
      <c r="AA449" s="4">
        <f>Base[[#This Row],[Coût]]*Base[[#This Row],[Part_société_dépenses_santé]]</f>
        <v>0</v>
      </c>
      <c r="AB449" s="4">
        <v>67635124</v>
      </c>
      <c r="AC449" s="4">
        <v>82.297079063317852</v>
      </c>
      <c r="AD449" s="4">
        <v>0</v>
      </c>
      <c r="AE449" s="4">
        <f>Base[[#This Row],['[SC']Prévalence_travail]]*Base[[#This Row],[Population_emploi]]</f>
        <v>0</v>
      </c>
      <c r="AF449" s="4">
        <f>Base[[#This Row],[Risque]]*Base[[#This Row],['[SC']Patients_en_emploi]]</f>
        <v>0</v>
      </c>
      <c r="AG449" s="4"/>
      <c r="AH449" s="4">
        <f>IFERROR(Base[[#This Row],['[SC']Prestations]]/Base[[#This Row],['[SC']Patients_en_emploi]],0)</f>
        <v>0</v>
      </c>
      <c r="AI449" s="4"/>
      <c r="AJ4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49" s="4">
        <f>Base[[#This Row],['[SC']'[Travail']Coûts_évités]]/Base[[#This Row],[Population_emploi]]</f>
        <v>0</v>
      </c>
      <c r="AL449" s="4">
        <f>Base[[#This Row],[Coût_société]]*10^9*Base[[#This Row],[Risque]]*Base[[#This Row],[Prévalence]]*Base[[#This Row],[Part_coûts_salarié]]/Base[[#This Row],[Population_emploi]]</f>
        <v>0</v>
      </c>
      <c r="AM449" s="4">
        <f>IF(Base[[#This Row],[Pathologie]]&lt;&gt;"Dépendance",0,14909.24243952)</f>
        <v>0</v>
      </c>
      <c r="AN449" s="4">
        <f>IF(Base[[#This Row],[Pathologie]]&lt;&gt;"Dépendance",0,1316000)</f>
        <v>0</v>
      </c>
      <c r="AO449" s="4">
        <f>IF(Base[[#This Row],[Pathologie]]&lt;&gt;"Dépendance",0,Base[[#This Row],['[SC']Coût_personne_dépendante]]*Base[[#This Row],['[SC']Nb_personnes_dépendantes]])</f>
        <v>0</v>
      </c>
      <c r="AP449" s="4">
        <f>IF(Base[[#This Row],[Pathologie]]&lt;&gt;"Dépendance",0,Base[[#This Row],['[SC']Coût_total_dépendance]]/Base[[#This Row],[Population_totale]])</f>
        <v>0</v>
      </c>
      <c r="AQ449" s="4">
        <f>IF(Base[[#This Row],[Pathologie]]&lt;&gt;"Dépendance",0,4.5)</f>
        <v>0</v>
      </c>
      <c r="AR449" s="4">
        <v>0.83987615528424797</v>
      </c>
      <c r="AS449" s="4">
        <f>Base[[#This Row],[Espérance_vie]]+Base[[#This Row],['[SC']Hausse_esp_de_vie]]-Base[[#This Row],['[SC']Durée_moyenne_dépendance_avt]]+Base[[#This Row],[Risque]]</f>
        <v>83.486210649512373</v>
      </c>
      <c r="AT4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49" s="4">
        <v>62.9</v>
      </c>
      <c r="AW449" s="4">
        <f>336905600000</f>
        <v>336905600000</v>
      </c>
      <c r="AX449" s="4">
        <v>15049171</v>
      </c>
      <c r="AY449" s="4">
        <f>Base[[#This Row],['[SC']Budget_total_retraites]]/Base[[#This Row],['[SC']Nombre_de_retraités]]</f>
        <v>22386.987296509556</v>
      </c>
      <c r="AZ449" s="4">
        <f>Base[[#This Row],['[SC']Budget_par_retraité]]*Base[[#This Row],['[SC']Nb_personnes_dépendantes]]</f>
        <v>0</v>
      </c>
      <c r="BA449" s="4">
        <f>Base[[#This Row],['[SC']'[Dépendance']Coût_retraite_personnes_dépendantes]]/Base[[#This Row],[Population_totale]]</f>
        <v>0</v>
      </c>
      <c r="BB4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49" s="4">
        <f>Base[[#This Row],['[SC']'[Dépendance']Gains]]-Base[[#This Row],['[SC']'[Dépendance']Coûts]]</f>
        <v>0</v>
      </c>
      <c r="BD449" s="4">
        <f>IF(Base[[#This Row],[Pathologie]]&lt;&gt;"Mort prématurée",0,Base[[#This Row],[Risque]]*Base[[#This Row],[Prévalence]]*Base[[#This Row],[Population_totale]])</f>
        <v>0</v>
      </c>
      <c r="BE449" s="4">
        <v>52.74</v>
      </c>
      <c r="BF449" s="4">
        <f>Base[[#This Row],['[SC']Âge_moyen_retraite]]-Base[[#This Row],['[SC']'[Mort_prématurée']Âge_moyen_mort précoce]]</f>
        <v>10.159999999999997</v>
      </c>
      <c r="BG449" s="4">
        <f>Base[[#This Row],[Espérance_vie]]+Base[[#This Row],['[SC']Hausse_esp_de_vie]]-Base[[#This Row],['[SC']Âge_moyen_retraite]]</f>
        <v>20.236955218602098</v>
      </c>
      <c r="BH449" s="4">
        <v>106583.42676924677</v>
      </c>
      <c r="BI449" s="4">
        <v>97601.789429271477</v>
      </c>
      <c r="BJ449" s="4">
        <v>302038.31496633729</v>
      </c>
      <c r="BK449" s="4">
        <v>117293.58934859755</v>
      </c>
      <c r="BL449" s="4">
        <v>1523999.9999999995</v>
      </c>
      <c r="BM4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49" s="4">
        <v>294804.96027377353</v>
      </c>
      <c r="BO4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49" s="4">
        <f>(Base[[#This Row],['[SC']'[Mort_prématurée']Gains]]-Base[[#This Row],['[SC']'[Mort_prématurée']Coûts]])/Base[[#This Row],[Population_totale]]</f>
        <v>0</v>
      </c>
      <c r="BQ449" s="4">
        <f>IF(Base[[#This Row],[Pathologie]]&lt;&gt;"Mort prématurée",0,Base[[#This Row],[Risque]])</f>
        <v>0</v>
      </c>
      <c r="BR449" s="4">
        <v>2680</v>
      </c>
      <c r="BS4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49" s="4">
        <f>Base[[#This Row],[Prévalence_prod]]*(1-Base[[#This Row],[Risque]])*Base[[#This Row],[Durée_arrêt]]*Base[[#This Row],[Population_emploi]]</f>
        <v>0</v>
      </c>
      <c r="BV449" s="4">
        <f>Base[[#This Row],['[Prod']'[Absentéisme']Total_jours_absence_avant]]-Base[[#This Row],['[Prod']'[Absentéisme']Total_jours_absence_après]]</f>
        <v>0</v>
      </c>
      <c r="BW449" s="4">
        <f>IF(AND(Base[[#This Row],[Pathologie]]&lt;&gt;"Dépendance",Base[[#This Row],[Pathologie]]&lt;&gt;"Mort prématurée",Base[[#This Row],[Pathologie]]&lt;&gt;"Migraine"),0.0619,0)</f>
        <v>0</v>
      </c>
      <c r="BX449" s="4">
        <v>254</v>
      </c>
      <c r="BY44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4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49" s="4">
        <f>Base[[#This Row],[Prévalence_prod]]*Base[[#This Row],[Présentéisme]]*Base[[#This Row],['[Prod']Jours_ouvrés]]</f>
        <v>6.4516000000000009</v>
      </c>
      <c r="CB449" s="4">
        <f>Base[[#This Row],[Prévalence_prod]]*(1-Base[[#This Row],[Risque]])*Base[[#This Row],[Présentéisme]]*Base[[#This Row],['[Prod']Jours_ouvrés]]</f>
        <v>4.1983436619392309</v>
      </c>
      <c r="CC449" s="4">
        <f>Base[[#This Row],['[Prod']'[Présentéisme']Jours_avant]]-Base[[#This Row],['[Prod']'[Présentéisme']Jours_après]]</f>
        <v>2.25325633806077</v>
      </c>
      <c r="CD449" s="4">
        <f>Base[[#This Row],['[Prod']'[Présentéisme']Jours_gagnés]]/Base[[#This Row],['[Prod']Jours_ouvrés]]</f>
        <v>8.8710879451211408E-3</v>
      </c>
      <c r="CE449">
        <v>7.5880726467531134E-2</v>
      </c>
      <c r="CF449">
        <v>1.989821358241517E-2</v>
      </c>
      <c r="CG449" s="4">
        <v>11</v>
      </c>
      <c r="CH449" s="4">
        <v>1.3966184516047948</v>
      </c>
      <c r="CI449" s="4">
        <v>1.4392894727292521E-2</v>
      </c>
      <c r="CJ449" s="4">
        <f>IF(Base[[#This Row],[Secteur]]&lt;&gt;"Moyenne",Base[[#This Row],['[Prod']'[Turnover']DMC_initiale]]*(1+Base[[#This Row],['[Prod']'[Turnover']Ecart_accidents]]*Base[[#This Row],['[Prod']Impact_motifs_turnover]]),CJ432*CI432+CJ433*CI433+CJ434*CI434+CJ435*CI435+CJ436*CI436+CJ437*CI437+CJ438*CI438+CJ439*CI439+CJ440*CI440+CJ441*CI441+CJ442*CI442+CJ443*CI443+CJ444*CI444+CJ445*CI445+CJ446*CI446+CJ447*CI447+CJ448*CI448)</f>
        <v>11.305692334674916</v>
      </c>
      <c r="CK449" s="4">
        <f>1/Base[[#This Row],['[Prod']'[Turnover']DMC_initiale]]</f>
        <v>9.0909090909090912E-2</v>
      </c>
      <c r="CL449" s="4">
        <f>1/Base[[#This Row],['[Prod']'[Turnover']DMC_finale]]</f>
        <v>8.8451018336397527E-2</v>
      </c>
    </row>
    <row r="450" spans="2:90" x14ac:dyDescent="0.25">
      <c r="B450" s="4" t="s">
        <v>316</v>
      </c>
      <c r="C450">
        <v>15</v>
      </c>
      <c r="D450" t="s">
        <v>83</v>
      </c>
      <c r="E450" t="s">
        <v>97</v>
      </c>
      <c r="F450" s="3">
        <v>0.349255430910281</v>
      </c>
      <c r="G450" s="3">
        <v>0.2</v>
      </c>
      <c r="H450" s="3">
        <v>0.2</v>
      </c>
      <c r="I450" s="3">
        <v>0.127</v>
      </c>
      <c r="J450" s="3">
        <v>0</v>
      </c>
      <c r="K450" s="3">
        <v>7.0000000000000007E-2</v>
      </c>
      <c r="L450" s="2">
        <f>Base[[#This Row],[Coût]]*Base[[#This Row],[Part_ménages_dépenses_santé]]</f>
        <v>0</v>
      </c>
      <c r="M450" s="2">
        <v>0</v>
      </c>
      <c r="N450" s="6">
        <v>27700000</v>
      </c>
      <c r="O450" s="7">
        <f>Base[[#This Row],[Coût_salarié]]*10^9*Base[[#This Row],[Risque]]*Base[[#This Row],[Prévalence]]*Base[[#This Row],[Part_coûts_salarié]]/Base[[#This Row],[Population_emploi]]</f>
        <v>0</v>
      </c>
      <c r="P450">
        <v>50</v>
      </c>
      <c r="Q450">
        <v>50</v>
      </c>
      <c r="R450" s="2">
        <v>9.9999999999999978E-2</v>
      </c>
      <c r="S450" s="2">
        <v>0.33340000000000003</v>
      </c>
      <c r="T450" s="4">
        <v>0</v>
      </c>
      <c r="U450" s="4">
        <f>IF(Bases_annexes!$F$5=0,16.6587111018772,0.77*Bases_annexes!$F$5/(IF(OR(ISBLANK('Données_d''entrée'!$E$44),'Données_d''entrée'!$E$44=0),35,'Données_d''entrée'!$E$44)*52))</f>
        <v>16.658711101877199</v>
      </c>
      <c r="V450" s="4">
        <v>0</v>
      </c>
      <c r="W4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0" s="4">
        <v>234.5</v>
      </c>
      <c r="Y450" s="4">
        <f>(Base[[#This Row],['[Maladies']Coûts_évités_par_salarié]]+Base[[#This Row],['[Travail']Coûts_évités_par_salarié]])/Base[[#This Row],[Budget_santé_salarié]]</f>
        <v>0</v>
      </c>
      <c r="Z450" s="4">
        <v>0.8</v>
      </c>
      <c r="AA450" s="4">
        <f>Base[[#This Row],[Coût]]*Base[[#This Row],[Part_société_dépenses_santé]]</f>
        <v>0</v>
      </c>
      <c r="AB450" s="4">
        <v>67635124</v>
      </c>
      <c r="AC450" s="4">
        <v>82.297079063317852</v>
      </c>
      <c r="AD450" s="4">
        <v>0</v>
      </c>
      <c r="AE450" s="4">
        <f>Base[[#This Row],['[SC']Prévalence_travail]]*Base[[#This Row],[Population_emploi]]</f>
        <v>0</v>
      </c>
      <c r="AF450" s="4">
        <f>Base[[#This Row],[Risque]]*Base[[#This Row],['[SC']Patients_en_emploi]]</f>
        <v>0</v>
      </c>
      <c r="AG450" s="4"/>
      <c r="AH450" s="4">
        <f>IFERROR(Base[[#This Row],['[SC']Prestations]]/Base[[#This Row],['[SC']Patients_en_emploi]],0)</f>
        <v>0</v>
      </c>
      <c r="AI450" s="4"/>
      <c r="AJ4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0" s="4">
        <f>Base[[#This Row],['[SC']'[Travail']Coûts_évités]]/Base[[#This Row],[Population_emploi]]</f>
        <v>0</v>
      </c>
      <c r="AL450" s="4">
        <f>Base[[#This Row],[Coût_société]]*10^9*Base[[#This Row],[Risque]]*Base[[#This Row],[Prévalence]]*Base[[#This Row],[Part_coûts_salarié]]/Base[[#This Row],[Population_emploi]]</f>
        <v>0</v>
      </c>
      <c r="AM450" s="4">
        <f>IF(Base[[#This Row],[Pathologie]]&lt;&gt;"Dépendance",0,14909.24243952)</f>
        <v>0</v>
      </c>
      <c r="AN450" s="4">
        <f>IF(Base[[#This Row],[Pathologie]]&lt;&gt;"Dépendance",0,1316000)</f>
        <v>0</v>
      </c>
      <c r="AO450" s="4">
        <f>IF(Base[[#This Row],[Pathologie]]&lt;&gt;"Dépendance",0,Base[[#This Row],['[SC']Coût_personne_dépendante]]*Base[[#This Row],['[SC']Nb_personnes_dépendantes]])</f>
        <v>0</v>
      </c>
      <c r="AP450" s="4">
        <f>IF(Base[[#This Row],[Pathologie]]&lt;&gt;"Dépendance",0,Base[[#This Row],['[SC']Coût_total_dépendance]]/Base[[#This Row],[Population_totale]])</f>
        <v>0</v>
      </c>
      <c r="AQ450" s="4">
        <f>IF(Base[[#This Row],[Pathologie]]&lt;&gt;"Dépendance",0,4.5)</f>
        <v>0</v>
      </c>
      <c r="AR450" s="4">
        <v>0.83987615528424797</v>
      </c>
      <c r="AS450" s="4">
        <f>Base[[#This Row],[Espérance_vie]]+Base[[#This Row],['[SC']Hausse_esp_de_vie]]-Base[[#This Row],['[SC']Durée_moyenne_dépendance_avt]]+Base[[#This Row],[Risque]]</f>
        <v>83.486210649512373</v>
      </c>
      <c r="AT4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0" s="4">
        <v>62.9</v>
      </c>
      <c r="AW450" s="4">
        <f t="shared" ref="AW450:AW466" si="11">336905600000</f>
        <v>336905600000</v>
      </c>
      <c r="AX450" s="4">
        <v>15049171</v>
      </c>
      <c r="AY450" s="4">
        <f>Base[[#This Row],['[SC']Budget_total_retraites]]/Base[[#This Row],['[SC']Nombre_de_retraités]]</f>
        <v>22386.987296509556</v>
      </c>
      <c r="AZ450" s="4">
        <f>Base[[#This Row],['[SC']Budget_par_retraité]]*Base[[#This Row],['[SC']Nb_personnes_dépendantes]]</f>
        <v>0</v>
      </c>
      <c r="BA450" s="4">
        <f>Base[[#This Row],['[SC']'[Dépendance']Coût_retraite_personnes_dépendantes]]/Base[[#This Row],[Population_totale]]</f>
        <v>0</v>
      </c>
      <c r="BB4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0" s="4">
        <f>Base[[#This Row],['[SC']'[Dépendance']Gains]]-Base[[#This Row],['[SC']'[Dépendance']Coûts]]</f>
        <v>0</v>
      </c>
      <c r="BD450" s="4">
        <f>IF(Base[[#This Row],[Pathologie]]&lt;&gt;"Mort prématurée",0,Base[[#This Row],[Risque]]*Base[[#This Row],[Prévalence]]*Base[[#This Row],[Population_totale]])</f>
        <v>0</v>
      </c>
      <c r="BE450" s="4">
        <v>52.74</v>
      </c>
      <c r="BF450" s="4">
        <f>Base[[#This Row],['[SC']Âge_moyen_retraite]]-Base[[#This Row],['[SC']'[Mort_prématurée']Âge_moyen_mort précoce]]</f>
        <v>10.159999999999997</v>
      </c>
      <c r="BG450" s="4">
        <f>Base[[#This Row],[Espérance_vie]]+Base[[#This Row],['[SC']Hausse_esp_de_vie]]-Base[[#This Row],['[SC']Âge_moyen_retraite]]</f>
        <v>20.236955218602098</v>
      </c>
      <c r="BH450" s="4">
        <v>106583.42676924677</v>
      </c>
      <c r="BI450" s="4">
        <v>97601.789429271477</v>
      </c>
      <c r="BJ450" s="4">
        <v>302038.31496633729</v>
      </c>
      <c r="BK450" s="4">
        <v>117293.58934859755</v>
      </c>
      <c r="BL450" s="4">
        <v>1523999.9999999995</v>
      </c>
      <c r="BM4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0" s="4">
        <v>294804.96027377353</v>
      </c>
      <c r="BO4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0" s="4">
        <f>(Base[[#This Row],['[SC']'[Mort_prématurée']Gains]]-Base[[#This Row],['[SC']'[Mort_prématurée']Coûts]])/Base[[#This Row],[Population_totale]]</f>
        <v>0</v>
      </c>
      <c r="BQ450" s="4">
        <f>IF(Base[[#This Row],[Pathologie]]&lt;&gt;"Mort prématurée",0,Base[[#This Row],[Risque]])</f>
        <v>0</v>
      </c>
      <c r="BR450" s="4">
        <v>2680</v>
      </c>
      <c r="BS4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0" s="4">
        <f>Base[[#This Row],[Prévalence_prod]]*(1-Base[[#This Row],[Risque]])*Base[[#This Row],[Durée_arrêt]]*Base[[#This Row],[Population_emploi]]</f>
        <v>0</v>
      </c>
      <c r="BV450" s="4">
        <f>Base[[#This Row],['[Prod']'[Absentéisme']Total_jours_absence_avant]]-Base[[#This Row],['[Prod']'[Absentéisme']Total_jours_absence_après]]</f>
        <v>0</v>
      </c>
      <c r="BW450" s="4">
        <f>IF(AND(Base[[#This Row],[Pathologie]]&lt;&gt;"Dépendance",Base[[#This Row],[Pathologie]]&lt;&gt;"Mort prématurée",Base[[#This Row],[Pathologie]]&lt;&gt;"Migraine"),0.0619,0)</f>
        <v>0</v>
      </c>
      <c r="BX450" s="4">
        <v>254</v>
      </c>
      <c r="BY45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0" s="4">
        <f>Base[[#This Row],[Prévalence_prod]]*Base[[#This Row],[Présentéisme]]*Base[[#This Row],['[Prod']Jours_ouvrés]]</f>
        <v>6.4516000000000009</v>
      </c>
      <c r="CB450" s="4">
        <f>Base[[#This Row],[Prévalence_prod]]*(1-Base[[#This Row],[Risque]])*Base[[#This Row],[Présentéisme]]*Base[[#This Row],['[Prod']Jours_ouvrés]]</f>
        <v>4.1983436619392309</v>
      </c>
      <c r="CC450" s="4">
        <f>Base[[#This Row],['[Prod']'[Présentéisme']Jours_avant]]-Base[[#This Row],['[Prod']'[Présentéisme']Jours_après]]</f>
        <v>2.25325633806077</v>
      </c>
      <c r="CD450" s="4">
        <f>Base[[#This Row],['[Prod']'[Présentéisme']Jours_gagnés]]/Base[[#This Row],['[Prod']Jours_ouvrés]]</f>
        <v>8.8710879451211408E-3</v>
      </c>
      <c r="CE450">
        <v>7.5880726467531134E-2</v>
      </c>
      <c r="CF450">
        <v>1.989821358241517E-2</v>
      </c>
      <c r="CG450" s="4">
        <v>11</v>
      </c>
      <c r="CH450" s="4">
        <v>0.68054183762612652</v>
      </c>
      <c r="CI450" s="4">
        <v>1.2135452577082654E-2</v>
      </c>
      <c r="CJ450" s="4">
        <f>IF(Base[[#This Row],[Secteur]]&lt;&gt;"Moyenne",Base[[#This Row],['[Prod']'[Turnover']DMC_initiale]]*(1+Base[[#This Row],['[Prod']'[Turnover']Ecart_accidents]]*Base[[#This Row],['[Prod']Impact_motifs_turnover]]),CJ433*CI433+CJ434*CI434+CJ435*CI435+CJ436*CI436+CJ437*CI437+CJ438*CI438+CJ439*CI439+CJ440*CI440+CJ441*CI441+CJ442*CI442+CJ443*CI443+CJ444*CI444+CJ445*CI445+CJ446*CI446+CJ447*CI447+CJ448*CI448+CJ449*CI449)</f>
        <v>11.148957235205394</v>
      </c>
      <c r="CK450" s="4">
        <f>1/Base[[#This Row],['[Prod']'[Turnover']DMC_initiale]]</f>
        <v>9.0909090909090912E-2</v>
      </c>
      <c r="CL450" s="4">
        <f>1/Base[[#This Row],['[Prod']'[Turnover']DMC_finale]]</f>
        <v>8.9694487018236124E-2</v>
      </c>
    </row>
    <row r="451" spans="2:90" x14ac:dyDescent="0.25">
      <c r="B451" s="4" t="s">
        <v>317</v>
      </c>
      <c r="C451">
        <v>15</v>
      </c>
      <c r="D451" t="s">
        <v>83</v>
      </c>
      <c r="E451" t="s">
        <v>97</v>
      </c>
      <c r="F451" s="3">
        <v>0.349255430910281</v>
      </c>
      <c r="G451" s="3">
        <v>0.2</v>
      </c>
      <c r="H451" s="3">
        <v>0.2</v>
      </c>
      <c r="I451" s="3">
        <v>0.127</v>
      </c>
      <c r="J451" s="3">
        <v>0</v>
      </c>
      <c r="K451" s="3">
        <v>7.0000000000000007E-2</v>
      </c>
      <c r="L451" s="2">
        <f>Base[[#This Row],[Coût]]*Base[[#This Row],[Part_ménages_dépenses_santé]]</f>
        <v>0</v>
      </c>
      <c r="M451" s="2">
        <v>0</v>
      </c>
      <c r="N451" s="6">
        <v>27700000</v>
      </c>
      <c r="O451" s="7">
        <f>Base[[#This Row],[Coût_salarié]]*10^9*Base[[#This Row],[Risque]]*Base[[#This Row],[Prévalence]]*Base[[#This Row],[Part_coûts_salarié]]/Base[[#This Row],[Population_emploi]]</f>
        <v>0</v>
      </c>
      <c r="P451">
        <v>50</v>
      </c>
      <c r="Q451">
        <v>50</v>
      </c>
      <c r="R451" s="2">
        <v>9.9999999999999978E-2</v>
      </c>
      <c r="S451" s="2">
        <v>0.33340000000000003</v>
      </c>
      <c r="T451" s="4">
        <v>0</v>
      </c>
      <c r="U451" s="4">
        <f>IF(Bases_annexes!$F$5=0,16.6587111018772,0.77*Bases_annexes!$F$5/(IF(OR(ISBLANK('Données_d''entrée'!$E$44),'Données_d''entrée'!$E$44=0),35,'Données_d''entrée'!$E$44)*52))</f>
        <v>16.658711101877199</v>
      </c>
      <c r="V451" s="4">
        <v>0</v>
      </c>
      <c r="W4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1" s="4">
        <v>234.5</v>
      </c>
      <c r="Y451" s="4">
        <f>(Base[[#This Row],['[Maladies']Coûts_évités_par_salarié]]+Base[[#This Row],['[Travail']Coûts_évités_par_salarié]])/Base[[#This Row],[Budget_santé_salarié]]</f>
        <v>0</v>
      </c>
      <c r="Z451" s="4">
        <v>0.8</v>
      </c>
      <c r="AA451" s="4">
        <f>Base[[#This Row],[Coût]]*Base[[#This Row],[Part_société_dépenses_santé]]</f>
        <v>0</v>
      </c>
      <c r="AB451" s="4">
        <v>67635124</v>
      </c>
      <c r="AC451" s="4">
        <v>82.297079063317852</v>
      </c>
      <c r="AD451" s="4">
        <v>0</v>
      </c>
      <c r="AE451" s="4">
        <f>Base[[#This Row],['[SC']Prévalence_travail]]*Base[[#This Row],[Population_emploi]]</f>
        <v>0</v>
      </c>
      <c r="AF451" s="4">
        <f>Base[[#This Row],[Risque]]*Base[[#This Row],['[SC']Patients_en_emploi]]</f>
        <v>0</v>
      </c>
      <c r="AG451" s="4"/>
      <c r="AH451" s="4">
        <f>IFERROR(Base[[#This Row],['[SC']Prestations]]/Base[[#This Row],['[SC']Patients_en_emploi]],0)</f>
        <v>0</v>
      </c>
      <c r="AI451" s="4"/>
      <c r="AJ4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1" s="4">
        <f>Base[[#This Row],['[SC']'[Travail']Coûts_évités]]/Base[[#This Row],[Population_emploi]]</f>
        <v>0</v>
      </c>
      <c r="AL451" s="4">
        <f>Base[[#This Row],[Coût_société]]*10^9*Base[[#This Row],[Risque]]*Base[[#This Row],[Prévalence]]*Base[[#This Row],[Part_coûts_salarié]]/Base[[#This Row],[Population_emploi]]</f>
        <v>0</v>
      </c>
      <c r="AM451" s="4">
        <f>IF(Base[[#This Row],[Pathologie]]&lt;&gt;"Dépendance",0,14909.24243952)</f>
        <v>0</v>
      </c>
      <c r="AN451" s="4">
        <f>IF(Base[[#This Row],[Pathologie]]&lt;&gt;"Dépendance",0,1316000)</f>
        <v>0</v>
      </c>
      <c r="AO451" s="4">
        <f>IF(Base[[#This Row],[Pathologie]]&lt;&gt;"Dépendance",0,Base[[#This Row],['[SC']Coût_personne_dépendante]]*Base[[#This Row],['[SC']Nb_personnes_dépendantes]])</f>
        <v>0</v>
      </c>
      <c r="AP451" s="4">
        <f>IF(Base[[#This Row],[Pathologie]]&lt;&gt;"Dépendance",0,Base[[#This Row],['[SC']Coût_total_dépendance]]/Base[[#This Row],[Population_totale]])</f>
        <v>0</v>
      </c>
      <c r="AQ451" s="4">
        <f>IF(Base[[#This Row],[Pathologie]]&lt;&gt;"Dépendance",0,4.5)</f>
        <v>0</v>
      </c>
      <c r="AR451" s="4">
        <v>0.83987615528424797</v>
      </c>
      <c r="AS451" s="4">
        <f>Base[[#This Row],[Espérance_vie]]+Base[[#This Row],['[SC']Hausse_esp_de_vie]]-Base[[#This Row],['[SC']Durée_moyenne_dépendance_avt]]+Base[[#This Row],[Risque]]</f>
        <v>83.486210649512373</v>
      </c>
      <c r="AT4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1" s="4">
        <v>62.9</v>
      </c>
      <c r="AW451" s="4">
        <f t="shared" si="11"/>
        <v>336905600000</v>
      </c>
      <c r="AX451" s="4">
        <v>15049171</v>
      </c>
      <c r="AY451" s="4">
        <f>Base[[#This Row],['[SC']Budget_total_retraites]]/Base[[#This Row],['[SC']Nombre_de_retraités]]</f>
        <v>22386.987296509556</v>
      </c>
      <c r="AZ451" s="4">
        <f>Base[[#This Row],['[SC']Budget_par_retraité]]*Base[[#This Row],['[SC']Nb_personnes_dépendantes]]</f>
        <v>0</v>
      </c>
      <c r="BA451" s="4">
        <f>Base[[#This Row],['[SC']'[Dépendance']Coût_retraite_personnes_dépendantes]]/Base[[#This Row],[Population_totale]]</f>
        <v>0</v>
      </c>
      <c r="BB4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1" s="4">
        <f>Base[[#This Row],['[SC']'[Dépendance']Gains]]-Base[[#This Row],['[SC']'[Dépendance']Coûts]]</f>
        <v>0</v>
      </c>
      <c r="BD451" s="4">
        <f>IF(Base[[#This Row],[Pathologie]]&lt;&gt;"Mort prématurée",0,Base[[#This Row],[Risque]]*Base[[#This Row],[Prévalence]]*Base[[#This Row],[Population_totale]])</f>
        <v>0</v>
      </c>
      <c r="BE451" s="4">
        <v>52.74</v>
      </c>
      <c r="BF451" s="4">
        <f>Base[[#This Row],['[SC']Âge_moyen_retraite]]-Base[[#This Row],['[SC']'[Mort_prématurée']Âge_moyen_mort précoce]]</f>
        <v>10.159999999999997</v>
      </c>
      <c r="BG451" s="4">
        <f>Base[[#This Row],[Espérance_vie]]+Base[[#This Row],['[SC']Hausse_esp_de_vie]]-Base[[#This Row],['[SC']Âge_moyen_retraite]]</f>
        <v>20.236955218602098</v>
      </c>
      <c r="BH451" s="4">
        <v>106583.42676924677</v>
      </c>
      <c r="BI451" s="4">
        <v>97601.789429271477</v>
      </c>
      <c r="BJ451" s="4">
        <v>302038.31496633729</v>
      </c>
      <c r="BK451" s="4">
        <v>117293.58934859755</v>
      </c>
      <c r="BL451" s="4">
        <v>1523999.9999999995</v>
      </c>
      <c r="BM4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1" s="4">
        <v>294804.96027377353</v>
      </c>
      <c r="BO4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1" s="4">
        <f>(Base[[#This Row],['[SC']'[Mort_prématurée']Gains]]-Base[[#This Row],['[SC']'[Mort_prématurée']Coûts]])/Base[[#This Row],[Population_totale]]</f>
        <v>0</v>
      </c>
      <c r="BQ451" s="4">
        <f>IF(Base[[#This Row],[Pathologie]]&lt;&gt;"Mort prématurée",0,Base[[#This Row],[Risque]])</f>
        <v>0</v>
      </c>
      <c r="BR451" s="4">
        <v>2680</v>
      </c>
      <c r="BS4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1" s="4">
        <f>Base[[#This Row],[Prévalence_prod]]*(1-Base[[#This Row],[Risque]])*Base[[#This Row],[Durée_arrêt]]*Base[[#This Row],[Population_emploi]]</f>
        <v>0</v>
      </c>
      <c r="BV451" s="4">
        <f>Base[[#This Row],['[Prod']'[Absentéisme']Total_jours_absence_avant]]-Base[[#This Row],['[Prod']'[Absentéisme']Total_jours_absence_après]]</f>
        <v>0</v>
      </c>
      <c r="BW451" s="4">
        <f>IF(AND(Base[[#This Row],[Pathologie]]&lt;&gt;"Dépendance",Base[[#This Row],[Pathologie]]&lt;&gt;"Mort prématurée",Base[[#This Row],[Pathologie]]&lt;&gt;"Migraine"),0.0619,0)</f>
        <v>0</v>
      </c>
      <c r="BX451" s="4">
        <v>254</v>
      </c>
      <c r="BY45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1" s="4">
        <f>Base[[#This Row],[Prévalence_prod]]*Base[[#This Row],[Présentéisme]]*Base[[#This Row],['[Prod']Jours_ouvrés]]</f>
        <v>6.4516000000000009</v>
      </c>
      <c r="CB451" s="4">
        <f>Base[[#This Row],[Prévalence_prod]]*(1-Base[[#This Row],[Risque]])*Base[[#This Row],[Présentéisme]]*Base[[#This Row],['[Prod']Jours_ouvrés]]</f>
        <v>4.1983436619392309</v>
      </c>
      <c r="CC451" s="4">
        <f>Base[[#This Row],['[Prod']'[Présentéisme']Jours_avant]]-Base[[#This Row],['[Prod']'[Présentéisme']Jours_après]]</f>
        <v>2.25325633806077</v>
      </c>
      <c r="CD451" s="4">
        <f>Base[[#This Row],['[Prod']'[Présentéisme']Jours_gagnés]]/Base[[#This Row],['[Prod']Jours_ouvrés]]</f>
        <v>8.8710879451211408E-3</v>
      </c>
      <c r="CE451">
        <v>7.5880726467531134E-2</v>
      </c>
      <c r="CF451">
        <v>1.989821358241517E-2</v>
      </c>
      <c r="CG451" s="4">
        <v>11</v>
      </c>
      <c r="CH451" s="4">
        <v>0.31563677172153043</v>
      </c>
      <c r="CI451" s="4">
        <v>1.3003350630813707E-4</v>
      </c>
      <c r="CJ451" s="4">
        <f>IF(Base[[#This Row],[Secteur]]&lt;&gt;"Moyenne",Base[[#This Row],['[Prod']'[Turnover']DMC_initiale]]*(1+Base[[#This Row],['[Prod']'[Turnover']Ecart_accidents]]*Base[[#This Row],['[Prod']Impact_motifs_turnover]]),CJ434*CI434+CJ435*CI435+CJ436*CI436+CJ437*CI437+CJ438*CI438+CJ439*CI439+CJ440*CI440+CJ441*CI441+CJ442*CI442+CJ443*CI443+CJ444*CI444+CJ445*CI445+CJ446*CI446+CJ447*CI447+CJ448*CI448+CJ449*CI449+CJ450*CI450)</f>
        <v>11.069086686879968</v>
      </c>
      <c r="CK451" s="4">
        <f>1/Base[[#This Row],['[Prod']'[Turnover']DMC_initiale]]</f>
        <v>9.0909090909090912E-2</v>
      </c>
      <c r="CL451" s="4">
        <f>1/Base[[#This Row],['[Prod']'[Turnover']DMC_finale]]</f>
        <v>9.0341690176235209E-2</v>
      </c>
    </row>
    <row r="452" spans="2:90" x14ac:dyDescent="0.25">
      <c r="B452" s="4" t="s">
        <v>318</v>
      </c>
      <c r="C452">
        <v>15</v>
      </c>
      <c r="D452" t="s">
        <v>83</v>
      </c>
      <c r="E452" t="s">
        <v>97</v>
      </c>
      <c r="F452" s="3">
        <v>0.349255430910281</v>
      </c>
      <c r="G452" s="3">
        <v>0.2</v>
      </c>
      <c r="H452" s="3">
        <v>0.2</v>
      </c>
      <c r="I452" s="3">
        <v>0.127</v>
      </c>
      <c r="J452" s="3">
        <v>0</v>
      </c>
      <c r="K452" s="3">
        <v>7.0000000000000007E-2</v>
      </c>
      <c r="L452" s="2">
        <f>Base[[#This Row],[Coût]]*Base[[#This Row],[Part_ménages_dépenses_santé]]</f>
        <v>0</v>
      </c>
      <c r="M452" s="2">
        <v>0</v>
      </c>
      <c r="N452" s="6">
        <v>27700000</v>
      </c>
      <c r="O452" s="7">
        <f>Base[[#This Row],[Coût_salarié]]*10^9*Base[[#This Row],[Risque]]*Base[[#This Row],[Prévalence]]*Base[[#This Row],[Part_coûts_salarié]]/Base[[#This Row],[Population_emploi]]</f>
        <v>0</v>
      </c>
      <c r="P452">
        <v>50</v>
      </c>
      <c r="Q452">
        <v>50</v>
      </c>
      <c r="R452" s="2">
        <v>9.9999999999999978E-2</v>
      </c>
      <c r="S452" s="2">
        <v>0.33340000000000003</v>
      </c>
      <c r="T452" s="4">
        <v>0</v>
      </c>
      <c r="U452" s="4">
        <f>IF(Bases_annexes!$F$5=0,16.6587111018772,0.77*Bases_annexes!$F$5/(IF(OR(ISBLANK('Données_d''entrée'!$E$44),'Données_d''entrée'!$E$44=0),35,'Données_d''entrée'!$E$44)*52))</f>
        <v>16.658711101877199</v>
      </c>
      <c r="V452" s="4">
        <v>0</v>
      </c>
      <c r="W4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2" s="4">
        <v>234.5</v>
      </c>
      <c r="Y452" s="4">
        <f>(Base[[#This Row],['[Maladies']Coûts_évités_par_salarié]]+Base[[#This Row],['[Travail']Coûts_évités_par_salarié]])/Base[[#This Row],[Budget_santé_salarié]]</f>
        <v>0</v>
      </c>
      <c r="Z452" s="4">
        <v>0.8</v>
      </c>
      <c r="AA452" s="4">
        <f>Base[[#This Row],[Coût]]*Base[[#This Row],[Part_société_dépenses_santé]]</f>
        <v>0</v>
      </c>
      <c r="AB452" s="4">
        <v>67635124</v>
      </c>
      <c r="AC452" s="4">
        <v>82.297079063317852</v>
      </c>
      <c r="AD452" s="4">
        <v>0</v>
      </c>
      <c r="AE452" s="4">
        <f>Base[[#This Row],['[SC']Prévalence_travail]]*Base[[#This Row],[Population_emploi]]</f>
        <v>0</v>
      </c>
      <c r="AF452" s="4">
        <f>Base[[#This Row],[Risque]]*Base[[#This Row],['[SC']Patients_en_emploi]]</f>
        <v>0</v>
      </c>
      <c r="AG452" s="4"/>
      <c r="AH452" s="4">
        <f>IFERROR(Base[[#This Row],['[SC']Prestations]]/Base[[#This Row],['[SC']Patients_en_emploi]],0)</f>
        <v>0</v>
      </c>
      <c r="AI452" s="4"/>
      <c r="AJ4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2" s="4">
        <f>Base[[#This Row],['[SC']'[Travail']Coûts_évités]]/Base[[#This Row],[Population_emploi]]</f>
        <v>0</v>
      </c>
      <c r="AL452" s="4">
        <f>Base[[#This Row],[Coût_société]]*10^9*Base[[#This Row],[Risque]]*Base[[#This Row],[Prévalence]]*Base[[#This Row],[Part_coûts_salarié]]/Base[[#This Row],[Population_emploi]]</f>
        <v>0</v>
      </c>
      <c r="AM452" s="4">
        <f>IF(Base[[#This Row],[Pathologie]]&lt;&gt;"Dépendance",0,14909.24243952)</f>
        <v>0</v>
      </c>
      <c r="AN452" s="4">
        <f>IF(Base[[#This Row],[Pathologie]]&lt;&gt;"Dépendance",0,1316000)</f>
        <v>0</v>
      </c>
      <c r="AO452" s="4">
        <f>IF(Base[[#This Row],[Pathologie]]&lt;&gt;"Dépendance",0,Base[[#This Row],['[SC']Coût_personne_dépendante]]*Base[[#This Row],['[SC']Nb_personnes_dépendantes]])</f>
        <v>0</v>
      </c>
      <c r="AP452" s="4">
        <f>IF(Base[[#This Row],[Pathologie]]&lt;&gt;"Dépendance",0,Base[[#This Row],['[SC']Coût_total_dépendance]]/Base[[#This Row],[Population_totale]])</f>
        <v>0</v>
      </c>
      <c r="AQ452" s="4">
        <f>IF(Base[[#This Row],[Pathologie]]&lt;&gt;"Dépendance",0,4.5)</f>
        <v>0</v>
      </c>
      <c r="AR452" s="4">
        <v>0.83987615528424797</v>
      </c>
      <c r="AS452" s="4">
        <f>Base[[#This Row],[Espérance_vie]]+Base[[#This Row],['[SC']Hausse_esp_de_vie]]-Base[[#This Row],['[SC']Durée_moyenne_dépendance_avt]]+Base[[#This Row],[Risque]]</f>
        <v>83.486210649512373</v>
      </c>
      <c r="AT4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2" s="4">
        <v>62.9</v>
      </c>
      <c r="AW452" s="4">
        <f t="shared" si="11"/>
        <v>336905600000</v>
      </c>
      <c r="AX452" s="4">
        <v>15049171</v>
      </c>
      <c r="AY452" s="4">
        <f>Base[[#This Row],['[SC']Budget_total_retraites]]/Base[[#This Row],['[SC']Nombre_de_retraités]]</f>
        <v>22386.987296509556</v>
      </c>
      <c r="AZ452" s="4">
        <f>Base[[#This Row],['[SC']Budget_par_retraité]]*Base[[#This Row],['[SC']Nb_personnes_dépendantes]]</f>
        <v>0</v>
      </c>
      <c r="BA452" s="4">
        <f>Base[[#This Row],['[SC']'[Dépendance']Coût_retraite_personnes_dépendantes]]/Base[[#This Row],[Population_totale]]</f>
        <v>0</v>
      </c>
      <c r="BB4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2" s="4">
        <f>Base[[#This Row],['[SC']'[Dépendance']Gains]]-Base[[#This Row],['[SC']'[Dépendance']Coûts]]</f>
        <v>0</v>
      </c>
      <c r="BD452" s="4">
        <f>IF(Base[[#This Row],[Pathologie]]&lt;&gt;"Mort prématurée",0,Base[[#This Row],[Risque]]*Base[[#This Row],[Prévalence]]*Base[[#This Row],[Population_totale]])</f>
        <v>0</v>
      </c>
      <c r="BE452" s="4">
        <v>52.74</v>
      </c>
      <c r="BF452" s="4">
        <f>Base[[#This Row],['[SC']Âge_moyen_retraite]]-Base[[#This Row],['[SC']'[Mort_prématurée']Âge_moyen_mort précoce]]</f>
        <v>10.159999999999997</v>
      </c>
      <c r="BG452" s="4">
        <f>Base[[#This Row],[Espérance_vie]]+Base[[#This Row],['[SC']Hausse_esp_de_vie]]-Base[[#This Row],['[SC']Âge_moyen_retraite]]</f>
        <v>20.236955218602098</v>
      </c>
      <c r="BH452" s="4">
        <v>106583.42676924677</v>
      </c>
      <c r="BI452" s="4">
        <v>97601.789429271477</v>
      </c>
      <c r="BJ452" s="4">
        <v>302038.31496633729</v>
      </c>
      <c r="BK452" s="4">
        <v>117293.58934859755</v>
      </c>
      <c r="BL452" s="4">
        <v>1523999.9999999995</v>
      </c>
      <c r="BM4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2" s="4">
        <v>294804.96027377353</v>
      </c>
      <c r="BO4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2" s="4">
        <f>(Base[[#This Row],['[SC']'[Mort_prématurée']Gains]]-Base[[#This Row],['[SC']'[Mort_prématurée']Coûts]])/Base[[#This Row],[Population_totale]]</f>
        <v>0</v>
      </c>
      <c r="BQ452" s="4">
        <f>IF(Base[[#This Row],[Pathologie]]&lt;&gt;"Mort prématurée",0,Base[[#This Row],[Risque]])</f>
        <v>0</v>
      </c>
      <c r="BR452" s="4">
        <v>2680</v>
      </c>
      <c r="BS4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2" s="4">
        <f>Base[[#This Row],[Prévalence_prod]]*(1-Base[[#This Row],[Risque]])*Base[[#This Row],[Durée_arrêt]]*Base[[#This Row],[Population_emploi]]</f>
        <v>0</v>
      </c>
      <c r="BV452" s="4">
        <f>Base[[#This Row],['[Prod']'[Absentéisme']Total_jours_absence_avant]]-Base[[#This Row],['[Prod']'[Absentéisme']Total_jours_absence_après]]</f>
        <v>0</v>
      </c>
      <c r="BW452" s="4">
        <f>IF(AND(Base[[#This Row],[Pathologie]]&lt;&gt;"Dépendance",Base[[#This Row],[Pathologie]]&lt;&gt;"Mort prématurée",Base[[#This Row],[Pathologie]]&lt;&gt;"Migraine"),0.0619,0)</f>
        <v>0</v>
      </c>
      <c r="BX452" s="4">
        <v>254</v>
      </c>
      <c r="BY45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2" s="4">
        <f>Base[[#This Row],[Prévalence_prod]]*Base[[#This Row],[Présentéisme]]*Base[[#This Row],['[Prod']Jours_ouvrés]]</f>
        <v>6.4516000000000009</v>
      </c>
      <c r="CB452" s="4">
        <f>Base[[#This Row],[Prévalence_prod]]*(1-Base[[#This Row],[Risque]])*Base[[#This Row],[Présentéisme]]*Base[[#This Row],['[Prod']Jours_ouvrés]]</f>
        <v>4.1983436619392309</v>
      </c>
      <c r="CC452" s="4">
        <f>Base[[#This Row],['[Prod']'[Présentéisme']Jours_avant]]-Base[[#This Row],['[Prod']'[Présentéisme']Jours_après]]</f>
        <v>2.25325633806077</v>
      </c>
      <c r="CD452" s="4">
        <f>Base[[#This Row],['[Prod']'[Présentéisme']Jours_gagnés]]/Base[[#This Row],['[Prod']Jours_ouvrés]]</f>
        <v>8.8710879451211408E-3</v>
      </c>
      <c r="CE452">
        <v>7.5880726467531134E-2</v>
      </c>
      <c r="CF452">
        <v>1.989821358241517E-2</v>
      </c>
      <c r="CG452" s="4">
        <v>11</v>
      </c>
      <c r="CH452" s="4">
        <v>1.1688035738877327</v>
      </c>
      <c r="CI452" s="4">
        <v>9.6557438521367826E-3</v>
      </c>
      <c r="CJ452" s="4">
        <f>IF(Base[[#This Row],[Secteur]]&lt;&gt;"Moyenne",Base[[#This Row],['[Prod']'[Turnover']DMC_initiale]]*(1+Base[[#This Row],['[Prod']'[Turnover']Ecart_accidents]]*Base[[#This Row],['[Prod']Impact_motifs_turnover]]),CJ435*CI435+CJ436*CI436+CJ437*CI437+CJ438*CI438+CJ439*CI439+CJ440*CI440+CJ441*CI441+CJ442*CI442+CJ443*CI443+CJ444*CI444+CJ445*CI445+CJ446*CI446+CJ447*CI447+CJ448*CI448+CJ449*CI449+CJ450*CI450+CJ451*CI451)</f>
        <v>11.25582813464019</v>
      </c>
      <c r="CK452" s="4">
        <f>1/Base[[#This Row],['[Prod']'[Turnover']DMC_initiale]]</f>
        <v>9.0909090909090912E-2</v>
      </c>
      <c r="CL452" s="4">
        <f>1/Base[[#This Row],['[Prod']'[Turnover']DMC_finale]]</f>
        <v>8.8842863273868436E-2</v>
      </c>
    </row>
    <row r="453" spans="2:90" x14ac:dyDescent="0.25">
      <c r="B453" s="4" t="s">
        <v>319</v>
      </c>
      <c r="C453">
        <v>15</v>
      </c>
      <c r="D453" t="s">
        <v>83</v>
      </c>
      <c r="E453" t="s">
        <v>97</v>
      </c>
      <c r="F453" s="3">
        <v>0.349255430910281</v>
      </c>
      <c r="G453" s="3">
        <v>0.2</v>
      </c>
      <c r="H453" s="3">
        <v>0.2</v>
      </c>
      <c r="I453" s="3">
        <v>0.127</v>
      </c>
      <c r="J453" s="3">
        <v>0</v>
      </c>
      <c r="K453" s="3">
        <v>7.0000000000000007E-2</v>
      </c>
      <c r="L453" s="2">
        <f>Base[[#This Row],[Coût]]*Base[[#This Row],[Part_ménages_dépenses_santé]]</f>
        <v>0</v>
      </c>
      <c r="M453" s="2">
        <v>0</v>
      </c>
      <c r="N453" s="6">
        <v>27700000</v>
      </c>
      <c r="O453" s="7">
        <f>Base[[#This Row],[Coût_salarié]]*10^9*Base[[#This Row],[Risque]]*Base[[#This Row],[Prévalence]]*Base[[#This Row],[Part_coûts_salarié]]/Base[[#This Row],[Population_emploi]]</f>
        <v>0</v>
      </c>
      <c r="P453">
        <v>50</v>
      </c>
      <c r="Q453">
        <v>50</v>
      </c>
      <c r="R453" s="2">
        <v>9.9999999999999978E-2</v>
      </c>
      <c r="S453" s="2">
        <v>0.33340000000000003</v>
      </c>
      <c r="T453" s="4">
        <v>0</v>
      </c>
      <c r="U453" s="4">
        <f>IF(Bases_annexes!$F$5=0,16.6587111018772,0.77*Bases_annexes!$F$5/(IF(OR(ISBLANK('Données_d''entrée'!$E$44),'Données_d''entrée'!$E$44=0),35,'Données_d''entrée'!$E$44)*52))</f>
        <v>16.658711101877199</v>
      </c>
      <c r="V453" s="4">
        <v>0</v>
      </c>
      <c r="W4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3" s="4">
        <v>234.5</v>
      </c>
      <c r="Y453" s="4">
        <f>(Base[[#This Row],['[Maladies']Coûts_évités_par_salarié]]+Base[[#This Row],['[Travail']Coûts_évités_par_salarié]])/Base[[#This Row],[Budget_santé_salarié]]</f>
        <v>0</v>
      </c>
      <c r="Z453" s="4">
        <v>0.8</v>
      </c>
      <c r="AA453" s="4">
        <f>Base[[#This Row],[Coût]]*Base[[#This Row],[Part_société_dépenses_santé]]</f>
        <v>0</v>
      </c>
      <c r="AB453" s="4">
        <v>67635124</v>
      </c>
      <c r="AC453" s="4">
        <v>82.297079063317852</v>
      </c>
      <c r="AD453" s="4">
        <v>0</v>
      </c>
      <c r="AE453" s="4">
        <f>Base[[#This Row],['[SC']Prévalence_travail]]*Base[[#This Row],[Population_emploi]]</f>
        <v>0</v>
      </c>
      <c r="AF453" s="4">
        <f>Base[[#This Row],[Risque]]*Base[[#This Row],['[SC']Patients_en_emploi]]</f>
        <v>0</v>
      </c>
      <c r="AG453" s="4"/>
      <c r="AH453" s="4">
        <f>IFERROR(Base[[#This Row],['[SC']Prestations]]/Base[[#This Row],['[SC']Patients_en_emploi]],0)</f>
        <v>0</v>
      </c>
      <c r="AI453" s="4"/>
      <c r="AJ4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3" s="4">
        <f>Base[[#This Row],['[SC']'[Travail']Coûts_évités]]/Base[[#This Row],[Population_emploi]]</f>
        <v>0</v>
      </c>
      <c r="AL453" s="4">
        <f>Base[[#This Row],[Coût_société]]*10^9*Base[[#This Row],[Risque]]*Base[[#This Row],[Prévalence]]*Base[[#This Row],[Part_coûts_salarié]]/Base[[#This Row],[Population_emploi]]</f>
        <v>0</v>
      </c>
      <c r="AM453" s="4">
        <f>IF(Base[[#This Row],[Pathologie]]&lt;&gt;"Dépendance",0,14909.24243952)</f>
        <v>0</v>
      </c>
      <c r="AN453" s="4">
        <f>IF(Base[[#This Row],[Pathologie]]&lt;&gt;"Dépendance",0,1316000)</f>
        <v>0</v>
      </c>
      <c r="AO453" s="4">
        <f>IF(Base[[#This Row],[Pathologie]]&lt;&gt;"Dépendance",0,Base[[#This Row],['[SC']Coût_personne_dépendante]]*Base[[#This Row],['[SC']Nb_personnes_dépendantes]])</f>
        <v>0</v>
      </c>
      <c r="AP453" s="4">
        <f>IF(Base[[#This Row],[Pathologie]]&lt;&gt;"Dépendance",0,Base[[#This Row],['[SC']Coût_total_dépendance]]/Base[[#This Row],[Population_totale]])</f>
        <v>0</v>
      </c>
      <c r="AQ453" s="4">
        <f>IF(Base[[#This Row],[Pathologie]]&lt;&gt;"Dépendance",0,4.5)</f>
        <v>0</v>
      </c>
      <c r="AR453" s="4">
        <v>0.83987615528424797</v>
      </c>
      <c r="AS453" s="4">
        <f>Base[[#This Row],[Espérance_vie]]+Base[[#This Row],['[SC']Hausse_esp_de_vie]]-Base[[#This Row],['[SC']Durée_moyenne_dépendance_avt]]+Base[[#This Row],[Risque]]</f>
        <v>83.486210649512373</v>
      </c>
      <c r="AT4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3" s="4">
        <v>62.9</v>
      </c>
      <c r="AW453" s="4">
        <f t="shared" si="11"/>
        <v>336905600000</v>
      </c>
      <c r="AX453" s="4">
        <v>15049171</v>
      </c>
      <c r="AY453" s="4">
        <f>Base[[#This Row],['[SC']Budget_total_retraites]]/Base[[#This Row],['[SC']Nombre_de_retraités]]</f>
        <v>22386.987296509556</v>
      </c>
      <c r="AZ453" s="4">
        <f>Base[[#This Row],['[SC']Budget_par_retraité]]*Base[[#This Row],['[SC']Nb_personnes_dépendantes]]</f>
        <v>0</v>
      </c>
      <c r="BA453" s="4">
        <f>Base[[#This Row],['[SC']'[Dépendance']Coût_retraite_personnes_dépendantes]]/Base[[#This Row],[Population_totale]]</f>
        <v>0</v>
      </c>
      <c r="BB4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3" s="4">
        <f>Base[[#This Row],['[SC']'[Dépendance']Gains]]-Base[[#This Row],['[SC']'[Dépendance']Coûts]]</f>
        <v>0</v>
      </c>
      <c r="BD453" s="4">
        <f>IF(Base[[#This Row],[Pathologie]]&lt;&gt;"Mort prématurée",0,Base[[#This Row],[Risque]]*Base[[#This Row],[Prévalence]]*Base[[#This Row],[Population_totale]])</f>
        <v>0</v>
      </c>
      <c r="BE453" s="4">
        <v>52.74</v>
      </c>
      <c r="BF453" s="4">
        <f>Base[[#This Row],['[SC']Âge_moyen_retraite]]-Base[[#This Row],['[SC']'[Mort_prématurée']Âge_moyen_mort précoce]]</f>
        <v>10.159999999999997</v>
      </c>
      <c r="BG453" s="4">
        <f>Base[[#This Row],[Espérance_vie]]+Base[[#This Row],['[SC']Hausse_esp_de_vie]]-Base[[#This Row],['[SC']Âge_moyen_retraite]]</f>
        <v>20.236955218602098</v>
      </c>
      <c r="BH453" s="4">
        <v>106583.42676924677</v>
      </c>
      <c r="BI453" s="4">
        <v>97601.789429271477</v>
      </c>
      <c r="BJ453" s="4">
        <v>302038.31496633729</v>
      </c>
      <c r="BK453" s="4">
        <v>117293.58934859755</v>
      </c>
      <c r="BL453" s="4">
        <v>1523999.9999999995</v>
      </c>
      <c r="BM4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3" s="4">
        <v>294804.96027377353</v>
      </c>
      <c r="BO4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3" s="4">
        <f>(Base[[#This Row],['[SC']'[Mort_prématurée']Gains]]-Base[[#This Row],['[SC']'[Mort_prématurée']Coûts]])/Base[[#This Row],[Population_totale]]</f>
        <v>0</v>
      </c>
      <c r="BQ453" s="4">
        <f>IF(Base[[#This Row],[Pathologie]]&lt;&gt;"Mort prématurée",0,Base[[#This Row],[Risque]])</f>
        <v>0</v>
      </c>
      <c r="BR453" s="4">
        <v>2680</v>
      </c>
      <c r="BS4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3" s="4">
        <f>Base[[#This Row],[Prévalence_prod]]*(1-Base[[#This Row],[Risque]])*Base[[#This Row],[Durée_arrêt]]*Base[[#This Row],[Population_emploi]]</f>
        <v>0</v>
      </c>
      <c r="BV453" s="4">
        <f>Base[[#This Row],['[Prod']'[Absentéisme']Total_jours_absence_avant]]-Base[[#This Row],['[Prod']'[Absentéisme']Total_jours_absence_après]]</f>
        <v>0</v>
      </c>
      <c r="BW453" s="4">
        <f>IF(AND(Base[[#This Row],[Pathologie]]&lt;&gt;"Dépendance",Base[[#This Row],[Pathologie]]&lt;&gt;"Mort prématurée",Base[[#This Row],[Pathologie]]&lt;&gt;"Migraine"),0.0619,0)</f>
        <v>0</v>
      </c>
      <c r="BX453" s="4">
        <v>254</v>
      </c>
      <c r="BY45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3" s="4">
        <f>Base[[#This Row],[Prévalence_prod]]*Base[[#This Row],[Présentéisme]]*Base[[#This Row],['[Prod']Jours_ouvrés]]</f>
        <v>6.4516000000000009</v>
      </c>
      <c r="CB453" s="4">
        <f>Base[[#This Row],[Prévalence_prod]]*(1-Base[[#This Row],[Risque]])*Base[[#This Row],[Présentéisme]]*Base[[#This Row],['[Prod']Jours_ouvrés]]</f>
        <v>4.1983436619392309</v>
      </c>
      <c r="CC453" s="4">
        <f>Base[[#This Row],['[Prod']'[Présentéisme']Jours_avant]]-Base[[#This Row],['[Prod']'[Présentéisme']Jours_après]]</f>
        <v>2.25325633806077</v>
      </c>
      <c r="CD453" s="4">
        <f>Base[[#This Row],['[Prod']'[Présentéisme']Jours_gagnés]]/Base[[#This Row],['[Prod']Jours_ouvrés]]</f>
        <v>8.8710879451211408E-3</v>
      </c>
      <c r="CE453">
        <v>7.5880726467531134E-2</v>
      </c>
      <c r="CF453">
        <v>1.989821358241517E-2</v>
      </c>
      <c r="CG453" s="4">
        <v>11</v>
      </c>
      <c r="CH453" s="4">
        <v>0.52204401140486179</v>
      </c>
      <c r="CI453" s="4">
        <v>1.2443904150185675E-2</v>
      </c>
      <c r="CJ453" s="4">
        <f>IF(Base[[#This Row],[Secteur]]&lt;&gt;"Moyenne",Base[[#This Row],['[Prod']'[Turnover']DMC_initiale]]*(1+Base[[#This Row],['[Prod']'[Turnover']Ecart_accidents]]*Base[[#This Row],['[Prod']Impact_motifs_turnover]]),CJ436*CI436+CJ437*CI437+CJ438*CI438+CJ439*CI439+CJ440*CI440+CJ441*CI441+CJ442*CI442+CJ443*CI443+CJ444*CI444+CJ445*CI445+CJ446*CI446+CJ447*CI447+CJ448*CI448+CJ449*CI449+CJ450*CI450+CJ451*CI451+CJ452*CI452)</f>
        <v>11.114265175621902</v>
      </c>
      <c r="CK453" s="4">
        <f>1/Base[[#This Row],['[Prod']'[Turnover']DMC_initiale]]</f>
        <v>9.0909090909090912E-2</v>
      </c>
      <c r="CL453" s="4">
        <f>1/Base[[#This Row],['[Prod']'[Turnover']DMC_finale]]</f>
        <v>8.9974459327586145E-2</v>
      </c>
    </row>
    <row r="454" spans="2:90" x14ac:dyDescent="0.25">
      <c r="B454" s="4" t="s">
        <v>320</v>
      </c>
      <c r="C454">
        <v>15</v>
      </c>
      <c r="D454" t="s">
        <v>83</v>
      </c>
      <c r="E454" t="s">
        <v>97</v>
      </c>
      <c r="F454" s="3">
        <v>0.349255430910281</v>
      </c>
      <c r="G454" s="3">
        <v>0.2</v>
      </c>
      <c r="H454" s="3">
        <v>0.2</v>
      </c>
      <c r="I454" s="3">
        <v>0.127</v>
      </c>
      <c r="J454" s="3">
        <v>0</v>
      </c>
      <c r="K454" s="3">
        <v>7.0000000000000007E-2</v>
      </c>
      <c r="L454" s="2">
        <f>Base[[#This Row],[Coût]]*Base[[#This Row],[Part_ménages_dépenses_santé]]</f>
        <v>0</v>
      </c>
      <c r="M454" s="2">
        <v>0</v>
      </c>
      <c r="N454" s="6">
        <v>27700000</v>
      </c>
      <c r="O454" s="7">
        <f>Base[[#This Row],[Coût_salarié]]*10^9*Base[[#This Row],[Risque]]*Base[[#This Row],[Prévalence]]*Base[[#This Row],[Part_coûts_salarié]]/Base[[#This Row],[Population_emploi]]</f>
        <v>0</v>
      </c>
      <c r="P454">
        <v>50</v>
      </c>
      <c r="Q454">
        <v>50</v>
      </c>
      <c r="R454" s="2">
        <v>9.9999999999999978E-2</v>
      </c>
      <c r="S454" s="2">
        <v>0.33340000000000003</v>
      </c>
      <c r="T454" s="4">
        <v>0</v>
      </c>
      <c r="U454" s="4">
        <f>IF(Bases_annexes!$F$5=0,16.6587111018772,0.77*Bases_annexes!$F$5/(IF(OR(ISBLANK('Données_d''entrée'!$E$44),'Données_d''entrée'!$E$44=0),35,'Données_d''entrée'!$E$44)*52))</f>
        <v>16.658711101877199</v>
      </c>
      <c r="V454" s="4">
        <v>0</v>
      </c>
      <c r="W4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4" s="4">
        <v>234.5</v>
      </c>
      <c r="Y454" s="4">
        <f>(Base[[#This Row],['[Maladies']Coûts_évités_par_salarié]]+Base[[#This Row],['[Travail']Coûts_évités_par_salarié]])/Base[[#This Row],[Budget_santé_salarié]]</f>
        <v>0</v>
      </c>
      <c r="Z454" s="4">
        <v>0.8</v>
      </c>
      <c r="AA454" s="4">
        <f>Base[[#This Row],[Coût]]*Base[[#This Row],[Part_société_dépenses_santé]]</f>
        <v>0</v>
      </c>
      <c r="AB454" s="4">
        <v>67635124</v>
      </c>
      <c r="AC454" s="4">
        <v>82.297079063317852</v>
      </c>
      <c r="AD454" s="4">
        <v>0</v>
      </c>
      <c r="AE454" s="4">
        <f>Base[[#This Row],['[SC']Prévalence_travail]]*Base[[#This Row],[Population_emploi]]</f>
        <v>0</v>
      </c>
      <c r="AF454" s="4">
        <f>Base[[#This Row],[Risque]]*Base[[#This Row],['[SC']Patients_en_emploi]]</f>
        <v>0</v>
      </c>
      <c r="AG454" s="4"/>
      <c r="AH454" s="4">
        <f>IFERROR(Base[[#This Row],['[SC']Prestations]]/Base[[#This Row],['[SC']Patients_en_emploi]],0)</f>
        <v>0</v>
      </c>
      <c r="AI454" s="4"/>
      <c r="AJ4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4" s="4">
        <f>Base[[#This Row],['[SC']'[Travail']Coûts_évités]]/Base[[#This Row],[Population_emploi]]</f>
        <v>0</v>
      </c>
      <c r="AL454" s="4">
        <f>Base[[#This Row],[Coût_société]]*10^9*Base[[#This Row],[Risque]]*Base[[#This Row],[Prévalence]]*Base[[#This Row],[Part_coûts_salarié]]/Base[[#This Row],[Population_emploi]]</f>
        <v>0</v>
      </c>
      <c r="AM454" s="4">
        <f>IF(Base[[#This Row],[Pathologie]]&lt;&gt;"Dépendance",0,14909.24243952)</f>
        <v>0</v>
      </c>
      <c r="AN454" s="4">
        <f>IF(Base[[#This Row],[Pathologie]]&lt;&gt;"Dépendance",0,1316000)</f>
        <v>0</v>
      </c>
      <c r="AO454" s="4">
        <f>IF(Base[[#This Row],[Pathologie]]&lt;&gt;"Dépendance",0,Base[[#This Row],['[SC']Coût_personne_dépendante]]*Base[[#This Row],['[SC']Nb_personnes_dépendantes]])</f>
        <v>0</v>
      </c>
      <c r="AP454" s="4">
        <f>IF(Base[[#This Row],[Pathologie]]&lt;&gt;"Dépendance",0,Base[[#This Row],['[SC']Coût_total_dépendance]]/Base[[#This Row],[Population_totale]])</f>
        <v>0</v>
      </c>
      <c r="AQ454" s="4">
        <f>IF(Base[[#This Row],[Pathologie]]&lt;&gt;"Dépendance",0,4.5)</f>
        <v>0</v>
      </c>
      <c r="AR454" s="4">
        <v>0.83987615528424797</v>
      </c>
      <c r="AS454" s="4">
        <f>Base[[#This Row],[Espérance_vie]]+Base[[#This Row],['[SC']Hausse_esp_de_vie]]-Base[[#This Row],['[SC']Durée_moyenne_dépendance_avt]]+Base[[#This Row],[Risque]]</f>
        <v>83.486210649512373</v>
      </c>
      <c r="AT4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4" s="4">
        <v>62.9</v>
      </c>
      <c r="AW454" s="4">
        <f t="shared" si="11"/>
        <v>336905600000</v>
      </c>
      <c r="AX454" s="4">
        <v>15049171</v>
      </c>
      <c r="AY454" s="4">
        <f>Base[[#This Row],['[SC']Budget_total_retraites]]/Base[[#This Row],['[SC']Nombre_de_retraités]]</f>
        <v>22386.987296509556</v>
      </c>
      <c r="AZ454" s="4">
        <f>Base[[#This Row],['[SC']Budget_par_retraité]]*Base[[#This Row],['[SC']Nb_personnes_dépendantes]]</f>
        <v>0</v>
      </c>
      <c r="BA454" s="4">
        <f>Base[[#This Row],['[SC']'[Dépendance']Coût_retraite_personnes_dépendantes]]/Base[[#This Row],[Population_totale]]</f>
        <v>0</v>
      </c>
      <c r="BB4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4" s="4">
        <f>Base[[#This Row],['[SC']'[Dépendance']Gains]]-Base[[#This Row],['[SC']'[Dépendance']Coûts]]</f>
        <v>0</v>
      </c>
      <c r="BD454" s="4">
        <f>IF(Base[[#This Row],[Pathologie]]&lt;&gt;"Mort prématurée",0,Base[[#This Row],[Risque]]*Base[[#This Row],[Prévalence]]*Base[[#This Row],[Population_totale]])</f>
        <v>0</v>
      </c>
      <c r="BE454" s="4">
        <v>52.74</v>
      </c>
      <c r="BF454" s="4">
        <f>Base[[#This Row],['[SC']Âge_moyen_retraite]]-Base[[#This Row],['[SC']'[Mort_prématurée']Âge_moyen_mort précoce]]</f>
        <v>10.159999999999997</v>
      </c>
      <c r="BG454" s="4">
        <f>Base[[#This Row],[Espérance_vie]]+Base[[#This Row],['[SC']Hausse_esp_de_vie]]-Base[[#This Row],['[SC']Âge_moyen_retraite]]</f>
        <v>20.236955218602098</v>
      </c>
      <c r="BH454" s="4">
        <v>106583.42676924677</v>
      </c>
      <c r="BI454" s="4">
        <v>97601.789429271477</v>
      </c>
      <c r="BJ454" s="4">
        <v>302038.31496633729</v>
      </c>
      <c r="BK454" s="4">
        <v>117293.58934859755</v>
      </c>
      <c r="BL454" s="4">
        <v>1523999.9999999995</v>
      </c>
      <c r="BM4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4" s="4">
        <v>294804.96027377353</v>
      </c>
      <c r="BO4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4" s="4">
        <f>(Base[[#This Row],['[SC']'[Mort_prématurée']Gains]]-Base[[#This Row],['[SC']'[Mort_prématurée']Coûts]])/Base[[#This Row],[Population_totale]]</f>
        <v>0</v>
      </c>
      <c r="BQ454" s="4">
        <f>IF(Base[[#This Row],[Pathologie]]&lt;&gt;"Mort prématurée",0,Base[[#This Row],[Risque]])</f>
        <v>0</v>
      </c>
      <c r="BR454" s="4">
        <v>2680</v>
      </c>
      <c r="BS4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4" s="4">
        <f>Base[[#This Row],[Prévalence_prod]]*(1-Base[[#This Row],[Risque]])*Base[[#This Row],[Durée_arrêt]]*Base[[#This Row],[Population_emploi]]</f>
        <v>0</v>
      </c>
      <c r="BV454" s="4">
        <f>Base[[#This Row],['[Prod']'[Absentéisme']Total_jours_absence_avant]]-Base[[#This Row],['[Prod']'[Absentéisme']Total_jours_absence_après]]</f>
        <v>0</v>
      </c>
      <c r="BW454" s="4">
        <f>IF(AND(Base[[#This Row],[Pathologie]]&lt;&gt;"Dépendance",Base[[#This Row],[Pathologie]]&lt;&gt;"Mort prématurée",Base[[#This Row],[Pathologie]]&lt;&gt;"Migraine"),0.0619,0)</f>
        <v>0</v>
      </c>
      <c r="BX454" s="4">
        <v>254</v>
      </c>
      <c r="BY45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4" s="4">
        <f>Base[[#This Row],[Prévalence_prod]]*Base[[#This Row],[Présentéisme]]*Base[[#This Row],['[Prod']Jours_ouvrés]]</f>
        <v>6.4516000000000009</v>
      </c>
      <c r="CB454" s="4">
        <f>Base[[#This Row],[Prévalence_prod]]*(1-Base[[#This Row],[Risque]])*Base[[#This Row],[Présentéisme]]*Base[[#This Row],['[Prod']Jours_ouvrés]]</f>
        <v>4.1983436619392309</v>
      </c>
      <c r="CC454" s="4">
        <f>Base[[#This Row],['[Prod']'[Présentéisme']Jours_avant]]-Base[[#This Row],['[Prod']'[Présentéisme']Jours_après]]</f>
        <v>2.25325633806077</v>
      </c>
      <c r="CD454" s="4">
        <f>Base[[#This Row],['[Prod']'[Présentéisme']Jours_gagnés]]/Base[[#This Row],['[Prod']Jours_ouvrés]]</f>
        <v>8.8710879451211408E-3</v>
      </c>
      <c r="CE454">
        <v>7.5880726467531134E-2</v>
      </c>
      <c r="CF454">
        <v>1.989821358241517E-2</v>
      </c>
      <c r="CG454" s="4">
        <v>11</v>
      </c>
      <c r="CH454" s="4">
        <v>0.49446424657188709</v>
      </c>
      <c r="CI454" s="4">
        <v>1.0795805058605798E-2</v>
      </c>
      <c r="CJ454" s="4">
        <f>IF(Base[[#This Row],[Secteur]]&lt;&gt;"Moyenne",Base[[#This Row],['[Prod']'[Turnover']DMC_initiale]]*(1+Base[[#This Row],['[Prod']'[Turnover']Ecart_accidents]]*Base[[#This Row],['[Prod']Impact_motifs_turnover]]),CJ437*CI437+CJ438*CI438+CJ439*CI439+CJ440*CI440+CJ441*CI441+CJ442*CI442+CJ443*CI443+CJ444*CI444+CJ445*CI445+CJ446*CI446+CJ447*CI447+CJ448*CI448+CJ449*CI449+CJ450*CI450+CJ451*CI451+CJ452*CI452+CJ453*CI453)</f>
        <v>11.108228507058708</v>
      </c>
      <c r="CK454" s="4">
        <f>1/Base[[#This Row],['[Prod']'[Turnover']DMC_initiale]]</f>
        <v>9.0909090909090912E-2</v>
      </c>
      <c r="CL454" s="4">
        <f>1/Base[[#This Row],['[Prod']'[Turnover']DMC_finale]]</f>
        <v>9.0023355151953477E-2</v>
      </c>
    </row>
    <row r="455" spans="2:90" x14ac:dyDescent="0.25">
      <c r="B455" s="4" t="s">
        <v>321</v>
      </c>
      <c r="C455">
        <v>15</v>
      </c>
      <c r="D455" t="s">
        <v>83</v>
      </c>
      <c r="E455" t="s">
        <v>97</v>
      </c>
      <c r="F455" s="3">
        <v>0.349255430910281</v>
      </c>
      <c r="G455" s="3">
        <v>0.2</v>
      </c>
      <c r="H455" s="3">
        <v>0.2</v>
      </c>
      <c r="I455" s="3">
        <v>0.127</v>
      </c>
      <c r="J455" s="3">
        <v>0</v>
      </c>
      <c r="K455" s="3">
        <v>7.0000000000000007E-2</v>
      </c>
      <c r="L455" s="2">
        <f>Base[[#This Row],[Coût]]*Base[[#This Row],[Part_ménages_dépenses_santé]]</f>
        <v>0</v>
      </c>
      <c r="M455" s="2">
        <v>0</v>
      </c>
      <c r="N455" s="6">
        <v>27700000</v>
      </c>
      <c r="O455" s="7">
        <f>Base[[#This Row],[Coût_salarié]]*10^9*Base[[#This Row],[Risque]]*Base[[#This Row],[Prévalence]]*Base[[#This Row],[Part_coûts_salarié]]/Base[[#This Row],[Population_emploi]]</f>
        <v>0</v>
      </c>
      <c r="P455">
        <v>50</v>
      </c>
      <c r="Q455">
        <v>50</v>
      </c>
      <c r="R455" s="2">
        <v>9.9999999999999978E-2</v>
      </c>
      <c r="S455" s="2">
        <v>0.33340000000000003</v>
      </c>
      <c r="T455" s="4">
        <v>0</v>
      </c>
      <c r="U455" s="4">
        <f>IF(Bases_annexes!$F$5=0,16.6587111018772,0.77*Bases_annexes!$F$5/(IF(OR(ISBLANK('Données_d''entrée'!$E$44),'Données_d''entrée'!$E$44=0),35,'Données_d''entrée'!$E$44)*52))</f>
        <v>16.658711101877199</v>
      </c>
      <c r="V455" s="4">
        <v>0</v>
      </c>
      <c r="W4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5" s="4">
        <v>234.5</v>
      </c>
      <c r="Y455" s="4">
        <f>(Base[[#This Row],['[Maladies']Coûts_évités_par_salarié]]+Base[[#This Row],['[Travail']Coûts_évités_par_salarié]])/Base[[#This Row],[Budget_santé_salarié]]</f>
        <v>0</v>
      </c>
      <c r="Z455" s="4">
        <v>0.8</v>
      </c>
      <c r="AA455" s="4">
        <f>Base[[#This Row],[Coût]]*Base[[#This Row],[Part_société_dépenses_santé]]</f>
        <v>0</v>
      </c>
      <c r="AB455" s="4">
        <v>67635124</v>
      </c>
      <c r="AC455" s="4">
        <v>82.297079063317852</v>
      </c>
      <c r="AD455" s="4">
        <v>0</v>
      </c>
      <c r="AE455" s="4">
        <f>Base[[#This Row],['[SC']Prévalence_travail]]*Base[[#This Row],[Population_emploi]]</f>
        <v>0</v>
      </c>
      <c r="AF455" s="4">
        <f>Base[[#This Row],[Risque]]*Base[[#This Row],['[SC']Patients_en_emploi]]</f>
        <v>0</v>
      </c>
      <c r="AG455" s="4"/>
      <c r="AH455" s="4">
        <f>IFERROR(Base[[#This Row],['[SC']Prestations]]/Base[[#This Row],['[SC']Patients_en_emploi]],0)</f>
        <v>0</v>
      </c>
      <c r="AI455" s="4"/>
      <c r="AJ4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5" s="4">
        <f>Base[[#This Row],['[SC']'[Travail']Coûts_évités]]/Base[[#This Row],[Population_emploi]]</f>
        <v>0</v>
      </c>
      <c r="AL455" s="4">
        <f>Base[[#This Row],[Coût_société]]*10^9*Base[[#This Row],[Risque]]*Base[[#This Row],[Prévalence]]*Base[[#This Row],[Part_coûts_salarié]]/Base[[#This Row],[Population_emploi]]</f>
        <v>0</v>
      </c>
      <c r="AM455" s="4">
        <f>IF(Base[[#This Row],[Pathologie]]&lt;&gt;"Dépendance",0,14909.24243952)</f>
        <v>0</v>
      </c>
      <c r="AN455" s="4">
        <f>IF(Base[[#This Row],[Pathologie]]&lt;&gt;"Dépendance",0,1316000)</f>
        <v>0</v>
      </c>
      <c r="AO455" s="4">
        <f>IF(Base[[#This Row],[Pathologie]]&lt;&gt;"Dépendance",0,Base[[#This Row],['[SC']Coût_personne_dépendante]]*Base[[#This Row],['[SC']Nb_personnes_dépendantes]])</f>
        <v>0</v>
      </c>
      <c r="AP455" s="4">
        <f>IF(Base[[#This Row],[Pathologie]]&lt;&gt;"Dépendance",0,Base[[#This Row],['[SC']Coût_total_dépendance]]/Base[[#This Row],[Population_totale]])</f>
        <v>0</v>
      </c>
      <c r="AQ455" s="4">
        <f>IF(Base[[#This Row],[Pathologie]]&lt;&gt;"Dépendance",0,4.5)</f>
        <v>0</v>
      </c>
      <c r="AR455" s="4">
        <v>0.83987615528424797</v>
      </c>
      <c r="AS455" s="4">
        <f>Base[[#This Row],[Espérance_vie]]+Base[[#This Row],['[SC']Hausse_esp_de_vie]]-Base[[#This Row],['[SC']Durée_moyenne_dépendance_avt]]+Base[[#This Row],[Risque]]</f>
        <v>83.486210649512373</v>
      </c>
      <c r="AT4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5" s="4">
        <v>62.9</v>
      </c>
      <c r="AW455" s="4">
        <f t="shared" si="11"/>
        <v>336905600000</v>
      </c>
      <c r="AX455" s="4">
        <v>15049171</v>
      </c>
      <c r="AY455" s="4">
        <f>Base[[#This Row],['[SC']Budget_total_retraites]]/Base[[#This Row],['[SC']Nombre_de_retraités]]</f>
        <v>22386.987296509556</v>
      </c>
      <c r="AZ455" s="4">
        <f>Base[[#This Row],['[SC']Budget_par_retraité]]*Base[[#This Row],['[SC']Nb_personnes_dépendantes]]</f>
        <v>0</v>
      </c>
      <c r="BA455" s="4">
        <f>Base[[#This Row],['[SC']'[Dépendance']Coût_retraite_personnes_dépendantes]]/Base[[#This Row],[Population_totale]]</f>
        <v>0</v>
      </c>
      <c r="BB4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5" s="4">
        <f>Base[[#This Row],['[SC']'[Dépendance']Gains]]-Base[[#This Row],['[SC']'[Dépendance']Coûts]]</f>
        <v>0</v>
      </c>
      <c r="BD455" s="4">
        <f>IF(Base[[#This Row],[Pathologie]]&lt;&gt;"Mort prématurée",0,Base[[#This Row],[Risque]]*Base[[#This Row],[Prévalence]]*Base[[#This Row],[Population_totale]])</f>
        <v>0</v>
      </c>
      <c r="BE455" s="4">
        <v>52.74</v>
      </c>
      <c r="BF455" s="4">
        <f>Base[[#This Row],['[SC']Âge_moyen_retraite]]-Base[[#This Row],['[SC']'[Mort_prématurée']Âge_moyen_mort précoce]]</f>
        <v>10.159999999999997</v>
      </c>
      <c r="BG455" s="4">
        <f>Base[[#This Row],[Espérance_vie]]+Base[[#This Row],['[SC']Hausse_esp_de_vie]]-Base[[#This Row],['[SC']Âge_moyen_retraite]]</f>
        <v>20.236955218602098</v>
      </c>
      <c r="BH455" s="4">
        <v>106583.42676924677</v>
      </c>
      <c r="BI455" s="4">
        <v>97601.789429271477</v>
      </c>
      <c r="BJ455" s="4">
        <v>302038.31496633729</v>
      </c>
      <c r="BK455" s="4">
        <v>117293.58934859755</v>
      </c>
      <c r="BL455" s="4">
        <v>1523999.9999999995</v>
      </c>
      <c r="BM4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5" s="4">
        <v>294804.96027377353</v>
      </c>
      <c r="BO4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5" s="4">
        <f>(Base[[#This Row],['[SC']'[Mort_prématurée']Gains]]-Base[[#This Row],['[SC']'[Mort_prématurée']Coûts]])/Base[[#This Row],[Population_totale]]</f>
        <v>0</v>
      </c>
      <c r="BQ455" s="4">
        <f>IF(Base[[#This Row],[Pathologie]]&lt;&gt;"Mort prématurée",0,Base[[#This Row],[Risque]])</f>
        <v>0</v>
      </c>
      <c r="BR455" s="4">
        <v>2680</v>
      </c>
      <c r="BS4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5" s="4">
        <f>Base[[#This Row],[Prévalence_prod]]*(1-Base[[#This Row],[Risque]])*Base[[#This Row],[Durée_arrêt]]*Base[[#This Row],[Population_emploi]]</f>
        <v>0</v>
      </c>
      <c r="BV455" s="4">
        <f>Base[[#This Row],['[Prod']'[Absentéisme']Total_jours_absence_avant]]-Base[[#This Row],['[Prod']'[Absentéisme']Total_jours_absence_après]]</f>
        <v>0</v>
      </c>
      <c r="BW455" s="4">
        <f>IF(AND(Base[[#This Row],[Pathologie]]&lt;&gt;"Dépendance",Base[[#This Row],[Pathologie]]&lt;&gt;"Mort prématurée",Base[[#This Row],[Pathologie]]&lt;&gt;"Migraine"),0.0619,0)</f>
        <v>0</v>
      </c>
      <c r="BX455" s="4">
        <v>254</v>
      </c>
      <c r="BY45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5" s="4">
        <f>Base[[#This Row],[Prévalence_prod]]*Base[[#This Row],[Présentéisme]]*Base[[#This Row],['[Prod']Jours_ouvrés]]</f>
        <v>6.4516000000000009</v>
      </c>
      <c r="CB455" s="4">
        <f>Base[[#This Row],[Prévalence_prod]]*(1-Base[[#This Row],[Risque]])*Base[[#This Row],[Présentéisme]]*Base[[#This Row],['[Prod']Jours_ouvrés]]</f>
        <v>4.1983436619392309</v>
      </c>
      <c r="CC455" s="4">
        <f>Base[[#This Row],['[Prod']'[Présentéisme']Jours_avant]]-Base[[#This Row],['[Prod']'[Présentéisme']Jours_après]]</f>
        <v>2.25325633806077</v>
      </c>
      <c r="CD455" s="4">
        <f>Base[[#This Row],['[Prod']'[Présentéisme']Jours_gagnés]]/Base[[#This Row],['[Prod']Jours_ouvrés]]</f>
        <v>8.8710879451211408E-3</v>
      </c>
      <c r="CE455">
        <v>7.5880726467531134E-2</v>
      </c>
      <c r="CF455">
        <v>1.989821358241517E-2</v>
      </c>
      <c r="CG455" s="4">
        <v>11</v>
      </c>
      <c r="CH455" s="4">
        <v>0.85274500894619554</v>
      </c>
      <c r="CI455" s="4">
        <v>4.2903496994109176E-2</v>
      </c>
      <c r="CJ455" s="4">
        <f>IF(Base[[#This Row],[Secteur]]&lt;&gt;"Moyenne",Base[[#This Row],['[Prod']'[Turnover']DMC_initiale]]*(1+Base[[#This Row],['[Prod']'[Turnover']Ecart_accidents]]*Base[[#This Row],['[Prod']Impact_motifs_turnover]]),CJ438*CI438+CJ439*CI439+CJ440*CI440+CJ441*CI441+CJ442*CI442+CJ443*CI443+CJ444*CI444+CJ445*CI445+CJ446*CI446+CJ447*CI447+CJ448*CI448+CJ449*CI449+CJ450*CI450+CJ451*CI451+CJ452*CI452+CJ453*CI453+CJ454*CI454)</f>
        <v>11.186649125512849</v>
      </c>
      <c r="CK455" s="4">
        <f>1/Base[[#This Row],['[Prod']'[Turnover']DMC_initiale]]</f>
        <v>9.0909090909090912E-2</v>
      </c>
      <c r="CL455" s="4">
        <f>1/Base[[#This Row],['[Prod']'[Turnover']DMC_finale]]</f>
        <v>8.9392273663017496E-2</v>
      </c>
    </row>
    <row r="456" spans="2:90" x14ac:dyDescent="0.25">
      <c r="B456" s="4" t="s">
        <v>322</v>
      </c>
      <c r="C456">
        <v>15</v>
      </c>
      <c r="D456" t="s">
        <v>83</v>
      </c>
      <c r="E456" t="s">
        <v>97</v>
      </c>
      <c r="F456" s="3">
        <v>0.349255430910281</v>
      </c>
      <c r="G456" s="3">
        <v>0.2</v>
      </c>
      <c r="H456" s="3">
        <v>0.2</v>
      </c>
      <c r="I456" s="3">
        <v>0.127</v>
      </c>
      <c r="J456" s="3">
        <v>0</v>
      </c>
      <c r="K456" s="3">
        <v>7.0000000000000007E-2</v>
      </c>
      <c r="L456" s="2">
        <f>Base[[#This Row],[Coût]]*Base[[#This Row],[Part_ménages_dépenses_santé]]</f>
        <v>0</v>
      </c>
      <c r="M456" s="2">
        <v>0</v>
      </c>
      <c r="N456" s="6">
        <v>27700000</v>
      </c>
      <c r="O456" s="7">
        <f>Base[[#This Row],[Coût_salarié]]*10^9*Base[[#This Row],[Risque]]*Base[[#This Row],[Prévalence]]*Base[[#This Row],[Part_coûts_salarié]]/Base[[#This Row],[Population_emploi]]</f>
        <v>0</v>
      </c>
      <c r="P456">
        <v>50</v>
      </c>
      <c r="Q456">
        <v>50</v>
      </c>
      <c r="R456" s="2">
        <v>9.9999999999999978E-2</v>
      </c>
      <c r="S456" s="2">
        <v>0.33340000000000003</v>
      </c>
      <c r="T456" s="4">
        <v>0</v>
      </c>
      <c r="U456" s="4">
        <f>IF(Bases_annexes!$F$5=0,16.6587111018772,0.77*Bases_annexes!$F$5/(IF(OR(ISBLANK('Données_d''entrée'!$E$44),'Données_d''entrée'!$E$44=0),35,'Données_d''entrée'!$E$44)*52))</f>
        <v>16.658711101877199</v>
      </c>
      <c r="V456" s="4">
        <v>0</v>
      </c>
      <c r="W4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6" s="4">
        <v>234.5</v>
      </c>
      <c r="Y456" s="4">
        <f>(Base[[#This Row],['[Maladies']Coûts_évités_par_salarié]]+Base[[#This Row],['[Travail']Coûts_évités_par_salarié]])/Base[[#This Row],[Budget_santé_salarié]]</f>
        <v>0</v>
      </c>
      <c r="Z456" s="4">
        <v>0.8</v>
      </c>
      <c r="AA456" s="4">
        <f>Base[[#This Row],[Coût]]*Base[[#This Row],[Part_société_dépenses_santé]]</f>
        <v>0</v>
      </c>
      <c r="AB456" s="4">
        <v>67635124</v>
      </c>
      <c r="AC456" s="4">
        <v>82.297079063317852</v>
      </c>
      <c r="AD456" s="4">
        <v>0</v>
      </c>
      <c r="AE456" s="4">
        <f>Base[[#This Row],['[SC']Prévalence_travail]]*Base[[#This Row],[Population_emploi]]</f>
        <v>0</v>
      </c>
      <c r="AF456" s="4">
        <f>Base[[#This Row],[Risque]]*Base[[#This Row],['[SC']Patients_en_emploi]]</f>
        <v>0</v>
      </c>
      <c r="AG456" s="4"/>
      <c r="AH456" s="4">
        <f>IFERROR(Base[[#This Row],['[SC']Prestations]]/Base[[#This Row],['[SC']Patients_en_emploi]],0)</f>
        <v>0</v>
      </c>
      <c r="AI456" s="4"/>
      <c r="AJ4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6" s="4">
        <f>Base[[#This Row],['[SC']'[Travail']Coûts_évités]]/Base[[#This Row],[Population_emploi]]</f>
        <v>0</v>
      </c>
      <c r="AL456" s="4">
        <f>Base[[#This Row],[Coût_société]]*10^9*Base[[#This Row],[Risque]]*Base[[#This Row],[Prévalence]]*Base[[#This Row],[Part_coûts_salarié]]/Base[[#This Row],[Population_emploi]]</f>
        <v>0</v>
      </c>
      <c r="AM456" s="4">
        <f>IF(Base[[#This Row],[Pathologie]]&lt;&gt;"Dépendance",0,14909.24243952)</f>
        <v>0</v>
      </c>
      <c r="AN456" s="4">
        <f>IF(Base[[#This Row],[Pathologie]]&lt;&gt;"Dépendance",0,1316000)</f>
        <v>0</v>
      </c>
      <c r="AO456" s="4">
        <f>IF(Base[[#This Row],[Pathologie]]&lt;&gt;"Dépendance",0,Base[[#This Row],['[SC']Coût_personne_dépendante]]*Base[[#This Row],['[SC']Nb_personnes_dépendantes]])</f>
        <v>0</v>
      </c>
      <c r="AP456" s="4">
        <f>IF(Base[[#This Row],[Pathologie]]&lt;&gt;"Dépendance",0,Base[[#This Row],['[SC']Coût_total_dépendance]]/Base[[#This Row],[Population_totale]])</f>
        <v>0</v>
      </c>
      <c r="AQ456" s="4">
        <f>IF(Base[[#This Row],[Pathologie]]&lt;&gt;"Dépendance",0,4.5)</f>
        <v>0</v>
      </c>
      <c r="AR456" s="4">
        <v>0.83987615528424797</v>
      </c>
      <c r="AS456" s="4">
        <f>Base[[#This Row],[Espérance_vie]]+Base[[#This Row],['[SC']Hausse_esp_de_vie]]-Base[[#This Row],['[SC']Durée_moyenne_dépendance_avt]]+Base[[#This Row],[Risque]]</f>
        <v>83.486210649512373</v>
      </c>
      <c r="AT4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6" s="4">
        <v>62.9</v>
      </c>
      <c r="AW456" s="4">
        <f t="shared" si="11"/>
        <v>336905600000</v>
      </c>
      <c r="AX456" s="4">
        <v>15049171</v>
      </c>
      <c r="AY456" s="4">
        <f>Base[[#This Row],['[SC']Budget_total_retraites]]/Base[[#This Row],['[SC']Nombre_de_retraités]]</f>
        <v>22386.987296509556</v>
      </c>
      <c r="AZ456" s="4">
        <f>Base[[#This Row],['[SC']Budget_par_retraité]]*Base[[#This Row],['[SC']Nb_personnes_dépendantes]]</f>
        <v>0</v>
      </c>
      <c r="BA456" s="4">
        <f>Base[[#This Row],['[SC']'[Dépendance']Coût_retraite_personnes_dépendantes]]/Base[[#This Row],[Population_totale]]</f>
        <v>0</v>
      </c>
      <c r="BB4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6" s="4">
        <f>Base[[#This Row],['[SC']'[Dépendance']Gains]]-Base[[#This Row],['[SC']'[Dépendance']Coûts]]</f>
        <v>0</v>
      </c>
      <c r="BD456" s="4">
        <f>IF(Base[[#This Row],[Pathologie]]&lt;&gt;"Mort prématurée",0,Base[[#This Row],[Risque]]*Base[[#This Row],[Prévalence]]*Base[[#This Row],[Population_totale]])</f>
        <v>0</v>
      </c>
      <c r="BE456" s="4">
        <v>52.74</v>
      </c>
      <c r="BF456" s="4">
        <f>Base[[#This Row],['[SC']Âge_moyen_retraite]]-Base[[#This Row],['[SC']'[Mort_prématurée']Âge_moyen_mort précoce]]</f>
        <v>10.159999999999997</v>
      </c>
      <c r="BG456" s="4">
        <f>Base[[#This Row],[Espérance_vie]]+Base[[#This Row],['[SC']Hausse_esp_de_vie]]-Base[[#This Row],['[SC']Âge_moyen_retraite]]</f>
        <v>20.236955218602098</v>
      </c>
      <c r="BH456" s="4">
        <v>106583.42676924677</v>
      </c>
      <c r="BI456" s="4">
        <v>97601.789429271477</v>
      </c>
      <c r="BJ456" s="4">
        <v>302038.31496633729</v>
      </c>
      <c r="BK456" s="4">
        <v>117293.58934859755</v>
      </c>
      <c r="BL456" s="4">
        <v>1523999.9999999995</v>
      </c>
      <c r="BM4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6" s="4">
        <v>294804.96027377353</v>
      </c>
      <c r="BO4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6" s="4">
        <f>(Base[[#This Row],['[SC']'[Mort_prématurée']Gains]]-Base[[#This Row],['[SC']'[Mort_prématurée']Coûts]])/Base[[#This Row],[Population_totale]]</f>
        <v>0</v>
      </c>
      <c r="BQ456" s="4">
        <f>IF(Base[[#This Row],[Pathologie]]&lt;&gt;"Mort prématurée",0,Base[[#This Row],[Risque]])</f>
        <v>0</v>
      </c>
      <c r="BR456" s="4">
        <v>2680</v>
      </c>
      <c r="BS4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6" s="4">
        <f>Base[[#This Row],[Prévalence_prod]]*(1-Base[[#This Row],[Risque]])*Base[[#This Row],[Durée_arrêt]]*Base[[#This Row],[Population_emploi]]</f>
        <v>0</v>
      </c>
      <c r="BV456" s="4">
        <f>Base[[#This Row],['[Prod']'[Absentéisme']Total_jours_absence_avant]]-Base[[#This Row],['[Prod']'[Absentéisme']Total_jours_absence_après]]</f>
        <v>0</v>
      </c>
      <c r="BW456" s="4">
        <f>IF(AND(Base[[#This Row],[Pathologie]]&lt;&gt;"Dépendance",Base[[#This Row],[Pathologie]]&lt;&gt;"Mort prématurée",Base[[#This Row],[Pathologie]]&lt;&gt;"Migraine"),0.0619,0)</f>
        <v>0</v>
      </c>
      <c r="BX456" s="4">
        <v>254</v>
      </c>
      <c r="BY45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6" s="4">
        <f>Base[[#This Row],[Prévalence_prod]]*Base[[#This Row],[Présentéisme]]*Base[[#This Row],['[Prod']Jours_ouvrés]]</f>
        <v>6.4516000000000009</v>
      </c>
      <c r="CB456" s="4">
        <f>Base[[#This Row],[Prévalence_prod]]*(1-Base[[#This Row],[Risque]])*Base[[#This Row],[Présentéisme]]*Base[[#This Row],['[Prod']Jours_ouvrés]]</f>
        <v>4.1983436619392309</v>
      </c>
      <c r="CC456" s="4">
        <f>Base[[#This Row],['[Prod']'[Présentéisme']Jours_avant]]-Base[[#This Row],['[Prod']'[Présentéisme']Jours_après]]</f>
        <v>2.25325633806077</v>
      </c>
      <c r="CD456" s="4">
        <f>Base[[#This Row],['[Prod']'[Présentéisme']Jours_gagnés]]/Base[[#This Row],['[Prod']Jours_ouvrés]]</f>
        <v>8.8710879451211408E-3</v>
      </c>
      <c r="CE456">
        <v>7.5880726467531134E-2</v>
      </c>
      <c r="CF456">
        <v>1.989821358241517E-2</v>
      </c>
      <c r="CG456" s="4">
        <v>11</v>
      </c>
      <c r="CH456" s="4">
        <v>1.6219398392978641</v>
      </c>
      <c r="CI456" s="4">
        <v>9.628527536862988E-2</v>
      </c>
      <c r="CJ456" s="4">
        <f>IF(Base[[#This Row],[Secteur]]&lt;&gt;"Moyenne",Base[[#This Row],['[Prod']'[Turnover']DMC_initiale]]*(1+Base[[#This Row],['[Prod']'[Turnover']Ecart_accidents]]*Base[[#This Row],['[Prod']Impact_motifs_turnover]]),CJ439*CI439+CJ440*CI440+CJ441*CI441+CJ442*CI442+CJ443*CI443+CJ444*CI444+CJ445*CI445+CJ446*CI446+CJ447*CI447+CJ448*CI448+CJ449*CI449+CJ450*CI450+CJ451*CI451+CJ452*CI452+CJ453*CI453+CJ454*CI454+CJ455*CI455)</f>
        <v>11.355010758741946</v>
      </c>
      <c r="CK456" s="4">
        <f>1/Base[[#This Row],['[Prod']'[Turnover']DMC_initiale]]</f>
        <v>9.0909090909090912E-2</v>
      </c>
      <c r="CL456" s="4">
        <f>1/Base[[#This Row],['[Prod']'[Turnover']DMC_finale]]</f>
        <v>8.8066847425056327E-2</v>
      </c>
    </row>
    <row r="457" spans="2:90" x14ac:dyDescent="0.25">
      <c r="B457" s="4" t="s">
        <v>323</v>
      </c>
      <c r="C457">
        <v>15</v>
      </c>
      <c r="D457" t="s">
        <v>83</v>
      </c>
      <c r="E457" t="s">
        <v>97</v>
      </c>
      <c r="F457" s="3">
        <v>0.349255430910281</v>
      </c>
      <c r="G457" s="3">
        <v>0.2</v>
      </c>
      <c r="H457" s="3">
        <v>0.2</v>
      </c>
      <c r="I457" s="3">
        <v>0.127</v>
      </c>
      <c r="J457" s="3">
        <v>0</v>
      </c>
      <c r="K457" s="3">
        <v>7.0000000000000007E-2</v>
      </c>
      <c r="L457" s="2">
        <f>Base[[#This Row],[Coût]]*Base[[#This Row],[Part_ménages_dépenses_santé]]</f>
        <v>0</v>
      </c>
      <c r="M457" s="2">
        <v>0</v>
      </c>
      <c r="N457" s="6">
        <v>27700000</v>
      </c>
      <c r="O457" s="7">
        <f>Base[[#This Row],[Coût_salarié]]*10^9*Base[[#This Row],[Risque]]*Base[[#This Row],[Prévalence]]*Base[[#This Row],[Part_coûts_salarié]]/Base[[#This Row],[Population_emploi]]</f>
        <v>0</v>
      </c>
      <c r="P457">
        <v>50</v>
      </c>
      <c r="Q457">
        <v>50</v>
      </c>
      <c r="R457" s="2">
        <v>9.9999999999999978E-2</v>
      </c>
      <c r="S457" s="2">
        <v>0.33340000000000003</v>
      </c>
      <c r="T457" s="4">
        <v>0</v>
      </c>
      <c r="U457" s="4">
        <f>IF(Bases_annexes!$F$5=0,16.6587111018772,0.77*Bases_annexes!$F$5/(IF(OR(ISBLANK('Données_d''entrée'!$E$44),'Données_d''entrée'!$E$44=0),35,'Données_d''entrée'!$E$44)*52))</f>
        <v>16.658711101877199</v>
      </c>
      <c r="V457" s="4">
        <v>0</v>
      </c>
      <c r="W4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7" s="4">
        <v>234.5</v>
      </c>
      <c r="Y457" s="4">
        <f>(Base[[#This Row],['[Maladies']Coûts_évités_par_salarié]]+Base[[#This Row],['[Travail']Coûts_évités_par_salarié]])/Base[[#This Row],[Budget_santé_salarié]]</f>
        <v>0</v>
      </c>
      <c r="Z457" s="4">
        <v>0.8</v>
      </c>
      <c r="AA457" s="4">
        <f>Base[[#This Row],[Coût]]*Base[[#This Row],[Part_société_dépenses_santé]]</f>
        <v>0</v>
      </c>
      <c r="AB457" s="4">
        <v>67635124</v>
      </c>
      <c r="AC457" s="4">
        <v>82.297079063317852</v>
      </c>
      <c r="AD457" s="4">
        <v>0</v>
      </c>
      <c r="AE457" s="4">
        <f>Base[[#This Row],['[SC']Prévalence_travail]]*Base[[#This Row],[Population_emploi]]</f>
        <v>0</v>
      </c>
      <c r="AF457" s="4">
        <f>Base[[#This Row],[Risque]]*Base[[#This Row],['[SC']Patients_en_emploi]]</f>
        <v>0</v>
      </c>
      <c r="AG457" s="4"/>
      <c r="AH457" s="4">
        <f>IFERROR(Base[[#This Row],['[SC']Prestations]]/Base[[#This Row],['[SC']Patients_en_emploi]],0)</f>
        <v>0</v>
      </c>
      <c r="AI457" s="4"/>
      <c r="AJ4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7" s="4">
        <f>Base[[#This Row],['[SC']'[Travail']Coûts_évités]]/Base[[#This Row],[Population_emploi]]</f>
        <v>0</v>
      </c>
      <c r="AL457" s="4">
        <f>Base[[#This Row],[Coût_société]]*10^9*Base[[#This Row],[Risque]]*Base[[#This Row],[Prévalence]]*Base[[#This Row],[Part_coûts_salarié]]/Base[[#This Row],[Population_emploi]]</f>
        <v>0</v>
      </c>
      <c r="AM457" s="4">
        <f>IF(Base[[#This Row],[Pathologie]]&lt;&gt;"Dépendance",0,14909.24243952)</f>
        <v>0</v>
      </c>
      <c r="AN457" s="4">
        <f>IF(Base[[#This Row],[Pathologie]]&lt;&gt;"Dépendance",0,1316000)</f>
        <v>0</v>
      </c>
      <c r="AO457" s="4">
        <f>IF(Base[[#This Row],[Pathologie]]&lt;&gt;"Dépendance",0,Base[[#This Row],['[SC']Coût_personne_dépendante]]*Base[[#This Row],['[SC']Nb_personnes_dépendantes]])</f>
        <v>0</v>
      </c>
      <c r="AP457" s="4">
        <f>IF(Base[[#This Row],[Pathologie]]&lt;&gt;"Dépendance",0,Base[[#This Row],['[SC']Coût_total_dépendance]]/Base[[#This Row],[Population_totale]])</f>
        <v>0</v>
      </c>
      <c r="AQ457" s="4">
        <f>IF(Base[[#This Row],[Pathologie]]&lt;&gt;"Dépendance",0,4.5)</f>
        <v>0</v>
      </c>
      <c r="AR457" s="4">
        <v>0.83987615528424797</v>
      </c>
      <c r="AS457" s="4">
        <f>Base[[#This Row],[Espérance_vie]]+Base[[#This Row],['[SC']Hausse_esp_de_vie]]-Base[[#This Row],['[SC']Durée_moyenne_dépendance_avt]]+Base[[#This Row],[Risque]]</f>
        <v>83.486210649512373</v>
      </c>
      <c r="AT4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7" s="4">
        <v>62.9</v>
      </c>
      <c r="AW457" s="4">
        <f t="shared" si="11"/>
        <v>336905600000</v>
      </c>
      <c r="AX457" s="4">
        <v>15049171</v>
      </c>
      <c r="AY457" s="4">
        <f>Base[[#This Row],['[SC']Budget_total_retraites]]/Base[[#This Row],['[SC']Nombre_de_retraités]]</f>
        <v>22386.987296509556</v>
      </c>
      <c r="AZ457" s="4">
        <f>Base[[#This Row],['[SC']Budget_par_retraité]]*Base[[#This Row],['[SC']Nb_personnes_dépendantes]]</f>
        <v>0</v>
      </c>
      <c r="BA457" s="4">
        <f>Base[[#This Row],['[SC']'[Dépendance']Coût_retraite_personnes_dépendantes]]/Base[[#This Row],[Population_totale]]</f>
        <v>0</v>
      </c>
      <c r="BB4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7" s="4">
        <f>Base[[#This Row],['[SC']'[Dépendance']Gains]]-Base[[#This Row],['[SC']'[Dépendance']Coûts]]</f>
        <v>0</v>
      </c>
      <c r="BD457" s="4">
        <f>IF(Base[[#This Row],[Pathologie]]&lt;&gt;"Mort prématurée",0,Base[[#This Row],[Risque]]*Base[[#This Row],[Prévalence]]*Base[[#This Row],[Population_totale]])</f>
        <v>0</v>
      </c>
      <c r="BE457" s="4">
        <v>52.74</v>
      </c>
      <c r="BF457" s="4">
        <f>Base[[#This Row],['[SC']Âge_moyen_retraite]]-Base[[#This Row],['[SC']'[Mort_prématurée']Âge_moyen_mort précoce]]</f>
        <v>10.159999999999997</v>
      </c>
      <c r="BG457" s="4">
        <f>Base[[#This Row],[Espérance_vie]]+Base[[#This Row],['[SC']Hausse_esp_de_vie]]-Base[[#This Row],['[SC']Âge_moyen_retraite]]</f>
        <v>20.236955218602098</v>
      </c>
      <c r="BH457" s="4">
        <v>106583.42676924677</v>
      </c>
      <c r="BI457" s="4">
        <v>97601.789429271477</v>
      </c>
      <c r="BJ457" s="4">
        <v>302038.31496633729</v>
      </c>
      <c r="BK457" s="4">
        <v>117293.58934859755</v>
      </c>
      <c r="BL457" s="4">
        <v>1523999.9999999995</v>
      </c>
      <c r="BM4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7" s="4">
        <v>294804.96027377353</v>
      </c>
      <c r="BO4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7" s="4">
        <f>(Base[[#This Row],['[SC']'[Mort_prématurée']Gains]]-Base[[#This Row],['[SC']'[Mort_prématurée']Coûts]])/Base[[#This Row],[Population_totale]]</f>
        <v>0</v>
      </c>
      <c r="BQ457" s="4">
        <f>IF(Base[[#This Row],[Pathologie]]&lt;&gt;"Mort prématurée",0,Base[[#This Row],[Risque]])</f>
        <v>0</v>
      </c>
      <c r="BR457" s="4">
        <v>2680</v>
      </c>
      <c r="BS4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7" s="4">
        <f>Base[[#This Row],[Prévalence_prod]]*(1-Base[[#This Row],[Risque]])*Base[[#This Row],[Durée_arrêt]]*Base[[#This Row],[Population_emploi]]</f>
        <v>0</v>
      </c>
      <c r="BV457" s="4">
        <f>Base[[#This Row],['[Prod']'[Absentéisme']Total_jours_absence_avant]]-Base[[#This Row],['[Prod']'[Absentéisme']Total_jours_absence_après]]</f>
        <v>0</v>
      </c>
      <c r="BW457" s="4">
        <f>IF(AND(Base[[#This Row],[Pathologie]]&lt;&gt;"Dépendance",Base[[#This Row],[Pathologie]]&lt;&gt;"Mort prématurée",Base[[#This Row],[Pathologie]]&lt;&gt;"Migraine"),0.0619,0)</f>
        <v>0</v>
      </c>
      <c r="BX457" s="4">
        <v>254</v>
      </c>
      <c r="BY45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7" s="4">
        <f>Base[[#This Row],[Prévalence_prod]]*Base[[#This Row],[Présentéisme]]*Base[[#This Row],['[Prod']Jours_ouvrés]]</f>
        <v>6.4516000000000009</v>
      </c>
      <c r="CB457" s="4">
        <f>Base[[#This Row],[Prévalence_prod]]*(1-Base[[#This Row],[Risque]])*Base[[#This Row],[Présentéisme]]*Base[[#This Row],['[Prod']Jours_ouvrés]]</f>
        <v>4.1983436619392309</v>
      </c>
      <c r="CC457" s="4">
        <f>Base[[#This Row],['[Prod']'[Présentéisme']Jours_avant]]-Base[[#This Row],['[Prod']'[Présentéisme']Jours_après]]</f>
        <v>2.25325633806077</v>
      </c>
      <c r="CD457" s="4">
        <f>Base[[#This Row],['[Prod']'[Présentéisme']Jours_gagnés]]/Base[[#This Row],['[Prod']Jours_ouvrés]]</f>
        <v>8.8710879451211408E-3</v>
      </c>
      <c r="CE457">
        <v>7.5880726467531134E-2</v>
      </c>
      <c r="CF457">
        <v>1.989821358241517E-2</v>
      </c>
      <c r="CG457" s="4">
        <v>11</v>
      </c>
      <c r="CH457" s="4">
        <v>0.96913802401210614</v>
      </c>
      <c r="CI457" s="4">
        <v>0.10293966445307301</v>
      </c>
      <c r="CJ457" s="4">
        <f>IF(Base[[#This Row],[Secteur]]&lt;&gt;"Moyenne",Base[[#This Row],['[Prod']'[Turnover']DMC_initiale]]*(1+Base[[#This Row],['[Prod']'[Turnover']Ecart_accidents]]*Base[[#This Row],['[Prod']Impact_motifs_turnover]]),CJ440*CI440+CJ441*CI441+CJ442*CI442+CJ443*CI443+CJ444*CI444+CJ445*CI445+CJ446*CI446+CJ447*CI447+CJ448*CI448+CJ449*CI449+CJ450*CI450+CJ451*CI451+CJ452*CI452+CJ453*CI453+CJ454*CI454+CJ455*CI455+CJ456*CI456)</f>
        <v>11.212125269318959</v>
      </c>
      <c r="CK457" s="4">
        <f>1/Base[[#This Row],['[Prod']'[Turnover']DMC_initiale]]</f>
        <v>9.0909090909090912E-2</v>
      </c>
      <c r="CL457" s="4">
        <f>1/Base[[#This Row],['[Prod']'[Turnover']DMC_finale]]</f>
        <v>8.9189156915363429E-2</v>
      </c>
    </row>
    <row r="458" spans="2:90" x14ac:dyDescent="0.25">
      <c r="B458" s="4" t="s">
        <v>324</v>
      </c>
      <c r="C458">
        <v>15</v>
      </c>
      <c r="D458" t="s">
        <v>83</v>
      </c>
      <c r="E458" t="s">
        <v>97</v>
      </c>
      <c r="F458" s="3">
        <v>0.349255430910281</v>
      </c>
      <c r="G458" s="3">
        <v>0.2</v>
      </c>
      <c r="H458" s="3">
        <v>0.2</v>
      </c>
      <c r="I458" s="3">
        <v>0.127</v>
      </c>
      <c r="J458" s="3">
        <v>0</v>
      </c>
      <c r="K458" s="3">
        <v>7.0000000000000007E-2</v>
      </c>
      <c r="L458" s="2">
        <f>Base[[#This Row],[Coût]]*Base[[#This Row],[Part_ménages_dépenses_santé]]</f>
        <v>0</v>
      </c>
      <c r="M458" s="2">
        <v>0</v>
      </c>
      <c r="N458" s="6">
        <v>27700000</v>
      </c>
      <c r="O458" s="7">
        <f>Base[[#This Row],[Coût_salarié]]*10^9*Base[[#This Row],[Risque]]*Base[[#This Row],[Prévalence]]*Base[[#This Row],[Part_coûts_salarié]]/Base[[#This Row],[Population_emploi]]</f>
        <v>0</v>
      </c>
      <c r="P458">
        <v>50</v>
      </c>
      <c r="Q458">
        <v>50</v>
      </c>
      <c r="R458" s="2">
        <v>9.9999999999999978E-2</v>
      </c>
      <c r="S458" s="2">
        <v>0.33340000000000003</v>
      </c>
      <c r="T458" s="4">
        <v>0</v>
      </c>
      <c r="U458" s="4">
        <f>IF(Bases_annexes!$F$5=0,16.6587111018772,0.77*Bases_annexes!$F$5/(IF(OR(ISBLANK('Données_d''entrée'!$E$44),'Données_d''entrée'!$E$44=0),35,'Données_d''entrée'!$E$44)*52))</f>
        <v>16.658711101877199</v>
      </c>
      <c r="V458" s="4">
        <v>0</v>
      </c>
      <c r="W4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8" s="4">
        <v>234.5</v>
      </c>
      <c r="Y458" s="4">
        <f>(Base[[#This Row],['[Maladies']Coûts_évités_par_salarié]]+Base[[#This Row],['[Travail']Coûts_évités_par_salarié]])/Base[[#This Row],[Budget_santé_salarié]]</f>
        <v>0</v>
      </c>
      <c r="Z458" s="4">
        <v>0.8</v>
      </c>
      <c r="AA458" s="4">
        <f>Base[[#This Row],[Coût]]*Base[[#This Row],[Part_société_dépenses_santé]]</f>
        <v>0</v>
      </c>
      <c r="AB458" s="4">
        <v>67635124</v>
      </c>
      <c r="AC458" s="4">
        <v>82.297079063317852</v>
      </c>
      <c r="AD458" s="4">
        <v>0</v>
      </c>
      <c r="AE458" s="4">
        <f>Base[[#This Row],['[SC']Prévalence_travail]]*Base[[#This Row],[Population_emploi]]</f>
        <v>0</v>
      </c>
      <c r="AF458" s="4">
        <f>Base[[#This Row],[Risque]]*Base[[#This Row],['[SC']Patients_en_emploi]]</f>
        <v>0</v>
      </c>
      <c r="AG458" s="4"/>
      <c r="AH458" s="4">
        <f>IFERROR(Base[[#This Row],['[SC']Prestations]]/Base[[#This Row],['[SC']Patients_en_emploi]],0)</f>
        <v>0</v>
      </c>
      <c r="AI458" s="4"/>
      <c r="AJ4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8" s="4">
        <f>Base[[#This Row],['[SC']'[Travail']Coûts_évités]]/Base[[#This Row],[Population_emploi]]</f>
        <v>0</v>
      </c>
      <c r="AL458" s="4">
        <f>Base[[#This Row],[Coût_société]]*10^9*Base[[#This Row],[Risque]]*Base[[#This Row],[Prévalence]]*Base[[#This Row],[Part_coûts_salarié]]/Base[[#This Row],[Population_emploi]]</f>
        <v>0</v>
      </c>
      <c r="AM458" s="4">
        <f>IF(Base[[#This Row],[Pathologie]]&lt;&gt;"Dépendance",0,14909.24243952)</f>
        <v>0</v>
      </c>
      <c r="AN458" s="4">
        <f>IF(Base[[#This Row],[Pathologie]]&lt;&gt;"Dépendance",0,1316000)</f>
        <v>0</v>
      </c>
      <c r="AO458" s="4">
        <f>IF(Base[[#This Row],[Pathologie]]&lt;&gt;"Dépendance",0,Base[[#This Row],['[SC']Coût_personne_dépendante]]*Base[[#This Row],['[SC']Nb_personnes_dépendantes]])</f>
        <v>0</v>
      </c>
      <c r="AP458" s="4">
        <f>IF(Base[[#This Row],[Pathologie]]&lt;&gt;"Dépendance",0,Base[[#This Row],['[SC']Coût_total_dépendance]]/Base[[#This Row],[Population_totale]])</f>
        <v>0</v>
      </c>
      <c r="AQ458" s="4">
        <f>IF(Base[[#This Row],[Pathologie]]&lt;&gt;"Dépendance",0,4.5)</f>
        <v>0</v>
      </c>
      <c r="AR458" s="4">
        <v>0.83987615528424797</v>
      </c>
      <c r="AS458" s="4">
        <f>Base[[#This Row],[Espérance_vie]]+Base[[#This Row],['[SC']Hausse_esp_de_vie]]-Base[[#This Row],['[SC']Durée_moyenne_dépendance_avt]]+Base[[#This Row],[Risque]]</f>
        <v>83.486210649512373</v>
      </c>
      <c r="AT4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8" s="4">
        <v>62.9</v>
      </c>
      <c r="AW458" s="4">
        <f t="shared" si="11"/>
        <v>336905600000</v>
      </c>
      <c r="AX458" s="4">
        <v>15049171</v>
      </c>
      <c r="AY458" s="4">
        <f>Base[[#This Row],['[SC']Budget_total_retraites]]/Base[[#This Row],['[SC']Nombre_de_retraités]]</f>
        <v>22386.987296509556</v>
      </c>
      <c r="AZ458" s="4">
        <f>Base[[#This Row],['[SC']Budget_par_retraité]]*Base[[#This Row],['[SC']Nb_personnes_dépendantes]]</f>
        <v>0</v>
      </c>
      <c r="BA458" s="4">
        <f>Base[[#This Row],['[SC']'[Dépendance']Coût_retraite_personnes_dépendantes]]/Base[[#This Row],[Population_totale]]</f>
        <v>0</v>
      </c>
      <c r="BB4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8" s="4">
        <f>Base[[#This Row],['[SC']'[Dépendance']Gains]]-Base[[#This Row],['[SC']'[Dépendance']Coûts]]</f>
        <v>0</v>
      </c>
      <c r="BD458" s="4">
        <f>IF(Base[[#This Row],[Pathologie]]&lt;&gt;"Mort prématurée",0,Base[[#This Row],[Risque]]*Base[[#This Row],[Prévalence]]*Base[[#This Row],[Population_totale]])</f>
        <v>0</v>
      </c>
      <c r="BE458" s="4">
        <v>52.74</v>
      </c>
      <c r="BF458" s="4">
        <f>Base[[#This Row],['[SC']Âge_moyen_retraite]]-Base[[#This Row],['[SC']'[Mort_prématurée']Âge_moyen_mort précoce]]</f>
        <v>10.159999999999997</v>
      </c>
      <c r="BG458" s="4">
        <f>Base[[#This Row],[Espérance_vie]]+Base[[#This Row],['[SC']Hausse_esp_de_vie]]-Base[[#This Row],['[SC']Âge_moyen_retraite]]</f>
        <v>20.236955218602098</v>
      </c>
      <c r="BH458" s="4">
        <v>106583.42676924677</v>
      </c>
      <c r="BI458" s="4">
        <v>97601.789429271477</v>
      </c>
      <c r="BJ458" s="4">
        <v>302038.31496633729</v>
      </c>
      <c r="BK458" s="4">
        <v>117293.58934859755</v>
      </c>
      <c r="BL458" s="4">
        <v>1523999.9999999995</v>
      </c>
      <c r="BM4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8" s="4">
        <v>294804.96027377353</v>
      </c>
      <c r="BO4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8" s="4">
        <f>(Base[[#This Row],['[SC']'[Mort_prématurée']Gains]]-Base[[#This Row],['[SC']'[Mort_prématurée']Coûts]])/Base[[#This Row],[Population_totale]]</f>
        <v>0</v>
      </c>
      <c r="BQ458" s="4">
        <f>IF(Base[[#This Row],[Pathologie]]&lt;&gt;"Mort prématurée",0,Base[[#This Row],[Risque]])</f>
        <v>0</v>
      </c>
      <c r="BR458" s="4">
        <v>2680</v>
      </c>
      <c r="BS4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8" s="4">
        <f>Base[[#This Row],[Prévalence_prod]]*(1-Base[[#This Row],[Risque]])*Base[[#This Row],[Durée_arrêt]]*Base[[#This Row],[Population_emploi]]</f>
        <v>0</v>
      </c>
      <c r="BV458" s="4">
        <f>Base[[#This Row],['[Prod']'[Absentéisme']Total_jours_absence_avant]]-Base[[#This Row],['[Prod']'[Absentéisme']Total_jours_absence_après]]</f>
        <v>0</v>
      </c>
      <c r="BW458" s="4">
        <f>IF(AND(Base[[#This Row],[Pathologie]]&lt;&gt;"Dépendance",Base[[#This Row],[Pathologie]]&lt;&gt;"Mort prématurée",Base[[#This Row],[Pathologie]]&lt;&gt;"Migraine"),0.0619,0)</f>
        <v>0</v>
      </c>
      <c r="BX458" s="4">
        <v>254</v>
      </c>
      <c r="BY45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8" s="4">
        <f>Base[[#This Row],[Prévalence_prod]]*Base[[#This Row],[Présentéisme]]*Base[[#This Row],['[Prod']Jours_ouvrés]]</f>
        <v>6.4516000000000009</v>
      </c>
      <c r="CB458" s="4">
        <f>Base[[#This Row],[Prévalence_prod]]*(1-Base[[#This Row],[Risque]])*Base[[#This Row],[Présentéisme]]*Base[[#This Row],['[Prod']Jours_ouvrés]]</f>
        <v>4.1983436619392309</v>
      </c>
      <c r="CC458" s="4">
        <f>Base[[#This Row],['[Prod']'[Présentéisme']Jours_avant]]-Base[[#This Row],['[Prod']'[Présentéisme']Jours_après]]</f>
        <v>2.25325633806077</v>
      </c>
      <c r="CD458" s="4">
        <f>Base[[#This Row],['[Prod']'[Présentéisme']Jours_gagnés]]/Base[[#This Row],['[Prod']Jours_ouvrés]]</f>
        <v>8.8710879451211408E-3</v>
      </c>
      <c r="CE458">
        <v>7.5880726467531134E-2</v>
      </c>
      <c r="CF458">
        <v>1.989821358241517E-2</v>
      </c>
      <c r="CG458" s="4">
        <v>11</v>
      </c>
      <c r="CH458" s="4">
        <v>1.3987208237662601</v>
      </c>
      <c r="CI458" s="4">
        <v>2.1768516166491274E-2</v>
      </c>
      <c r="CJ458" s="4">
        <f>IF(Base[[#This Row],[Secteur]]&lt;&gt;"Moyenne",Base[[#This Row],['[Prod']'[Turnover']DMC_initiale]]*(1+Base[[#This Row],['[Prod']'[Turnover']Ecart_accidents]]*Base[[#This Row],['[Prod']Impact_motifs_turnover]]),CJ441*CI441+CJ442*CI442+CJ443*CI443+CJ444*CI444+CJ445*CI445+CJ446*CI446+CJ447*CI447+CJ448*CI448+CJ449*CI449+CJ450*CI450+CJ451*CI451+CJ452*CI452+CJ453*CI453+CJ454*CI454+CJ455*CI455+CJ456*CI456+CJ457*CI457)</f>
        <v>11.306152502628199</v>
      </c>
      <c r="CK458" s="4">
        <f>1/Base[[#This Row],['[Prod']'[Turnover']DMC_initiale]]</f>
        <v>9.0909090909090912E-2</v>
      </c>
      <c r="CL458" s="4">
        <f>1/Base[[#This Row],['[Prod']'[Turnover']DMC_finale]]</f>
        <v>8.8447418320913546E-2</v>
      </c>
    </row>
    <row r="459" spans="2:90" x14ac:dyDescent="0.25">
      <c r="B459" s="4" t="s">
        <v>325</v>
      </c>
      <c r="C459">
        <v>15</v>
      </c>
      <c r="D459" t="s">
        <v>83</v>
      </c>
      <c r="E459" t="s">
        <v>97</v>
      </c>
      <c r="F459" s="3">
        <v>0.349255430910281</v>
      </c>
      <c r="G459" s="3">
        <v>0.2</v>
      </c>
      <c r="H459" s="3">
        <v>0.2</v>
      </c>
      <c r="I459" s="3">
        <v>0.127</v>
      </c>
      <c r="J459" s="3">
        <v>0</v>
      </c>
      <c r="K459" s="3">
        <v>7.0000000000000007E-2</v>
      </c>
      <c r="L459" s="2">
        <f>Base[[#This Row],[Coût]]*Base[[#This Row],[Part_ménages_dépenses_santé]]</f>
        <v>0</v>
      </c>
      <c r="M459" s="2">
        <v>0</v>
      </c>
      <c r="N459" s="6">
        <v>27700000</v>
      </c>
      <c r="O459" s="7">
        <f>Base[[#This Row],[Coût_salarié]]*10^9*Base[[#This Row],[Risque]]*Base[[#This Row],[Prévalence]]*Base[[#This Row],[Part_coûts_salarié]]/Base[[#This Row],[Population_emploi]]</f>
        <v>0</v>
      </c>
      <c r="P459">
        <v>50</v>
      </c>
      <c r="Q459">
        <v>50</v>
      </c>
      <c r="R459" s="2">
        <v>9.9999999999999978E-2</v>
      </c>
      <c r="S459" s="2">
        <v>0.33340000000000003</v>
      </c>
      <c r="T459" s="4">
        <v>0</v>
      </c>
      <c r="U459" s="4">
        <f>IF(Bases_annexes!$F$5=0,16.6587111018772,0.77*Bases_annexes!$F$5/(IF(OR(ISBLANK('Données_d''entrée'!$E$44),'Données_d''entrée'!$E$44=0),35,'Données_d''entrée'!$E$44)*52))</f>
        <v>16.658711101877199</v>
      </c>
      <c r="V459" s="4">
        <v>0</v>
      </c>
      <c r="W4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59" s="4">
        <v>234.5</v>
      </c>
      <c r="Y459" s="4">
        <f>(Base[[#This Row],['[Maladies']Coûts_évités_par_salarié]]+Base[[#This Row],['[Travail']Coûts_évités_par_salarié]])/Base[[#This Row],[Budget_santé_salarié]]</f>
        <v>0</v>
      </c>
      <c r="Z459" s="4">
        <v>0.8</v>
      </c>
      <c r="AA459" s="4">
        <f>Base[[#This Row],[Coût]]*Base[[#This Row],[Part_société_dépenses_santé]]</f>
        <v>0</v>
      </c>
      <c r="AB459" s="4">
        <v>67635124</v>
      </c>
      <c r="AC459" s="4">
        <v>82.297079063317852</v>
      </c>
      <c r="AD459" s="4">
        <v>0</v>
      </c>
      <c r="AE459" s="4">
        <f>Base[[#This Row],['[SC']Prévalence_travail]]*Base[[#This Row],[Population_emploi]]</f>
        <v>0</v>
      </c>
      <c r="AF459" s="4">
        <f>Base[[#This Row],[Risque]]*Base[[#This Row],['[SC']Patients_en_emploi]]</f>
        <v>0</v>
      </c>
      <c r="AG459" s="4"/>
      <c r="AH459" s="4">
        <f>IFERROR(Base[[#This Row],['[SC']Prestations]]/Base[[#This Row],['[SC']Patients_en_emploi]],0)</f>
        <v>0</v>
      </c>
      <c r="AI459" s="4"/>
      <c r="AJ4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59" s="4">
        <f>Base[[#This Row],['[SC']'[Travail']Coûts_évités]]/Base[[#This Row],[Population_emploi]]</f>
        <v>0</v>
      </c>
      <c r="AL459" s="4">
        <f>Base[[#This Row],[Coût_société]]*10^9*Base[[#This Row],[Risque]]*Base[[#This Row],[Prévalence]]*Base[[#This Row],[Part_coûts_salarié]]/Base[[#This Row],[Population_emploi]]</f>
        <v>0</v>
      </c>
      <c r="AM459" s="4">
        <f>IF(Base[[#This Row],[Pathologie]]&lt;&gt;"Dépendance",0,14909.24243952)</f>
        <v>0</v>
      </c>
      <c r="AN459" s="4">
        <f>IF(Base[[#This Row],[Pathologie]]&lt;&gt;"Dépendance",0,1316000)</f>
        <v>0</v>
      </c>
      <c r="AO459" s="4">
        <f>IF(Base[[#This Row],[Pathologie]]&lt;&gt;"Dépendance",0,Base[[#This Row],['[SC']Coût_personne_dépendante]]*Base[[#This Row],['[SC']Nb_personnes_dépendantes]])</f>
        <v>0</v>
      </c>
      <c r="AP459" s="4">
        <f>IF(Base[[#This Row],[Pathologie]]&lt;&gt;"Dépendance",0,Base[[#This Row],['[SC']Coût_total_dépendance]]/Base[[#This Row],[Population_totale]])</f>
        <v>0</v>
      </c>
      <c r="AQ459" s="4">
        <f>IF(Base[[#This Row],[Pathologie]]&lt;&gt;"Dépendance",0,4.5)</f>
        <v>0</v>
      </c>
      <c r="AR459" s="4">
        <v>0.83987615528424797</v>
      </c>
      <c r="AS459" s="4">
        <f>Base[[#This Row],[Espérance_vie]]+Base[[#This Row],['[SC']Hausse_esp_de_vie]]-Base[[#This Row],['[SC']Durée_moyenne_dépendance_avt]]+Base[[#This Row],[Risque]]</f>
        <v>83.486210649512373</v>
      </c>
      <c r="AT4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59" s="4">
        <v>62.9</v>
      </c>
      <c r="AW459" s="4">
        <f t="shared" si="11"/>
        <v>336905600000</v>
      </c>
      <c r="AX459" s="4">
        <v>15049171</v>
      </c>
      <c r="AY459" s="4">
        <f>Base[[#This Row],['[SC']Budget_total_retraites]]/Base[[#This Row],['[SC']Nombre_de_retraités]]</f>
        <v>22386.987296509556</v>
      </c>
      <c r="AZ459" s="4">
        <f>Base[[#This Row],['[SC']Budget_par_retraité]]*Base[[#This Row],['[SC']Nb_personnes_dépendantes]]</f>
        <v>0</v>
      </c>
      <c r="BA459" s="4">
        <f>Base[[#This Row],['[SC']'[Dépendance']Coût_retraite_personnes_dépendantes]]/Base[[#This Row],[Population_totale]]</f>
        <v>0</v>
      </c>
      <c r="BB4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59" s="4">
        <f>Base[[#This Row],['[SC']'[Dépendance']Gains]]-Base[[#This Row],['[SC']'[Dépendance']Coûts]]</f>
        <v>0</v>
      </c>
      <c r="BD459" s="4">
        <f>IF(Base[[#This Row],[Pathologie]]&lt;&gt;"Mort prématurée",0,Base[[#This Row],[Risque]]*Base[[#This Row],[Prévalence]]*Base[[#This Row],[Population_totale]])</f>
        <v>0</v>
      </c>
      <c r="BE459" s="4">
        <v>52.74</v>
      </c>
      <c r="BF459" s="4">
        <f>Base[[#This Row],['[SC']Âge_moyen_retraite]]-Base[[#This Row],['[SC']'[Mort_prématurée']Âge_moyen_mort précoce]]</f>
        <v>10.159999999999997</v>
      </c>
      <c r="BG459" s="4">
        <f>Base[[#This Row],[Espérance_vie]]+Base[[#This Row],['[SC']Hausse_esp_de_vie]]-Base[[#This Row],['[SC']Âge_moyen_retraite]]</f>
        <v>20.236955218602098</v>
      </c>
      <c r="BH459" s="4">
        <v>106583.42676924677</v>
      </c>
      <c r="BI459" s="4">
        <v>97601.789429271477</v>
      </c>
      <c r="BJ459" s="4">
        <v>302038.31496633729</v>
      </c>
      <c r="BK459" s="4">
        <v>117293.58934859755</v>
      </c>
      <c r="BL459" s="4">
        <v>1523999.9999999995</v>
      </c>
      <c r="BM4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59" s="4">
        <v>294804.96027377353</v>
      </c>
      <c r="BO4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59" s="4">
        <f>(Base[[#This Row],['[SC']'[Mort_prématurée']Gains]]-Base[[#This Row],['[SC']'[Mort_prématurée']Coûts]])/Base[[#This Row],[Population_totale]]</f>
        <v>0</v>
      </c>
      <c r="BQ459" s="4">
        <f>IF(Base[[#This Row],[Pathologie]]&lt;&gt;"Mort prématurée",0,Base[[#This Row],[Risque]])</f>
        <v>0</v>
      </c>
      <c r="BR459" s="4">
        <v>2680</v>
      </c>
      <c r="BS4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59" s="4">
        <f>Base[[#This Row],[Prévalence_prod]]*(1-Base[[#This Row],[Risque]])*Base[[#This Row],[Durée_arrêt]]*Base[[#This Row],[Population_emploi]]</f>
        <v>0</v>
      </c>
      <c r="BV459" s="4">
        <f>Base[[#This Row],['[Prod']'[Absentéisme']Total_jours_absence_avant]]-Base[[#This Row],['[Prod']'[Absentéisme']Total_jours_absence_après]]</f>
        <v>0</v>
      </c>
      <c r="BW459" s="4">
        <f>IF(AND(Base[[#This Row],[Pathologie]]&lt;&gt;"Dépendance",Base[[#This Row],[Pathologie]]&lt;&gt;"Mort prématurée",Base[[#This Row],[Pathologie]]&lt;&gt;"Migraine"),0.0619,0)</f>
        <v>0</v>
      </c>
      <c r="BX459" s="4">
        <v>254</v>
      </c>
      <c r="BY45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5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59" s="4">
        <f>Base[[#This Row],[Prévalence_prod]]*Base[[#This Row],[Présentéisme]]*Base[[#This Row],['[Prod']Jours_ouvrés]]</f>
        <v>6.4516000000000009</v>
      </c>
      <c r="CB459" s="4">
        <f>Base[[#This Row],[Prévalence_prod]]*(1-Base[[#This Row],[Risque]])*Base[[#This Row],[Présentéisme]]*Base[[#This Row],['[Prod']Jours_ouvrés]]</f>
        <v>4.1983436619392309</v>
      </c>
      <c r="CC459" s="4">
        <f>Base[[#This Row],['[Prod']'[Présentéisme']Jours_avant]]-Base[[#This Row],['[Prod']'[Présentéisme']Jours_après]]</f>
        <v>2.25325633806077</v>
      </c>
      <c r="CD459" s="4">
        <f>Base[[#This Row],['[Prod']'[Présentéisme']Jours_gagnés]]/Base[[#This Row],['[Prod']Jours_ouvrés]]</f>
        <v>8.8710879451211408E-3</v>
      </c>
      <c r="CE459">
        <v>7.5880726467531134E-2</v>
      </c>
      <c r="CF459">
        <v>1.989821358241517E-2</v>
      </c>
      <c r="CG459" s="4">
        <v>11</v>
      </c>
      <c r="CH459" s="4">
        <v>1.1624525375985588</v>
      </c>
      <c r="CI459" s="4">
        <v>3.7953151649308701E-2</v>
      </c>
      <c r="CJ459" s="4">
        <f>IF(Base[[#This Row],[Secteur]]&lt;&gt;"Moyenne",Base[[#This Row],['[Prod']'[Turnover']DMC_initiale]]*(1+Base[[#This Row],['[Prod']'[Turnover']Ecart_accidents]]*Base[[#This Row],['[Prod']Impact_motifs_turnover]]),CJ442*CI442+CJ443*CI443+CJ444*CI444+CJ445*CI445+CJ446*CI446+CJ447*CI447+CJ448*CI448+CJ449*CI449+CJ450*CI450+CJ451*CI451+CJ452*CI452+CJ453*CI453+CJ454*CI454+CJ455*CI455+CJ456*CI456+CJ457*CI457+CJ458*CI458)</f>
        <v>11.254438017598122</v>
      </c>
      <c r="CK459" s="4">
        <f>1/Base[[#This Row],['[Prod']'[Turnover']DMC_initiale]]</f>
        <v>9.0909090909090912E-2</v>
      </c>
      <c r="CL459" s="4">
        <f>1/Base[[#This Row],['[Prod']'[Turnover']DMC_finale]]</f>
        <v>8.885383689850522E-2</v>
      </c>
    </row>
    <row r="460" spans="2:90" x14ac:dyDescent="0.25">
      <c r="B460" s="4" t="s">
        <v>326</v>
      </c>
      <c r="C460">
        <v>15</v>
      </c>
      <c r="D460" t="s">
        <v>83</v>
      </c>
      <c r="E460" t="s">
        <v>97</v>
      </c>
      <c r="F460" s="3">
        <v>0.349255430910281</v>
      </c>
      <c r="G460" s="3">
        <v>0.2</v>
      </c>
      <c r="H460" s="3">
        <v>0.2</v>
      </c>
      <c r="I460" s="3">
        <v>0.127</v>
      </c>
      <c r="J460" s="3">
        <v>0</v>
      </c>
      <c r="K460" s="3">
        <v>7.0000000000000007E-2</v>
      </c>
      <c r="L460" s="2">
        <f>Base[[#This Row],[Coût]]*Base[[#This Row],[Part_ménages_dépenses_santé]]</f>
        <v>0</v>
      </c>
      <c r="M460" s="2">
        <v>0</v>
      </c>
      <c r="N460" s="6">
        <v>27700000</v>
      </c>
      <c r="O460" s="7">
        <f>Base[[#This Row],[Coût_salarié]]*10^9*Base[[#This Row],[Risque]]*Base[[#This Row],[Prévalence]]*Base[[#This Row],[Part_coûts_salarié]]/Base[[#This Row],[Population_emploi]]</f>
        <v>0</v>
      </c>
      <c r="P460">
        <v>50</v>
      </c>
      <c r="Q460">
        <v>50</v>
      </c>
      <c r="R460" s="2">
        <v>9.9999999999999978E-2</v>
      </c>
      <c r="S460" s="2">
        <v>0.33340000000000003</v>
      </c>
      <c r="T460" s="4">
        <v>0</v>
      </c>
      <c r="U460" s="4">
        <f>IF(Bases_annexes!$F$5=0,16.6587111018772,0.77*Bases_annexes!$F$5/(IF(OR(ISBLANK('Données_d''entrée'!$E$44),'Données_d''entrée'!$E$44=0),35,'Données_d''entrée'!$E$44)*52))</f>
        <v>16.658711101877199</v>
      </c>
      <c r="V460" s="4">
        <v>0</v>
      </c>
      <c r="W4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0" s="4">
        <v>234.5</v>
      </c>
      <c r="Y460" s="4">
        <f>(Base[[#This Row],['[Maladies']Coûts_évités_par_salarié]]+Base[[#This Row],['[Travail']Coûts_évités_par_salarié]])/Base[[#This Row],[Budget_santé_salarié]]</f>
        <v>0</v>
      </c>
      <c r="Z460" s="4">
        <v>0.8</v>
      </c>
      <c r="AA460" s="4">
        <f>Base[[#This Row],[Coût]]*Base[[#This Row],[Part_société_dépenses_santé]]</f>
        <v>0</v>
      </c>
      <c r="AB460" s="4">
        <v>67635124</v>
      </c>
      <c r="AC460" s="4">
        <v>82.297079063317852</v>
      </c>
      <c r="AD460" s="4">
        <v>0</v>
      </c>
      <c r="AE460" s="4">
        <f>Base[[#This Row],['[SC']Prévalence_travail]]*Base[[#This Row],[Population_emploi]]</f>
        <v>0</v>
      </c>
      <c r="AF460" s="4">
        <f>Base[[#This Row],[Risque]]*Base[[#This Row],['[SC']Patients_en_emploi]]</f>
        <v>0</v>
      </c>
      <c r="AG460" s="4"/>
      <c r="AH460" s="4">
        <f>IFERROR(Base[[#This Row],['[SC']Prestations]]/Base[[#This Row],['[SC']Patients_en_emploi]],0)</f>
        <v>0</v>
      </c>
      <c r="AI460" s="4"/>
      <c r="AJ4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0" s="4">
        <f>Base[[#This Row],['[SC']'[Travail']Coûts_évités]]/Base[[#This Row],[Population_emploi]]</f>
        <v>0</v>
      </c>
      <c r="AL460" s="4">
        <f>Base[[#This Row],[Coût_société]]*10^9*Base[[#This Row],[Risque]]*Base[[#This Row],[Prévalence]]*Base[[#This Row],[Part_coûts_salarié]]/Base[[#This Row],[Population_emploi]]</f>
        <v>0</v>
      </c>
      <c r="AM460" s="4">
        <f>IF(Base[[#This Row],[Pathologie]]&lt;&gt;"Dépendance",0,14909.24243952)</f>
        <v>0</v>
      </c>
      <c r="AN460" s="4">
        <f>IF(Base[[#This Row],[Pathologie]]&lt;&gt;"Dépendance",0,1316000)</f>
        <v>0</v>
      </c>
      <c r="AO460" s="4">
        <f>IF(Base[[#This Row],[Pathologie]]&lt;&gt;"Dépendance",0,Base[[#This Row],['[SC']Coût_personne_dépendante]]*Base[[#This Row],['[SC']Nb_personnes_dépendantes]])</f>
        <v>0</v>
      </c>
      <c r="AP460" s="4">
        <f>IF(Base[[#This Row],[Pathologie]]&lt;&gt;"Dépendance",0,Base[[#This Row],['[SC']Coût_total_dépendance]]/Base[[#This Row],[Population_totale]])</f>
        <v>0</v>
      </c>
      <c r="AQ460" s="4">
        <f>IF(Base[[#This Row],[Pathologie]]&lt;&gt;"Dépendance",0,4.5)</f>
        <v>0</v>
      </c>
      <c r="AR460" s="4">
        <v>0.83987615528424797</v>
      </c>
      <c r="AS460" s="4">
        <f>Base[[#This Row],[Espérance_vie]]+Base[[#This Row],['[SC']Hausse_esp_de_vie]]-Base[[#This Row],['[SC']Durée_moyenne_dépendance_avt]]+Base[[#This Row],[Risque]]</f>
        <v>83.486210649512373</v>
      </c>
      <c r="AT4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0" s="4">
        <v>62.9</v>
      </c>
      <c r="AW460" s="4">
        <f t="shared" si="11"/>
        <v>336905600000</v>
      </c>
      <c r="AX460" s="4">
        <v>15049171</v>
      </c>
      <c r="AY460" s="4">
        <f>Base[[#This Row],['[SC']Budget_total_retraites]]/Base[[#This Row],['[SC']Nombre_de_retraités]]</f>
        <v>22386.987296509556</v>
      </c>
      <c r="AZ460" s="4">
        <f>Base[[#This Row],['[SC']Budget_par_retraité]]*Base[[#This Row],['[SC']Nb_personnes_dépendantes]]</f>
        <v>0</v>
      </c>
      <c r="BA460" s="4">
        <f>Base[[#This Row],['[SC']'[Dépendance']Coût_retraite_personnes_dépendantes]]/Base[[#This Row],[Population_totale]]</f>
        <v>0</v>
      </c>
      <c r="BB4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0" s="4">
        <f>Base[[#This Row],['[SC']'[Dépendance']Gains]]-Base[[#This Row],['[SC']'[Dépendance']Coûts]]</f>
        <v>0</v>
      </c>
      <c r="BD460" s="4">
        <f>IF(Base[[#This Row],[Pathologie]]&lt;&gt;"Mort prématurée",0,Base[[#This Row],[Risque]]*Base[[#This Row],[Prévalence]]*Base[[#This Row],[Population_totale]])</f>
        <v>0</v>
      </c>
      <c r="BE460" s="4">
        <v>52.74</v>
      </c>
      <c r="BF460" s="4">
        <f>Base[[#This Row],['[SC']Âge_moyen_retraite]]-Base[[#This Row],['[SC']'[Mort_prématurée']Âge_moyen_mort précoce]]</f>
        <v>10.159999999999997</v>
      </c>
      <c r="BG460" s="4">
        <f>Base[[#This Row],[Espérance_vie]]+Base[[#This Row],['[SC']Hausse_esp_de_vie]]-Base[[#This Row],['[SC']Âge_moyen_retraite]]</f>
        <v>20.236955218602098</v>
      </c>
      <c r="BH460" s="4">
        <v>106583.42676924677</v>
      </c>
      <c r="BI460" s="4">
        <v>97601.789429271477</v>
      </c>
      <c r="BJ460" s="4">
        <v>302038.31496633729</v>
      </c>
      <c r="BK460" s="4">
        <v>117293.58934859755</v>
      </c>
      <c r="BL460" s="4">
        <v>1523999.9999999995</v>
      </c>
      <c r="BM4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0" s="4">
        <v>294804.96027377353</v>
      </c>
      <c r="BO4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0" s="4">
        <f>(Base[[#This Row],['[SC']'[Mort_prématurée']Gains]]-Base[[#This Row],['[SC']'[Mort_prématurée']Coûts]])/Base[[#This Row],[Population_totale]]</f>
        <v>0</v>
      </c>
      <c r="BQ460" s="4">
        <f>IF(Base[[#This Row],[Pathologie]]&lt;&gt;"Mort prématurée",0,Base[[#This Row],[Risque]])</f>
        <v>0</v>
      </c>
      <c r="BR460" s="4">
        <v>2680</v>
      </c>
      <c r="BS4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0" s="4">
        <f>Base[[#This Row],[Prévalence_prod]]*(1-Base[[#This Row],[Risque]])*Base[[#This Row],[Durée_arrêt]]*Base[[#This Row],[Population_emploi]]</f>
        <v>0</v>
      </c>
      <c r="BV460" s="4">
        <f>Base[[#This Row],['[Prod']'[Absentéisme']Total_jours_absence_avant]]-Base[[#This Row],['[Prod']'[Absentéisme']Total_jours_absence_après]]</f>
        <v>0</v>
      </c>
      <c r="BW460" s="4">
        <f>IF(AND(Base[[#This Row],[Pathologie]]&lt;&gt;"Dépendance",Base[[#This Row],[Pathologie]]&lt;&gt;"Mort prématurée",Base[[#This Row],[Pathologie]]&lt;&gt;"Migraine"),0.0619,0)</f>
        <v>0</v>
      </c>
      <c r="BX460" s="4">
        <v>254</v>
      </c>
      <c r="BY46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0" s="4">
        <f>Base[[#This Row],[Prévalence_prod]]*Base[[#This Row],[Présentéisme]]*Base[[#This Row],['[Prod']Jours_ouvrés]]</f>
        <v>6.4516000000000009</v>
      </c>
      <c r="CB460" s="4">
        <f>Base[[#This Row],[Prévalence_prod]]*(1-Base[[#This Row],[Risque]])*Base[[#This Row],[Présentéisme]]*Base[[#This Row],['[Prod']Jours_ouvrés]]</f>
        <v>4.1983436619392309</v>
      </c>
      <c r="CC460" s="4">
        <f>Base[[#This Row],['[Prod']'[Présentéisme']Jours_avant]]-Base[[#This Row],['[Prod']'[Présentéisme']Jours_après]]</f>
        <v>2.25325633806077</v>
      </c>
      <c r="CD460" s="4">
        <f>Base[[#This Row],['[Prod']'[Présentéisme']Jours_gagnés]]/Base[[#This Row],['[Prod']Jours_ouvrés]]</f>
        <v>8.8710879451211408E-3</v>
      </c>
      <c r="CE460">
        <v>7.5880726467531134E-2</v>
      </c>
      <c r="CF460">
        <v>1.989821358241517E-2</v>
      </c>
      <c r="CG460" s="4">
        <v>11</v>
      </c>
      <c r="CH460" s="4">
        <v>0.19346787829229528</v>
      </c>
      <c r="CI460" s="4">
        <v>2.8126549817953091E-2</v>
      </c>
      <c r="CJ460" s="4">
        <f>IF(Base[[#This Row],[Secteur]]&lt;&gt;"Moyenne",Base[[#This Row],['[Prod']'[Turnover']DMC_initiale]]*(1+Base[[#This Row],['[Prod']'[Turnover']Ecart_accidents]]*Base[[#This Row],['[Prod']Impact_motifs_turnover]]),CJ443*CI443+CJ444*CI444+CJ445*CI445+CJ446*CI446+CJ447*CI447+CJ448*CI448+CJ449*CI449+CJ450*CI450+CJ451*CI451+CJ452*CI452+CJ453*CI453+CJ454*CI454+CJ455*CI455+CJ456*CI456+CJ457*CI457+CJ458*CI458+CJ459*CI459)</f>
        <v>11.042346316799566</v>
      </c>
      <c r="CK460" s="4">
        <f>1/Base[[#This Row],['[Prod']'[Turnover']DMC_initiale]]</f>
        <v>9.0909090909090912E-2</v>
      </c>
      <c r="CL460" s="4">
        <f>1/Base[[#This Row],['[Prod']'[Turnover']DMC_finale]]</f>
        <v>9.0560463447756881E-2</v>
      </c>
    </row>
    <row r="461" spans="2:90" x14ac:dyDescent="0.25">
      <c r="B461" s="4" t="s">
        <v>327</v>
      </c>
      <c r="C461">
        <v>15</v>
      </c>
      <c r="D461" t="s">
        <v>83</v>
      </c>
      <c r="E461" t="s">
        <v>97</v>
      </c>
      <c r="F461" s="3">
        <v>0.349255430910281</v>
      </c>
      <c r="G461" s="3">
        <v>0.2</v>
      </c>
      <c r="H461" s="3">
        <v>0.2</v>
      </c>
      <c r="I461" s="3">
        <v>0.127</v>
      </c>
      <c r="J461" s="3">
        <v>0</v>
      </c>
      <c r="K461" s="3">
        <v>7.0000000000000007E-2</v>
      </c>
      <c r="L461" s="2">
        <f>Base[[#This Row],[Coût]]*Base[[#This Row],[Part_ménages_dépenses_santé]]</f>
        <v>0</v>
      </c>
      <c r="M461" s="2">
        <v>0</v>
      </c>
      <c r="N461" s="6">
        <v>27700000</v>
      </c>
      <c r="O461" s="7">
        <f>Base[[#This Row],[Coût_salarié]]*10^9*Base[[#This Row],[Risque]]*Base[[#This Row],[Prévalence]]*Base[[#This Row],[Part_coûts_salarié]]/Base[[#This Row],[Population_emploi]]</f>
        <v>0</v>
      </c>
      <c r="P461">
        <v>50</v>
      </c>
      <c r="Q461">
        <v>50</v>
      </c>
      <c r="R461" s="2">
        <v>9.9999999999999978E-2</v>
      </c>
      <c r="S461" s="2">
        <v>0.33340000000000003</v>
      </c>
      <c r="T461" s="4">
        <v>0</v>
      </c>
      <c r="U461" s="4">
        <f>IF(Bases_annexes!$F$5=0,16.6587111018772,0.77*Bases_annexes!$F$5/(IF(OR(ISBLANK('Données_d''entrée'!$E$44),'Données_d''entrée'!$E$44=0),35,'Données_d''entrée'!$E$44)*52))</f>
        <v>16.658711101877199</v>
      </c>
      <c r="V461" s="4">
        <v>0</v>
      </c>
      <c r="W4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1" s="4">
        <v>234.5</v>
      </c>
      <c r="Y461" s="4">
        <f>(Base[[#This Row],['[Maladies']Coûts_évités_par_salarié]]+Base[[#This Row],['[Travail']Coûts_évités_par_salarié]])/Base[[#This Row],[Budget_santé_salarié]]</f>
        <v>0</v>
      </c>
      <c r="Z461" s="4">
        <v>0.8</v>
      </c>
      <c r="AA461" s="4">
        <f>Base[[#This Row],[Coût]]*Base[[#This Row],[Part_société_dépenses_santé]]</f>
        <v>0</v>
      </c>
      <c r="AB461" s="4">
        <v>67635124</v>
      </c>
      <c r="AC461" s="4">
        <v>82.297079063317852</v>
      </c>
      <c r="AD461" s="4">
        <v>0</v>
      </c>
      <c r="AE461" s="4">
        <f>Base[[#This Row],['[SC']Prévalence_travail]]*Base[[#This Row],[Population_emploi]]</f>
        <v>0</v>
      </c>
      <c r="AF461" s="4">
        <f>Base[[#This Row],[Risque]]*Base[[#This Row],['[SC']Patients_en_emploi]]</f>
        <v>0</v>
      </c>
      <c r="AG461" s="4"/>
      <c r="AH461" s="4">
        <f>IFERROR(Base[[#This Row],['[SC']Prestations]]/Base[[#This Row],['[SC']Patients_en_emploi]],0)</f>
        <v>0</v>
      </c>
      <c r="AI461" s="4"/>
      <c r="AJ4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1" s="4">
        <f>Base[[#This Row],['[SC']'[Travail']Coûts_évités]]/Base[[#This Row],[Population_emploi]]</f>
        <v>0</v>
      </c>
      <c r="AL461" s="4">
        <f>Base[[#This Row],[Coût_société]]*10^9*Base[[#This Row],[Risque]]*Base[[#This Row],[Prévalence]]*Base[[#This Row],[Part_coûts_salarié]]/Base[[#This Row],[Population_emploi]]</f>
        <v>0</v>
      </c>
      <c r="AM461" s="4">
        <f>IF(Base[[#This Row],[Pathologie]]&lt;&gt;"Dépendance",0,14909.24243952)</f>
        <v>0</v>
      </c>
      <c r="AN461" s="4">
        <f>IF(Base[[#This Row],[Pathologie]]&lt;&gt;"Dépendance",0,1316000)</f>
        <v>0</v>
      </c>
      <c r="AO461" s="4">
        <f>IF(Base[[#This Row],[Pathologie]]&lt;&gt;"Dépendance",0,Base[[#This Row],['[SC']Coût_personne_dépendante]]*Base[[#This Row],['[SC']Nb_personnes_dépendantes]])</f>
        <v>0</v>
      </c>
      <c r="AP461" s="4">
        <f>IF(Base[[#This Row],[Pathologie]]&lt;&gt;"Dépendance",0,Base[[#This Row],['[SC']Coût_total_dépendance]]/Base[[#This Row],[Population_totale]])</f>
        <v>0</v>
      </c>
      <c r="AQ461" s="4">
        <f>IF(Base[[#This Row],[Pathologie]]&lt;&gt;"Dépendance",0,4.5)</f>
        <v>0</v>
      </c>
      <c r="AR461" s="4">
        <v>0.83987615528424797</v>
      </c>
      <c r="AS461" s="4">
        <f>Base[[#This Row],[Espérance_vie]]+Base[[#This Row],['[SC']Hausse_esp_de_vie]]-Base[[#This Row],['[SC']Durée_moyenne_dépendance_avt]]+Base[[#This Row],[Risque]]</f>
        <v>83.486210649512373</v>
      </c>
      <c r="AT4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1" s="4">
        <v>62.9</v>
      </c>
      <c r="AW461" s="4">
        <f t="shared" si="11"/>
        <v>336905600000</v>
      </c>
      <c r="AX461" s="4">
        <v>15049171</v>
      </c>
      <c r="AY461" s="4">
        <f>Base[[#This Row],['[SC']Budget_total_retraites]]/Base[[#This Row],['[SC']Nombre_de_retraités]]</f>
        <v>22386.987296509556</v>
      </c>
      <c r="AZ461" s="4">
        <f>Base[[#This Row],['[SC']Budget_par_retraité]]*Base[[#This Row],['[SC']Nb_personnes_dépendantes]]</f>
        <v>0</v>
      </c>
      <c r="BA461" s="4">
        <f>Base[[#This Row],['[SC']'[Dépendance']Coût_retraite_personnes_dépendantes]]/Base[[#This Row],[Population_totale]]</f>
        <v>0</v>
      </c>
      <c r="BB4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1" s="4">
        <f>Base[[#This Row],['[SC']'[Dépendance']Gains]]-Base[[#This Row],['[SC']'[Dépendance']Coûts]]</f>
        <v>0</v>
      </c>
      <c r="BD461" s="4">
        <f>IF(Base[[#This Row],[Pathologie]]&lt;&gt;"Mort prématurée",0,Base[[#This Row],[Risque]]*Base[[#This Row],[Prévalence]]*Base[[#This Row],[Population_totale]])</f>
        <v>0</v>
      </c>
      <c r="BE461" s="4">
        <v>52.74</v>
      </c>
      <c r="BF461" s="4">
        <f>Base[[#This Row],['[SC']Âge_moyen_retraite]]-Base[[#This Row],['[SC']'[Mort_prématurée']Âge_moyen_mort précoce]]</f>
        <v>10.159999999999997</v>
      </c>
      <c r="BG461" s="4">
        <f>Base[[#This Row],[Espérance_vie]]+Base[[#This Row],['[SC']Hausse_esp_de_vie]]-Base[[#This Row],['[SC']Âge_moyen_retraite]]</f>
        <v>20.236955218602098</v>
      </c>
      <c r="BH461" s="4">
        <v>106583.42676924677</v>
      </c>
      <c r="BI461" s="4">
        <v>97601.789429271477</v>
      </c>
      <c r="BJ461" s="4">
        <v>302038.31496633729</v>
      </c>
      <c r="BK461" s="4">
        <v>117293.58934859755</v>
      </c>
      <c r="BL461" s="4">
        <v>1523999.9999999995</v>
      </c>
      <c r="BM4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1" s="4">
        <v>294804.96027377353</v>
      </c>
      <c r="BO4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1" s="4">
        <f>(Base[[#This Row],['[SC']'[Mort_prématurée']Gains]]-Base[[#This Row],['[SC']'[Mort_prématurée']Coûts]])/Base[[#This Row],[Population_totale]]</f>
        <v>0</v>
      </c>
      <c r="BQ461" s="4">
        <f>IF(Base[[#This Row],[Pathologie]]&lt;&gt;"Mort prématurée",0,Base[[#This Row],[Risque]])</f>
        <v>0</v>
      </c>
      <c r="BR461" s="4">
        <v>2680</v>
      </c>
      <c r="BS4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1" s="4">
        <f>Base[[#This Row],[Prévalence_prod]]*(1-Base[[#This Row],[Risque]])*Base[[#This Row],[Durée_arrêt]]*Base[[#This Row],[Population_emploi]]</f>
        <v>0</v>
      </c>
      <c r="BV461" s="4">
        <f>Base[[#This Row],['[Prod']'[Absentéisme']Total_jours_absence_avant]]-Base[[#This Row],['[Prod']'[Absentéisme']Total_jours_absence_après]]</f>
        <v>0</v>
      </c>
      <c r="BW461" s="4">
        <f>IF(AND(Base[[#This Row],[Pathologie]]&lt;&gt;"Dépendance",Base[[#This Row],[Pathologie]]&lt;&gt;"Mort prématurée",Base[[#This Row],[Pathologie]]&lt;&gt;"Migraine"),0.0619,0)</f>
        <v>0</v>
      </c>
      <c r="BX461" s="4">
        <v>254</v>
      </c>
      <c r="BY46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1" s="4">
        <f>Base[[#This Row],[Prévalence_prod]]*Base[[#This Row],[Présentéisme]]*Base[[#This Row],['[Prod']Jours_ouvrés]]</f>
        <v>6.4516000000000009</v>
      </c>
      <c r="CB461" s="4">
        <f>Base[[#This Row],[Prévalence_prod]]*(1-Base[[#This Row],[Risque]])*Base[[#This Row],[Présentéisme]]*Base[[#This Row],['[Prod']Jours_ouvrés]]</f>
        <v>4.1983436619392309</v>
      </c>
      <c r="CC461" s="4">
        <f>Base[[#This Row],['[Prod']'[Présentéisme']Jours_avant]]-Base[[#This Row],['[Prod']'[Présentéisme']Jours_après]]</f>
        <v>2.25325633806077</v>
      </c>
      <c r="CD461" s="4">
        <f>Base[[#This Row],['[Prod']'[Présentéisme']Jours_gagnés]]/Base[[#This Row],['[Prod']Jours_ouvrés]]</f>
        <v>8.8710879451211408E-3</v>
      </c>
      <c r="CE461">
        <v>7.5880726467531134E-2</v>
      </c>
      <c r="CF461">
        <v>1.989821358241517E-2</v>
      </c>
      <c r="CG461" s="4">
        <v>11</v>
      </c>
      <c r="CH461" s="4">
        <v>0.13729577077682142</v>
      </c>
      <c r="CI461" s="4">
        <v>1.373516710817578E-2</v>
      </c>
      <c r="CJ461" s="4">
        <f>IF(Base[[#This Row],[Secteur]]&lt;&gt;"Moyenne",Base[[#This Row],['[Prod']'[Turnover']DMC_initiale]]*(1+Base[[#This Row],['[Prod']'[Turnover']Ecart_accidents]]*Base[[#This Row],['[Prod']Impact_motifs_turnover]]),CJ444*CI444+CJ445*CI445+CJ446*CI446+CJ447*CI447+CJ448*CI448+CJ449*CI449+CJ450*CI450+CJ451*CI451+CJ452*CI452+CJ453*CI453+CJ454*CI454+CJ455*CI455+CJ456*CI456+CJ457*CI457+CJ458*CI458+CJ459*CI459+CJ460*CI460)</f>
        <v>11.030051346279674</v>
      </c>
      <c r="CK461" s="4">
        <f>1/Base[[#This Row],['[Prod']'[Turnover']DMC_initiale]]</f>
        <v>9.0909090909090912E-2</v>
      </c>
      <c r="CL461" s="4">
        <f>1/Base[[#This Row],['[Prod']'[Turnover']DMC_finale]]</f>
        <v>9.0661409326738093E-2</v>
      </c>
    </row>
    <row r="462" spans="2:90" x14ac:dyDescent="0.25">
      <c r="B462" s="4" t="s">
        <v>328</v>
      </c>
      <c r="C462">
        <v>15</v>
      </c>
      <c r="D462" t="s">
        <v>83</v>
      </c>
      <c r="E462" t="s">
        <v>97</v>
      </c>
      <c r="F462" s="3">
        <v>0.349255430910281</v>
      </c>
      <c r="G462" s="3">
        <v>0.2</v>
      </c>
      <c r="H462" s="3">
        <v>0.2</v>
      </c>
      <c r="I462" s="3">
        <v>0.127</v>
      </c>
      <c r="J462" s="3">
        <v>0</v>
      </c>
      <c r="K462" s="3">
        <v>7.0000000000000007E-2</v>
      </c>
      <c r="L462" s="2">
        <f>Base[[#This Row],[Coût]]*Base[[#This Row],[Part_ménages_dépenses_santé]]</f>
        <v>0</v>
      </c>
      <c r="M462" s="2">
        <v>0</v>
      </c>
      <c r="N462" s="6">
        <v>27700000</v>
      </c>
      <c r="O462" s="7">
        <f>Base[[#This Row],[Coût_salarié]]*10^9*Base[[#This Row],[Risque]]*Base[[#This Row],[Prévalence]]*Base[[#This Row],[Part_coûts_salarié]]/Base[[#This Row],[Population_emploi]]</f>
        <v>0</v>
      </c>
      <c r="P462">
        <v>50</v>
      </c>
      <c r="Q462">
        <v>50</v>
      </c>
      <c r="R462" s="2">
        <v>9.9999999999999978E-2</v>
      </c>
      <c r="S462" s="2">
        <v>0.33340000000000003</v>
      </c>
      <c r="T462" s="4">
        <v>0</v>
      </c>
      <c r="U462" s="4">
        <f>IF(Bases_annexes!$F$5=0,16.6587111018772,0.77*Bases_annexes!$F$5/(IF(OR(ISBLANK('Données_d''entrée'!$E$44),'Données_d''entrée'!$E$44=0),35,'Données_d''entrée'!$E$44)*52))</f>
        <v>16.658711101877199</v>
      </c>
      <c r="V462" s="4">
        <v>0</v>
      </c>
      <c r="W4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2" s="4">
        <v>234.5</v>
      </c>
      <c r="Y462" s="4">
        <f>(Base[[#This Row],['[Maladies']Coûts_évités_par_salarié]]+Base[[#This Row],['[Travail']Coûts_évités_par_salarié]])/Base[[#This Row],[Budget_santé_salarié]]</f>
        <v>0</v>
      </c>
      <c r="Z462" s="4">
        <v>0.8</v>
      </c>
      <c r="AA462" s="4">
        <f>Base[[#This Row],[Coût]]*Base[[#This Row],[Part_société_dépenses_santé]]</f>
        <v>0</v>
      </c>
      <c r="AB462" s="4">
        <v>67635124</v>
      </c>
      <c r="AC462" s="4">
        <v>82.297079063317852</v>
      </c>
      <c r="AD462" s="4">
        <v>0</v>
      </c>
      <c r="AE462" s="4">
        <f>Base[[#This Row],['[SC']Prévalence_travail]]*Base[[#This Row],[Population_emploi]]</f>
        <v>0</v>
      </c>
      <c r="AF462" s="4">
        <f>Base[[#This Row],[Risque]]*Base[[#This Row],['[SC']Patients_en_emploi]]</f>
        <v>0</v>
      </c>
      <c r="AG462" s="4"/>
      <c r="AH462" s="4">
        <f>IFERROR(Base[[#This Row],['[SC']Prestations]]/Base[[#This Row],['[SC']Patients_en_emploi]],0)</f>
        <v>0</v>
      </c>
      <c r="AI462" s="4"/>
      <c r="AJ4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2" s="4">
        <f>Base[[#This Row],['[SC']'[Travail']Coûts_évités]]/Base[[#This Row],[Population_emploi]]</f>
        <v>0</v>
      </c>
      <c r="AL462" s="4">
        <f>Base[[#This Row],[Coût_société]]*10^9*Base[[#This Row],[Risque]]*Base[[#This Row],[Prévalence]]*Base[[#This Row],[Part_coûts_salarié]]/Base[[#This Row],[Population_emploi]]</f>
        <v>0</v>
      </c>
      <c r="AM462" s="4">
        <f>IF(Base[[#This Row],[Pathologie]]&lt;&gt;"Dépendance",0,14909.24243952)</f>
        <v>0</v>
      </c>
      <c r="AN462" s="4">
        <f>IF(Base[[#This Row],[Pathologie]]&lt;&gt;"Dépendance",0,1316000)</f>
        <v>0</v>
      </c>
      <c r="AO462" s="4">
        <f>IF(Base[[#This Row],[Pathologie]]&lt;&gt;"Dépendance",0,Base[[#This Row],['[SC']Coût_personne_dépendante]]*Base[[#This Row],['[SC']Nb_personnes_dépendantes]])</f>
        <v>0</v>
      </c>
      <c r="AP462" s="4">
        <f>IF(Base[[#This Row],[Pathologie]]&lt;&gt;"Dépendance",0,Base[[#This Row],['[SC']Coût_total_dépendance]]/Base[[#This Row],[Population_totale]])</f>
        <v>0</v>
      </c>
      <c r="AQ462" s="4">
        <f>IF(Base[[#This Row],[Pathologie]]&lt;&gt;"Dépendance",0,4.5)</f>
        <v>0</v>
      </c>
      <c r="AR462" s="4">
        <v>0.83987615528424797</v>
      </c>
      <c r="AS462" s="4">
        <f>Base[[#This Row],[Espérance_vie]]+Base[[#This Row],['[SC']Hausse_esp_de_vie]]-Base[[#This Row],['[SC']Durée_moyenne_dépendance_avt]]+Base[[#This Row],[Risque]]</f>
        <v>83.486210649512373</v>
      </c>
      <c r="AT4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2" s="4">
        <v>62.9</v>
      </c>
      <c r="AW462" s="4">
        <f t="shared" si="11"/>
        <v>336905600000</v>
      </c>
      <c r="AX462" s="4">
        <v>15049171</v>
      </c>
      <c r="AY462" s="4">
        <f>Base[[#This Row],['[SC']Budget_total_retraites]]/Base[[#This Row],['[SC']Nombre_de_retraités]]</f>
        <v>22386.987296509556</v>
      </c>
      <c r="AZ462" s="4">
        <f>Base[[#This Row],['[SC']Budget_par_retraité]]*Base[[#This Row],['[SC']Nb_personnes_dépendantes]]</f>
        <v>0</v>
      </c>
      <c r="BA462" s="4">
        <f>Base[[#This Row],['[SC']'[Dépendance']Coût_retraite_personnes_dépendantes]]/Base[[#This Row],[Population_totale]]</f>
        <v>0</v>
      </c>
      <c r="BB4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2" s="4">
        <f>Base[[#This Row],['[SC']'[Dépendance']Gains]]-Base[[#This Row],['[SC']'[Dépendance']Coûts]]</f>
        <v>0</v>
      </c>
      <c r="BD462" s="4">
        <f>IF(Base[[#This Row],[Pathologie]]&lt;&gt;"Mort prématurée",0,Base[[#This Row],[Risque]]*Base[[#This Row],[Prévalence]]*Base[[#This Row],[Population_totale]])</f>
        <v>0</v>
      </c>
      <c r="BE462" s="4">
        <v>52.74</v>
      </c>
      <c r="BF462" s="4">
        <f>Base[[#This Row],['[SC']Âge_moyen_retraite]]-Base[[#This Row],['[SC']'[Mort_prématurée']Âge_moyen_mort précoce]]</f>
        <v>10.159999999999997</v>
      </c>
      <c r="BG462" s="4">
        <f>Base[[#This Row],[Espérance_vie]]+Base[[#This Row],['[SC']Hausse_esp_de_vie]]-Base[[#This Row],['[SC']Âge_moyen_retraite]]</f>
        <v>20.236955218602098</v>
      </c>
      <c r="BH462" s="4">
        <v>106583.42676924677</v>
      </c>
      <c r="BI462" s="4">
        <v>97601.789429271477</v>
      </c>
      <c r="BJ462" s="4">
        <v>302038.31496633729</v>
      </c>
      <c r="BK462" s="4">
        <v>117293.58934859755</v>
      </c>
      <c r="BL462" s="4">
        <v>1523999.9999999995</v>
      </c>
      <c r="BM4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2" s="4">
        <v>294804.96027377353</v>
      </c>
      <c r="BO4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2" s="4">
        <f>(Base[[#This Row],['[SC']'[Mort_prématurée']Gains]]-Base[[#This Row],['[SC']'[Mort_prématurée']Coûts]])/Base[[#This Row],[Population_totale]]</f>
        <v>0</v>
      </c>
      <c r="BQ462" s="4">
        <f>IF(Base[[#This Row],[Pathologie]]&lt;&gt;"Mort prématurée",0,Base[[#This Row],[Risque]])</f>
        <v>0</v>
      </c>
      <c r="BR462" s="4">
        <v>2680</v>
      </c>
      <c r="BS4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2" s="4">
        <f>Base[[#This Row],[Prévalence_prod]]*(1-Base[[#This Row],[Risque]])*Base[[#This Row],[Durée_arrêt]]*Base[[#This Row],[Population_emploi]]</f>
        <v>0</v>
      </c>
      <c r="BV462" s="4">
        <f>Base[[#This Row],['[Prod']'[Absentéisme']Total_jours_absence_avant]]-Base[[#This Row],['[Prod']'[Absentéisme']Total_jours_absence_après]]</f>
        <v>0</v>
      </c>
      <c r="BW462" s="4">
        <f>IF(AND(Base[[#This Row],[Pathologie]]&lt;&gt;"Dépendance",Base[[#This Row],[Pathologie]]&lt;&gt;"Mort prématurée",Base[[#This Row],[Pathologie]]&lt;&gt;"Migraine"),0.0619,0)</f>
        <v>0</v>
      </c>
      <c r="BX462" s="4">
        <v>254</v>
      </c>
      <c r="BY46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2" s="4">
        <f>Base[[#This Row],[Prévalence_prod]]*Base[[#This Row],[Présentéisme]]*Base[[#This Row],['[Prod']Jours_ouvrés]]</f>
        <v>6.4516000000000009</v>
      </c>
      <c r="CB462" s="4">
        <f>Base[[#This Row],[Prévalence_prod]]*(1-Base[[#This Row],[Risque]])*Base[[#This Row],[Présentéisme]]*Base[[#This Row],['[Prod']Jours_ouvrés]]</f>
        <v>4.1983436619392309</v>
      </c>
      <c r="CC462" s="4">
        <f>Base[[#This Row],['[Prod']'[Présentéisme']Jours_avant]]-Base[[#This Row],['[Prod']'[Présentéisme']Jours_après]]</f>
        <v>2.25325633806077</v>
      </c>
      <c r="CD462" s="4">
        <f>Base[[#This Row],['[Prod']'[Présentéisme']Jours_gagnés]]/Base[[#This Row],['[Prod']Jours_ouvrés]]</f>
        <v>8.8710879451211408E-3</v>
      </c>
      <c r="CE462">
        <v>7.5880726467531134E-2</v>
      </c>
      <c r="CF462">
        <v>1.989821358241517E-2</v>
      </c>
      <c r="CG462" s="4">
        <v>11</v>
      </c>
      <c r="CH462" s="4">
        <v>0.60922528771817497</v>
      </c>
      <c r="CI462" s="4">
        <v>3.8601807163334179E-3</v>
      </c>
      <c r="CJ462" s="4">
        <f>IF(Base[[#This Row],[Secteur]]&lt;&gt;"Moyenne",Base[[#This Row],['[Prod']'[Turnover']DMC_initiale]]*(1+Base[[#This Row],['[Prod']'[Turnover']Ecart_accidents]]*Base[[#This Row],['[Prod']Impact_motifs_turnover]]),CJ445*CI445+CJ446*CI446+CJ447*CI447+CJ448*CI448+CJ449*CI449+CJ450*CI450+CJ451*CI451+CJ452*CI452+CJ453*CI453+CJ454*CI454+CJ455*CI455+CJ456*CI456+CJ457*CI457+CJ458*CI458+CJ459*CI459+CJ460*CI460+CJ461*CI461)</f>
        <v>11.133347443843071</v>
      </c>
      <c r="CK462" s="4">
        <f>1/Base[[#This Row],['[Prod']'[Turnover']DMC_initiale]]</f>
        <v>9.0909090909090912E-2</v>
      </c>
      <c r="CL462" s="4">
        <f>1/Base[[#This Row],['[Prod']'[Turnover']DMC_finale]]</f>
        <v>8.9820245442265148E-2</v>
      </c>
    </row>
    <row r="463" spans="2:90" x14ac:dyDescent="0.25">
      <c r="B463" s="4" t="s">
        <v>329</v>
      </c>
      <c r="C463">
        <v>15</v>
      </c>
      <c r="D463" t="s">
        <v>83</v>
      </c>
      <c r="E463" t="s">
        <v>97</v>
      </c>
      <c r="F463" s="3">
        <v>0.349255430910281</v>
      </c>
      <c r="G463" s="3">
        <v>0.2</v>
      </c>
      <c r="H463" s="3">
        <v>0.2</v>
      </c>
      <c r="I463" s="3">
        <v>0.127</v>
      </c>
      <c r="J463" s="3">
        <v>0</v>
      </c>
      <c r="K463" s="3">
        <v>7.0000000000000007E-2</v>
      </c>
      <c r="L463" s="2">
        <f>Base[[#This Row],[Coût]]*Base[[#This Row],[Part_ménages_dépenses_santé]]</f>
        <v>0</v>
      </c>
      <c r="M463" s="2">
        <v>0</v>
      </c>
      <c r="N463" s="6">
        <v>27700000</v>
      </c>
      <c r="O463" s="7">
        <f>Base[[#This Row],[Coût_salarié]]*10^9*Base[[#This Row],[Risque]]*Base[[#This Row],[Prévalence]]*Base[[#This Row],[Part_coûts_salarié]]/Base[[#This Row],[Population_emploi]]</f>
        <v>0</v>
      </c>
      <c r="P463">
        <v>50</v>
      </c>
      <c r="Q463">
        <v>50</v>
      </c>
      <c r="R463" s="2">
        <v>9.9999999999999978E-2</v>
      </c>
      <c r="S463" s="2">
        <v>0.33340000000000003</v>
      </c>
      <c r="T463" s="4">
        <v>0</v>
      </c>
      <c r="U463" s="4">
        <f>IF(Bases_annexes!$F$5=0,16.6587111018772,0.77*Bases_annexes!$F$5/(IF(OR(ISBLANK('Données_d''entrée'!$E$44),'Données_d''entrée'!$E$44=0),35,'Données_d''entrée'!$E$44)*52))</f>
        <v>16.658711101877199</v>
      </c>
      <c r="V463" s="4">
        <v>0</v>
      </c>
      <c r="W4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3" s="4">
        <v>234.5</v>
      </c>
      <c r="Y463" s="4">
        <f>(Base[[#This Row],['[Maladies']Coûts_évités_par_salarié]]+Base[[#This Row],['[Travail']Coûts_évités_par_salarié]])/Base[[#This Row],[Budget_santé_salarié]]</f>
        <v>0</v>
      </c>
      <c r="Z463" s="4">
        <v>0.8</v>
      </c>
      <c r="AA463" s="4">
        <f>Base[[#This Row],[Coût]]*Base[[#This Row],[Part_société_dépenses_santé]]</f>
        <v>0</v>
      </c>
      <c r="AB463" s="4">
        <v>67635124</v>
      </c>
      <c r="AC463" s="4">
        <v>82.297079063317852</v>
      </c>
      <c r="AD463" s="4">
        <v>0</v>
      </c>
      <c r="AE463" s="4">
        <f>Base[[#This Row],['[SC']Prévalence_travail]]*Base[[#This Row],[Population_emploi]]</f>
        <v>0</v>
      </c>
      <c r="AF463" s="4">
        <f>Base[[#This Row],[Risque]]*Base[[#This Row],['[SC']Patients_en_emploi]]</f>
        <v>0</v>
      </c>
      <c r="AG463" s="4"/>
      <c r="AH463" s="4">
        <f>IFERROR(Base[[#This Row],['[SC']Prestations]]/Base[[#This Row],['[SC']Patients_en_emploi]],0)</f>
        <v>0</v>
      </c>
      <c r="AI463" s="4"/>
      <c r="AJ4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3" s="4">
        <f>Base[[#This Row],['[SC']'[Travail']Coûts_évités]]/Base[[#This Row],[Population_emploi]]</f>
        <v>0</v>
      </c>
      <c r="AL463" s="4">
        <f>Base[[#This Row],[Coût_société]]*10^9*Base[[#This Row],[Risque]]*Base[[#This Row],[Prévalence]]*Base[[#This Row],[Part_coûts_salarié]]/Base[[#This Row],[Population_emploi]]</f>
        <v>0</v>
      </c>
      <c r="AM463" s="4">
        <f>IF(Base[[#This Row],[Pathologie]]&lt;&gt;"Dépendance",0,14909.24243952)</f>
        <v>0</v>
      </c>
      <c r="AN463" s="4">
        <f>IF(Base[[#This Row],[Pathologie]]&lt;&gt;"Dépendance",0,1316000)</f>
        <v>0</v>
      </c>
      <c r="AO463" s="4">
        <f>IF(Base[[#This Row],[Pathologie]]&lt;&gt;"Dépendance",0,Base[[#This Row],['[SC']Coût_personne_dépendante]]*Base[[#This Row],['[SC']Nb_personnes_dépendantes]])</f>
        <v>0</v>
      </c>
      <c r="AP463" s="4">
        <f>IF(Base[[#This Row],[Pathologie]]&lt;&gt;"Dépendance",0,Base[[#This Row],['[SC']Coût_total_dépendance]]/Base[[#This Row],[Population_totale]])</f>
        <v>0</v>
      </c>
      <c r="AQ463" s="4">
        <f>IF(Base[[#This Row],[Pathologie]]&lt;&gt;"Dépendance",0,4.5)</f>
        <v>0</v>
      </c>
      <c r="AR463" s="4">
        <v>0.83987615528424797</v>
      </c>
      <c r="AS463" s="4">
        <f>Base[[#This Row],[Espérance_vie]]+Base[[#This Row],['[SC']Hausse_esp_de_vie]]-Base[[#This Row],['[SC']Durée_moyenne_dépendance_avt]]+Base[[#This Row],[Risque]]</f>
        <v>83.486210649512373</v>
      </c>
      <c r="AT4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3" s="4">
        <v>62.9</v>
      </c>
      <c r="AW463" s="4">
        <f t="shared" si="11"/>
        <v>336905600000</v>
      </c>
      <c r="AX463" s="4">
        <v>15049171</v>
      </c>
      <c r="AY463" s="4">
        <f>Base[[#This Row],['[SC']Budget_total_retraites]]/Base[[#This Row],['[SC']Nombre_de_retraités]]</f>
        <v>22386.987296509556</v>
      </c>
      <c r="AZ463" s="4">
        <f>Base[[#This Row],['[SC']Budget_par_retraité]]*Base[[#This Row],['[SC']Nb_personnes_dépendantes]]</f>
        <v>0</v>
      </c>
      <c r="BA463" s="4">
        <f>Base[[#This Row],['[SC']'[Dépendance']Coût_retraite_personnes_dépendantes]]/Base[[#This Row],[Population_totale]]</f>
        <v>0</v>
      </c>
      <c r="BB4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3" s="4">
        <f>Base[[#This Row],['[SC']'[Dépendance']Gains]]-Base[[#This Row],['[SC']'[Dépendance']Coûts]]</f>
        <v>0</v>
      </c>
      <c r="BD463" s="4">
        <f>IF(Base[[#This Row],[Pathologie]]&lt;&gt;"Mort prématurée",0,Base[[#This Row],[Risque]]*Base[[#This Row],[Prévalence]]*Base[[#This Row],[Population_totale]])</f>
        <v>0</v>
      </c>
      <c r="BE463" s="4">
        <v>52.74</v>
      </c>
      <c r="BF463" s="4">
        <f>Base[[#This Row],['[SC']Âge_moyen_retraite]]-Base[[#This Row],['[SC']'[Mort_prématurée']Âge_moyen_mort précoce]]</f>
        <v>10.159999999999997</v>
      </c>
      <c r="BG463" s="4">
        <f>Base[[#This Row],[Espérance_vie]]+Base[[#This Row],['[SC']Hausse_esp_de_vie]]-Base[[#This Row],['[SC']Âge_moyen_retraite]]</f>
        <v>20.236955218602098</v>
      </c>
      <c r="BH463" s="4">
        <v>106583.42676924677</v>
      </c>
      <c r="BI463" s="4">
        <v>97601.789429271477</v>
      </c>
      <c r="BJ463" s="4">
        <v>302038.31496633729</v>
      </c>
      <c r="BK463" s="4">
        <v>117293.58934859755</v>
      </c>
      <c r="BL463" s="4">
        <v>1523999.9999999995</v>
      </c>
      <c r="BM4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3" s="4">
        <v>294804.96027377353</v>
      </c>
      <c r="BO4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3" s="4">
        <f>(Base[[#This Row],['[SC']'[Mort_prématurée']Gains]]-Base[[#This Row],['[SC']'[Mort_prématurée']Coûts]])/Base[[#This Row],[Population_totale]]</f>
        <v>0</v>
      </c>
      <c r="BQ463" s="4">
        <f>IF(Base[[#This Row],[Pathologie]]&lt;&gt;"Mort prématurée",0,Base[[#This Row],[Risque]])</f>
        <v>0</v>
      </c>
      <c r="BR463" s="4">
        <v>2680</v>
      </c>
      <c r="BS4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3" s="4">
        <f>Base[[#This Row],[Prévalence_prod]]*(1-Base[[#This Row],[Risque]])*Base[[#This Row],[Durée_arrêt]]*Base[[#This Row],[Population_emploi]]</f>
        <v>0</v>
      </c>
      <c r="BV463" s="4">
        <f>Base[[#This Row],['[Prod']'[Absentéisme']Total_jours_absence_avant]]-Base[[#This Row],['[Prod']'[Absentéisme']Total_jours_absence_après]]</f>
        <v>0</v>
      </c>
      <c r="BW463" s="4">
        <f>IF(AND(Base[[#This Row],[Pathologie]]&lt;&gt;"Dépendance",Base[[#This Row],[Pathologie]]&lt;&gt;"Mort prématurée",Base[[#This Row],[Pathologie]]&lt;&gt;"Migraine"),0.0619,0)</f>
        <v>0</v>
      </c>
      <c r="BX463" s="4">
        <v>254</v>
      </c>
      <c r="BY46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3" s="4">
        <f>Base[[#This Row],[Prévalence_prod]]*Base[[#This Row],[Présentéisme]]*Base[[#This Row],['[Prod']Jours_ouvrés]]</f>
        <v>6.4516000000000009</v>
      </c>
      <c r="CB463" s="4">
        <f>Base[[#This Row],[Prévalence_prod]]*(1-Base[[#This Row],[Risque]])*Base[[#This Row],[Présentéisme]]*Base[[#This Row],['[Prod']Jours_ouvrés]]</f>
        <v>4.1983436619392309</v>
      </c>
      <c r="CC463" s="4">
        <f>Base[[#This Row],['[Prod']'[Présentéisme']Jours_avant]]-Base[[#This Row],['[Prod']'[Présentéisme']Jours_après]]</f>
        <v>2.25325633806077</v>
      </c>
      <c r="CD463" s="4">
        <f>Base[[#This Row],['[Prod']'[Présentéisme']Jours_gagnés]]/Base[[#This Row],['[Prod']Jours_ouvrés]]</f>
        <v>8.8710879451211408E-3</v>
      </c>
      <c r="CE463">
        <v>7.5880726467531134E-2</v>
      </c>
      <c r="CF463">
        <v>1.989821358241517E-2</v>
      </c>
      <c r="CG463" s="4">
        <v>11</v>
      </c>
      <c r="CH463" s="4">
        <v>0.78414927716175975</v>
      </c>
      <c r="CI463" s="4">
        <v>0.12835819090128339</v>
      </c>
      <c r="CJ463" s="4">
        <f>IF(Base[[#This Row],[Secteur]]&lt;&gt;"Moyenne",Base[[#This Row],['[Prod']'[Turnover']DMC_initiale]]*(1+Base[[#This Row],['[Prod']'[Turnover']Ecart_accidents]]*Base[[#This Row],['[Prod']Impact_motifs_turnover]]),CJ446*CI446+CJ447*CI447+CJ448*CI448+CJ449*CI449+CJ450*CI450+CJ451*CI451+CJ452*CI452+CJ453*CI453+CJ454*CI454+CJ455*CI455+CJ456*CI456+CJ457*CI457+CJ458*CI458+CJ459*CI459+CJ460*CI460+CJ461*CI461+CJ462*CI462)</f>
        <v>11.171634867772074</v>
      </c>
      <c r="CK463" s="4">
        <f>1/Base[[#This Row],['[Prod']'[Turnover']DMC_initiale]]</f>
        <v>9.0909090909090912E-2</v>
      </c>
      <c r="CL463" s="4">
        <f>1/Base[[#This Row],['[Prod']'[Turnover']DMC_finale]]</f>
        <v>8.9512413521927708E-2</v>
      </c>
    </row>
    <row r="464" spans="2:90" x14ac:dyDescent="0.25">
      <c r="B464" s="4" t="s">
        <v>330</v>
      </c>
      <c r="C464">
        <v>15</v>
      </c>
      <c r="D464" t="s">
        <v>83</v>
      </c>
      <c r="E464" t="s">
        <v>97</v>
      </c>
      <c r="F464" s="3">
        <v>0.349255430910281</v>
      </c>
      <c r="G464" s="3">
        <v>0.2</v>
      </c>
      <c r="H464" s="3">
        <v>0.2</v>
      </c>
      <c r="I464" s="3">
        <v>0.127</v>
      </c>
      <c r="J464" s="3">
        <v>0</v>
      </c>
      <c r="K464" s="3">
        <v>7.0000000000000007E-2</v>
      </c>
      <c r="L464" s="2">
        <f>Base[[#This Row],[Coût]]*Base[[#This Row],[Part_ménages_dépenses_santé]]</f>
        <v>0</v>
      </c>
      <c r="M464" s="2">
        <v>0</v>
      </c>
      <c r="N464" s="6">
        <v>27700000</v>
      </c>
      <c r="O464" s="7">
        <f>Base[[#This Row],[Coût_salarié]]*10^9*Base[[#This Row],[Risque]]*Base[[#This Row],[Prévalence]]*Base[[#This Row],[Part_coûts_salarié]]/Base[[#This Row],[Population_emploi]]</f>
        <v>0</v>
      </c>
      <c r="P464">
        <v>50</v>
      </c>
      <c r="Q464">
        <v>50</v>
      </c>
      <c r="R464" s="2">
        <v>9.9999999999999978E-2</v>
      </c>
      <c r="S464" s="2">
        <v>0.33340000000000003</v>
      </c>
      <c r="T464" s="4">
        <v>0</v>
      </c>
      <c r="U464" s="4">
        <f>IF(Bases_annexes!$F$5=0,16.6587111018772,0.77*Bases_annexes!$F$5/(IF(OR(ISBLANK('Données_d''entrée'!$E$44),'Données_d''entrée'!$E$44=0),35,'Données_d''entrée'!$E$44)*52))</f>
        <v>16.658711101877199</v>
      </c>
      <c r="V464" s="4">
        <v>0</v>
      </c>
      <c r="W4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4" s="4">
        <v>234.5</v>
      </c>
      <c r="Y464" s="4">
        <f>(Base[[#This Row],['[Maladies']Coûts_évités_par_salarié]]+Base[[#This Row],['[Travail']Coûts_évités_par_salarié]])/Base[[#This Row],[Budget_santé_salarié]]</f>
        <v>0</v>
      </c>
      <c r="Z464" s="4">
        <v>0.8</v>
      </c>
      <c r="AA464" s="4">
        <f>Base[[#This Row],[Coût]]*Base[[#This Row],[Part_société_dépenses_santé]]</f>
        <v>0</v>
      </c>
      <c r="AB464" s="4">
        <v>67635124</v>
      </c>
      <c r="AC464" s="4">
        <v>82.297079063317852</v>
      </c>
      <c r="AD464" s="4">
        <v>0</v>
      </c>
      <c r="AE464" s="4">
        <f>Base[[#This Row],['[SC']Prévalence_travail]]*Base[[#This Row],[Population_emploi]]</f>
        <v>0</v>
      </c>
      <c r="AF464" s="4">
        <f>Base[[#This Row],[Risque]]*Base[[#This Row],['[SC']Patients_en_emploi]]</f>
        <v>0</v>
      </c>
      <c r="AG464" s="4"/>
      <c r="AH464" s="4">
        <f>IFERROR(Base[[#This Row],['[SC']Prestations]]/Base[[#This Row],['[SC']Patients_en_emploi]],0)</f>
        <v>0</v>
      </c>
      <c r="AI464" s="4"/>
      <c r="AJ4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4" s="4">
        <f>Base[[#This Row],['[SC']'[Travail']Coûts_évités]]/Base[[#This Row],[Population_emploi]]</f>
        <v>0</v>
      </c>
      <c r="AL464" s="4">
        <f>Base[[#This Row],[Coût_société]]*10^9*Base[[#This Row],[Risque]]*Base[[#This Row],[Prévalence]]*Base[[#This Row],[Part_coûts_salarié]]/Base[[#This Row],[Population_emploi]]</f>
        <v>0</v>
      </c>
      <c r="AM464" s="4">
        <f>IF(Base[[#This Row],[Pathologie]]&lt;&gt;"Dépendance",0,14909.24243952)</f>
        <v>0</v>
      </c>
      <c r="AN464" s="4">
        <f>IF(Base[[#This Row],[Pathologie]]&lt;&gt;"Dépendance",0,1316000)</f>
        <v>0</v>
      </c>
      <c r="AO464" s="4">
        <f>IF(Base[[#This Row],[Pathologie]]&lt;&gt;"Dépendance",0,Base[[#This Row],['[SC']Coût_personne_dépendante]]*Base[[#This Row],['[SC']Nb_personnes_dépendantes]])</f>
        <v>0</v>
      </c>
      <c r="AP464" s="4">
        <f>IF(Base[[#This Row],[Pathologie]]&lt;&gt;"Dépendance",0,Base[[#This Row],['[SC']Coût_total_dépendance]]/Base[[#This Row],[Population_totale]])</f>
        <v>0</v>
      </c>
      <c r="AQ464" s="4">
        <f>IF(Base[[#This Row],[Pathologie]]&lt;&gt;"Dépendance",0,4.5)</f>
        <v>0</v>
      </c>
      <c r="AR464" s="4">
        <v>0.83987615528424797</v>
      </c>
      <c r="AS464" s="4">
        <f>Base[[#This Row],[Espérance_vie]]+Base[[#This Row],['[SC']Hausse_esp_de_vie]]-Base[[#This Row],['[SC']Durée_moyenne_dépendance_avt]]+Base[[#This Row],[Risque]]</f>
        <v>83.486210649512373</v>
      </c>
      <c r="AT4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4" s="4">
        <v>62.9</v>
      </c>
      <c r="AW464" s="4">
        <f t="shared" si="11"/>
        <v>336905600000</v>
      </c>
      <c r="AX464" s="4">
        <v>15049171</v>
      </c>
      <c r="AY464" s="4">
        <f>Base[[#This Row],['[SC']Budget_total_retraites]]/Base[[#This Row],['[SC']Nombre_de_retraités]]</f>
        <v>22386.987296509556</v>
      </c>
      <c r="AZ464" s="4">
        <f>Base[[#This Row],['[SC']Budget_par_retraité]]*Base[[#This Row],['[SC']Nb_personnes_dépendantes]]</f>
        <v>0</v>
      </c>
      <c r="BA464" s="4">
        <f>Base[[#This Row],['[SC']'[Dépendance']Coût_retraite_personnes_dépendantes]]/Base[[#This Row],[Population_totale]]</f>
        <v>0</v>
      </c>
      <c r="BB4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4" s="4">
        <f>Base[[#This Row],['[SC']'[Dépendance']Gains]]-Base[[#This Row],['[SC']'[Dépendance']Coûts]]</f>
        <v>0</v>
      </c>
      <c r="BD464" s="4">
        <f>IF(Base[[#This Row],[Pathologie]]&lt;&gt;"Mort prématurée",0,Base[[#This Row],[Risque]]*Base[[#This Row],[Prévalence]]*Base[[#This Row],[Population_totale]])</f>
        <v>0</v>
      </c>
      <c r="BE464" s="4">
        <v>52.74</v>
      </c>
      <c r="BF464" s="4">
        <f>Base[[#This Row],['[SC']Âge_moyen_retraite]]-Base[[#This Row],['[SC']'[Mort_prématurée']Âge_moyen_mort précoce]]</f>
        <v>10.159999999999997</v>
      </c>
      <c r="BG464" s="4">
        <f>Base[[#This Row],[Espérance_vie]]+Base[[#This Row],['[SC']Hausse_esp_de_vie]]-Base[[#This Row],['[SC']Âge_moyen_retraite]]</f>
        <v>20.236955218602098</v>
      </c>
      <c r="BH464" s="4">
        <v>106583.42676924677</v>
      </c>
      <c r="BI464" s="4">
        <v>97601.789429271477</v>
      </c>
      <c r="BJ464" s="4">
        <v>302038.31496633729</v>
      </c>
      <c r="BK464" s="4">
        <v>117293.58934859755</v>
      </c>
      <c r="BL464" s="4">
        <v>1523999.9999999995</v>
      </c>
      <c r="BM4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4" s="4">
        <v>294804.96027377353</v>
      </c>
      <c r="BO4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4" s="4">
        <f>(Base[[#This Row],['[SC']'[Mort_prématurée']Gains]]-Base[[#This Row],['[SC']'[Mort_prématurée']Coûts]])/Base[[#This Row],[Population_totale]]</f>
        <v>0</v>
      </c>
      <c r="BQ464" s="4">
        <f>IF(Base[[#This Row],[Pathologie]]&lt;&gt;"Mort prématurée",0,Base[[#This Row],[Risque]])</f>
        <v>0</v>
      </c>
      <c r="BR464" s="4">
        <v>2680</v>
      </c>
      <c r="BS4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4" s="4">
        <f>Base[[#This Row],[Prévalence_prod]]*(1-Base[[#This Row],[Risque]])*Base[[#This Row],[Durée_arrêt]]*Base[[#This Row],[Population_emploi]]</f>
        <v>0</v>
      </c>
      <c r="BV464" s="4">
        <f>Base[[#This Row],['[Prod']'[Absentéisme']Total_jours_absence_avant]]-Base[[#This Row],['[Prod']'[Absentéisme']Total_jours_absence_après]]</f>
        <v>0</v>
      </c>
      <c r="BW464" s="4">
        <f>IF(AND(Base[[#This Row],[Pathologie]]&lt;&gt;"Dépendance",Base[[#This Row],[Pathologie]]&lt;&gt;"Mort prématurée",Base[[#This Row],[Pathologie]]&lt;&gt;"Migraine"),0.0619,0)</f>
        <v>0</v>
      </c>
      <c r="BX464" s="4">
        <v>254</v>
      </c>
      <c r="BY46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4" s="4">
        <f>Base[[#This Row],[Prévalence_prod]]*Base[[#This Row],[Présentéisme]]*Base[[#This Row],['[Prod']Jours_ouvrés]]</f>
        <v>6.4516000000000009</v>
      </c>
      <c r="CB464" s="4">
        <f>Base[[#This Row],[Prévalence_prod]]*(1-Base[[#This Row],[Risque]])*Base[[#This Row],[Présentéisme]]*Base[[#This Row],['[Prod']Jours_ouvrés]]</f>
        <v>4.1983436619392309</v>
      </c>
      <c r="CC464" s="4">
        <f>Base[[#This Row],['[Prod']'[Présentéisme']Jours_avant]]-Base[[#This Row],['[Prod']'[Présentéisme']Jours_après]]</f>
        <v>2.25325633806077</v>
      </c>
      <c r="CD464" s="4">
        <f>Base[[#This Row],['[Prod']'[Présentéisme']Jours_gagnés]]/Base[[#This Row],['[Prod']Jours_ouvrés]]</f>
        <v>8.8710879451211408E-3</v>
      </c>
      <c r="CE464">
        <v>7.5880726467531134E-2</v>
      </c>
      <c r="CF464">
        <v>1.989821358241517E-2</v>
      </c>
      <c r="CG464" s="4">
        <v>11</v>
      </c>
      <c r="CH464" s="4">
        <v>0.99648427619813984</v>
      </c>
      <c r="CI464" s="4">
        <v>0.42377466100567313</v>
      </c>
      <c r="CJ464" s="4">
        <f>IF(Base[[#This Row],[Secteur]]&lt;&gt;"Moyenne",Base[[#This Row],['[Prod']'[Turnover']DMC_initiale]]*(1+Base[[#This Row],['[Prod']'[Turnover']Ecart_accidents]]*Base[[#This Row],['[Prod']Impact_motifs_turnover]]),CJ447*CI447+CJ448*CI448+CJ449*CI449+CJ450*CI450+CJ451*CI451+CJ452*CI452+CJ453*CI453+CJ454*CI454+CJ455*CI455+CJ456*CI456+CJ457*CI457+CJ458*CI458+CJ459*CI459+CJ460*CI460+CJ461*CI461+CJ462*CI462+CJ463*CI463)</f>
        <v>11.218110826552397</v>
      </c>
      <c r="CK464" s="4">
        <f>1/Base[[#This Row],['[Prod']'[Turnover']DMC_initiale]]</f>
        <v>9.0909090909090912E-2</v>
      </c>
      <c r="CL464" s="4">
        <f>1/Base[[#This Row],['[Prod']'[Turnover']DMC_finale]]</f>
        <v>8.9141568973723953E-2</v>
      </c>
    </row>
    <row r="465" spans="2:90" x14ac:dyDescent="0.25">
      <c r="B465" s="4" t="s">
        <v>331</v>
      </c>
      <c r="C465">
        <v>15</v>
      </c>
      <c r="D465" t="s">
        <v>83</v>
      </c>
      <c r="E465" t="s">
        <v>97</v>
      </c>
      <c r="F465" s="3">
        <v>0.349255430910281</v>
      </c>
      <c r="G465" s="3">
        <v>0.2</v>
      </c>
      <c r="H465" s="3">
        <v>0.2</v>
      </c>
      <c r="I465" s="3">
        <v>0.127</v>
      </c>
      <c r="J465" s="3">
        <v>0</v>
      </c>
      <c r="K465" s="3">
        <v>7.0000000000000007E-2</v>
      </c>
      <c r="L465" s="2">
        <f>Base[[#This Row],[Coût]]*Base[[#This Row],[Part_ménages_dépenses_santé]]</f>
        <v>0</v>
      </c>
      <c r="M465" s="2">
        <v>0</v>
      </c>
      <c r="N465" s="6">
        <v>27700000</v>
      </c>
      <c r="O465" s="7">
        <f>Base[[#This Row],[Coût_salarié]]*10^9*Base[[#This Row],[Risque]]*Base[[#This Row],[Prévalence]]*Base[[#This Row],[Part_coûts_salarié]]/Base[[#This Row],[Population_emploi]]</f>
        <v>0</v>
      </c>
      <c r="P465">
        <v>50</v>
      </c>
      <c r="Q465">
        <v>50</v>
      </c>
      <c r="R465" s="2">
        <v>9.9999999999999978E-2</v>
      </c>
      <c r="S465" s="2">
        <v>0.33340000000000003</v>
      </c>
      <c r="T465" s="4">
        <v>0</v>
      </c>
      <c r="U465" s="4">
        <f>IF(Bases_annexes!$F$5=0,16.6587111018772,0.77*Bases_annexes!$F$5/(IF(OR(ISBLANK('Données_d''entrée'!$E$44),'Données_d''entrée'!$E$44=0),35,'Données_d''entrée'!$E$44)*52))</f>
        <v>16.658711101877199</v>
      </c>
      <c r="V465" s="4">
        <v>0</v>
      </c>
      <c r="W4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5" s="4">
        <v>234.5</v>
      </c>
      <c r="Y465" s="4">
        <f>(Base[[#This Row],['[Maladies']Coûts_évités_par_salarié]]+Base[[#This Row],['[Travail']Coûts_évités_par_salarié]])/Base[[#This Row],[Budget_santé_salarié]]</f>
        <v>0</v>
      </c>
      <c r="Z465" s="4">
        <v>0.8</v>
      </c>
      <c r="AA465" s="4">
        <f>Base[[#This Row],[Coût]]*Base[[#This Row],[Part_société_dépenses_santé]]</f>
        <v>0</v>
      </c>
      <c r="AB465" s="4">
        <v>67635124</v>
      </c>
      <c r="AC465" s="4">
        <v>82.297079063317852</v>
      </c>
      <c r="AD465" s="4">
        <v>0</v>
      </c>
      <c r="AE465" s="4">
        <f>Base[[#This Row],['[SC']Prévalence_travail]]*Base[[#This Row],[Population_emploi]]</f>
        <v>0</v>
      </c>
      <c r="AF465" s="4">
        <f>Base[[#This Row],[Risque]]*Base[[#This Row],['[SC']Patients_en_emploi]]</f>
        <v>0</v>
      </c>
      <c r="AG465" s="4"/>
      <c r="AH465" s="4">
        <f>IFERROR(Base[[#This Row],['[SC']Prestations]]/Base[[#This Row],['[SC']Patients_en_emploi]],0)</f>
        <v>0</v>
      </c>
      <c r="AI465" s="4"/>
      <c r="AJ4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5" s="4">
        <f>Base[[#This Row],['[SC']'[Travail']Coûts_évités]]/Base[[#This Row],[Population_emploi]]</f>
        <v>0</v>
      </c>
      <c r="AL465" s="4">
        <f>Base[[#This Row],[Coût_société]]*10^9*Base[[#This Row],[Risque]]*Base[[#This Row],[Prévalence]]*Base[[#This Row],[Part_coûts_salarié]]/Base[[#This Row],[Population_emploi]]</f>
        <v>0</v>
      </c>
      <c r="AM465" s="4">
        <f>IF(Base[[#This Row],[Pathologie]]&lt;&gt;"Dépendance",0,14909.24243952)</f>
        <v>0</v>
      </c>
      <c r="AN465" s="4">
        <f>IF(Base[[#This Row],[Pathologie]]&lt;&gt;"Dépendance",0,1316000)</f>
        <v>0</v>
      </c>
      <c r="AO465" s="4">
        <f>IF(Base[[#This Row],[Pathologie]]&lt;&gt;"Dépendance",0,Base[[#This Row],['[SC']Coût_personne_dépendante]]*Base[[#This Row],['[SC']Nb_personnes_dépendantes]])</f>
        <v>0</v>
      </c>
      <c r="AP465" s="4">
        <f>IF(Base[[#This Row],[Pathologie]]&lt;&gt;"Dépendance",0,Base[[#This Row],['[SC']Coût_total_dépendance]]/Base[[#This Row],[Population_totale]])</f>
        <v>0</v>
      </c>
      <c r="AQ465" s="4">
        <f>IF(Base[[#This Row],[Pathologie]]&lt;&gt;"Dépendance",0,4.5)</f>
        <v>0</v>
      </c>
      <c r="AR465" s="4">
        <v>0.83987615528424797</v>
      </c>
      <c r="AS465" s="4">
        <f>Base[[#This Row],[Espérance_vie]]+Base[[#This Row],['[SC']Hausse_esp_de_vie]]-Base[[#This Row],['[SC']Durée_moyenne_dépendance_avt]]+Base[[#This Row],[Risque]]</f>
        <v>83.486210649512373</v>
      </c>
      <c r="AT4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5" s="4">
        <v>62.9</v>
      </c>
      <c r="AW465" s="4">
        <f t="shared" si="11"/>
        <v>336905600000</v>
      </c>
      <c r="AX465" s="4">
        <v>15049171</v>
      </c>
      <c r="AY465" s="4">
        <f>Base[[#This Row],['[SC']Budget_total_retraites]]/Base[[#This Row],['[SC']Nombre_de_retraités]]</f>
        <v>22386.987296509556</v>
      </c>
      <c r="AZ465" s="4">
        <f>Base[[#This Row],['[SC']Budget_par_retraité]]*Base[[#This Row],['[SC']Nb_personnes_dépendantes]]</f>
        <v>0</v>
      </c>
      <c r="BA465" s="4">
        <f>Base[[#This Row],['[SC']'[Dépendance']Coût_retraite_personnes_dépendantes]]/Base[[#This Row],[Population_totale]]</f>
        <v>0</v>
      </c>
      <c r="BB4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5" s="4">
        <f>Base[[#This Row],['[SC']'[Dépendance']Gains]]-Base[[#This Row],['[SC']'[Dépendance']Coûts]]</f>
        <v>0</v>
      </c>
      <c r="BD465" s="4">
        <f>IF(Base[[#This Row],[Pathologie]]&lt;&gt;"Mort prématurée",0,Base[[#This Row],[Risque]]*Base[[#This Row],[Prévalence]]*Base[[#This Row],[Population_totale]])</f>
        <v>0</v>
      </c>
      <c r="BE465" s="4">
        <v>52.74</v>
      </c>
      <c r="BF465" s="4">
        <f>Base[[#This Row],['[SC']Âge_moyen_retraite]]-Base[[#This Row],['[SC']'[Mort_prématurée']Âge_moyen_mort précoce]]</f>
        <v>10.159999999999997</v>
      </c>
      <c r="BG465" s="4">
        <f>Base[[#This Row],[Espérance_vie]]+Base[[#This Row],['[SC']Hausse_esp_de_vie]]-Base[[#This Row],['[SC']Âge_moyen_retraite]]</f>
        <v>20.236955218602098</v>
      </c>
      <c r="BH465" s="4">
        <v>106583.42676924677</v>
      </c>
      <c r="BI465" s="4">
        <v>97601.789429271477</v>
      </c>
      <c r="BJ465" s="4">
        <v>302038.31496633729</v>
      </c>
      <c r="BK465" s="4">
        <v>117293.58934859755</v>
      </c>
      <c r="BL465" s="4">
        <v>1523999.9999999995</v>
      </c>
      <c r="BM4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5" s="4">
        <v>294804.96027377353</v>
      </c>
      <c r="BO4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5" s="4">
        <f>(Base[[#This Row],['[SC']'[Mort_prématurée']Gains]]-Base[[#This Row],['[SC']'[Mort_prématurée']Coûts]])/Base[[#This Row],[Population_totale]]</f>
        <v>0</v>
      </c>
      <c r="BQ465" s="4">
        <f>IF(Base[[#This Row],[Pathologie]]&lt;&gt;"Mort prématurée",0,Base[[#This Row],[Risque]])</f>
        <v>0</v>
      </c>
      <c r="BR465" s="4">
        <v>2680</v>
      </c>
      <c r="BS4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5" s="4">
        <f>Base[[#This Row],[Prévalence_prod]]*(1-Base[[#This Row],[Risque]])*Base[[#This Row],[Durée_arrêt]]*Base[[#This Row],[Population_emploi]]</f>
        <v>0</v>
      </c>
      <c r="BV465" s="4">
        <f>Base[[#This Row],['[Prod']'[Absentéisme']Total_jours_absence_avant]]-Base[[#This Row],['[Prod']'[Absentéisme']Total_jours_absence_après]]</f>
        <v>0</v>
      </c>
      <c r="BW465" s="4">
        <f>IF(AND(Base[[#This Row],[Pathologie]]&lt;&gt;"Dépendance",Base[[#This Row],[Pathologie]]&lt;&gt;"Mort prématurée",Base[[#This Row],[Pathologie]]&lt;&gt;"Migraine"),0.0619,0)</f>
        <v>0</v>
      </c>
      <c r="BX465" s="4">
        <v>254</v>
      </c>
      <c r="BY46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5" s="4">
        <f>Base[[#This Row],[Prévalence_prod]]*Base[[#This Row],[Présentéisme]]*Base[[#This Row],['[Prod']Jours_ouvrés]]</f>
        <v>6.4516000000000009</v>
      </c>
      <c r="CB465" s="4">
        <f>Base[[#This Row],[Prévalence_prod]]*(1-Base[[#This Row],[Risque]])*Base[[#This Row],[Présentéisme]]*Base[[#This Row],['[Prod']Jours_ouvrés]]</f>
        <v>4.1983436619392309</v>
      </c>
      <c r="CC465" s="4">
        <f>Base[[#This Row],['[Prod']'[Présentéisme']Jours_avant]]-Base[[#This Row],['[Prod']'[Présentéisme']Jours_après]]</f>
        <v>2.25325633806077</v>
      </c>
      <c r="CD465" s="4">
        <f>Base[[#This Row],['[Prod']'[Présentéisme']Jours_gagnés]]/Base[[#This Row],['[Prod']Jours_ouvrés]]</f>
        <v>8.8710879451211408E-3</v>
      </c>
      <c r="CE465">
        <v>7.5880726467531134E-2</v>
      </c>
      <c r="CF465">
        <v>1.989821358241517E-2</v>
      </c>
      <c r="CG465" s="4">
        <v>11</v>
      </c>
      <c r="CH465" s="4">
        <v>1.1593596509901765</v>
      </c>
      <c r="CI465" s="4">
        <v>4.0741311947357597E-2</v>
      </c>
      <c r="CJ465" s="4">
        <f>IF(Base[[#This Row],[Secteur]]&lt;&gt;"Moyenne",Base[[#This Row],['[Prod']'[Turnover']DMC_initiale]]*(1+Base[[#This Row],['[Prod']'[Turnover']Ecart_accidents]]*Base[[#This Row],['[Prod']Impact_motifs_turnover]]),CJ448*CI448+CJ449*CI449+CJ450*CI450+CJ451*CI451+CJ452*CI452+CJ453*CI453+CJ454*CI454+CJ455*CI455+CJ456*CI456+CJ457*CI457+CJ458*CI458+CJ459*CI459+CJ460*CI460+CJ461*CI461+CJ462*CI462+CJ463*CI463+CJ464*CI464)</f>
        <v>11.253761045496606</v>
      </c>
      <c r="CK465" s="4">
        <f>1/Base[[#This Row],['[Prod']'[Turnover']DMC_initiale]]</f>
        <v>9.0909090909090912E-2</v>
      </c>
      <c r="CL465" s="4">
        <f>1/Base[[#This Row],['[Prod']'[Turnover']DMC_finale]]</f>
        <v>8.8859181917690336E-2</v>
      </c>
    </row>
    <row r="466" spans="2:90" x14ac:dyDescent="0.25">
      <c r="B466" s="4" t="s">
        <v>332</v>
      </c>
      <c r="C466">
        <v>15</v>
      </c>
      <c r="D466" t="s">
        <v>83</v>
      </c>
      <c r="E466" t="s">
        <v>97</v>
      </c>
      <c r="F466" s="3">
        <v>0.349255430910281</v>
      </c>
      <c r="G466" s="3">
        <v>0.2</v>
      </c>
      <c r="H466" s="3">
        <v>0.2</v>
      </c>
      <c r="I466" s="3">
        <v>0.127</v>
      </c>
      <c r="J466" s="3">
        <v>0</v>
      </c>
      <c r="K466" s="3">
        <v>7.0000000000000007E-2</v>
      </c>
      <c r="L466" s="2">
        <f>Base[[#This Row],[Coût]]*Base[[#This Row],[Part_ménages_dépenses_santé]]</f>
        <v>0</v>
      </c>
      <c r="M466" s="2">
        <v>0</v>
      </c>
      <c r="N466" s="6">
        <v>27700000</v>
      </c>
      <c r="O466" s="7">
        <f>Base[[#This Row],[Coût_salarié]]*10^9*Base[[#This Row],[Risque]]*Base[[#This Row],[Prévalence]]*Base[[#This Row],[Part_coûts_salarié]]/Base[[#This Row],[Population_emploi]]</f>
        <v>0</v>
      </c>
      <c r="P466">
        <v>50</v>
      </c>
      <c r="Q466">
        <v>50</v>
      </c>
      <c r="R466" s="2">
        <v>9.9999999999999978E-2</v>
      </c>
      <c r="S466" s="2">
        <v>0.33340000000000003</v>
      </c>
      <c r="T466" s="4">
        <v>0</v>
      </c>
      <c r="U466" s="4">
        <f>IF(Bases_annexes!$F$5=0,16.6587111018772,0.77*Bases_annexes!$F$5/(IF(OR(ISBLANK('Données_d''entrée'!$E$44),'Données_d''entrée'!$E$44=0),35,'Données_d''entrée'!$E$44)*52))</f>
        <v>16.658711101877199</v>
      </c>
      <c r="V466" s="4">
        <v>0</v>
      </c>
      <c r="W4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466" s="4">
        <v>234.5</v>
      </c>
      <c r="Y466" s="4">
        <f>(Base[[#This Row],['[Maladies']Coûts_évités_par_salarié]]+Base[[#This Row],['[Travail']Coûts_évités_par_salarié]])/Base[[#This Row],[Budget_santé_salarié]]</f>
        <v>0</v>
      </c>
      <c r="Z466" s="4">
        <v>0.8</v>
      </c>
      <c r="AA466" s="4">
        <f>Base[[#This Row],[Coût]]*Base[[#This Row],[Part_société_dépenses_santé]]</f>
        <v>0</v>
      </c>
      <c r="AB466" s="4">
        <v>67635124</v>
      </c>
      <c r="AC466" s="4">
        <v>82.297079063317852</v>
      </c>
      <c r="AD466" s="4">
        <v>0</v>
      </c>
      <c r="AE466" s="4">
        <f>Base[[#This Row],['[SC']Prévalence_travail]]*Base[[#This Row],[Population_emploi]]</f>
        <v>0</v>
      </c>
      <c r="AF466" s="4">
        <f>Base[[#This Row],[Risque]]*Base[[#This Row],['[SC']Patients_en_emploi]]</f>
        <v>0</v>
      </c>
      <c r="AG466" s="4"/>
      <c r="AH466" s="4">
        <f>IFERROR(Base[[#This Row],['[SC']Prestations]]/Base[[#This Row],['[SC']Patients_en_emploi]],0)</f>
        <v>0</v>
      </c>
      <c r="AI466" s="4"/>
      <c r="AJ4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466" s="4">
        <f>Base[[#This Row],['[SC']'[Travail']Coûts_évités]]/Base[[#This Row],[Population_emploi]]</f>
        <v>0</v>
      </c>
      <c r="AL466" s="4">
        <f>Base[[#This Row],[Coût_société]]*10^9*Base[[#This Row],[Risque]]*Base[[#This Row],[Prévalence]]*Base[[#This Row],[Part_coûts_salarié]]/Base[[#This Row],[Population_emploi]]</f>
        <v>0</v>
      </c>
      <c r="AM466" s="4">
        <f>IF(Base[[#This Row],[Pathologie]]&lt;&gt;"Dépendance",0,14909.24243952)</f>
        <v>0</v>
      </c>
      <c r="AN466" s="4">
        <f>IF(Base[[#This Row],[Pathologie]]&lt;&gt;"Dépendance",0,1316000)</f>
        <v>0</v>
      </c>
      <c r="AO466" s="4">
        <f>IF(Base[[#This Row],[Pathologie]]&lt;&gt;"Dépendance",0,Base[[#This Row],['[SC']Coût_personne_dépendante]]*Base[[#This Row],['[SC']Nb_personnes_dépendantes]])</f>
        <v>0</v>
      </c>
      <c r="AP466" s="4">
        <f>IF(Base[[#This Row],[Pathologie]]&lt;&gt;"Dépendance",0,Base[[#This Row],['[SC']Coût_total_dépendance]]/Base[[#This Row],[Population_totale]])</f>
        <v>0</v>
      </c>
      <c r="AQ466" s="4">
        <f>IF(Base[[#This Row],[Pathologie]]&lt;&gt;"Dépendance",0,4.5)</f>
        <v>0</v>
      </c>
      <c r="AR466" s="4">
        <v>0.83987615528424797</v>
      </c>
      <c r="AS466" s="4">
        <f>Base[[#This Row],[Espérance_vie]]+Base[[#This Row],['[SC']Hausse_esp_de_vie]]-Base[[#This Row],['[SC']Durée_moyenne_dépendance_avt]]+Base[[#This Row],[Risque]]</f>
        <v>83.486210649512373</v>
      </c>
      <c r="AT4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6" s="4">
        <v>62.9</v>
      </c>
      <c r="AW466" s="4">
        <f t="shared" si="11"/>
        <v>336905600000</v>
      </c>
      <c r="AX466" s="4">
        <v>15049171</v>
      </c>
      <c r="AY466" s="4">
        <f>Base[[#This Row],['[SC']Budget_total_retraites]]/Base[[#This Row],['[SC']Nombre_de_retraités]]</f>
        <v>22386.987296509556</v>
      </c>
      <c r="AZ466" s="4">
        <f>Base[[#This Row],['[SC']Budget_par_retraité]]*Base[[#This Row],['[SC']Nb_personnes_dépendantes]]</f>
        <v>0</v>
      </c>
      <c r="BA466" s="4">
        <f>Base[[#This Row],['[SC']'[Dépendance']Coût_retraite_personnes_dépendantes]]/Base[[#This Row],[Population_totale]]</f>
        <v>0</v>
      </c>
      <c r="BB4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6" s="4">
        <f>Base[[#This Row],['[SC']'[Dépendance']Gains]]-Base[[#This Row],['[SC']'[Dépendance']Coûts]]</f>
        <v>0</v>
      </c>
      <c r="BD466" s="4">
        <f>IF(Base[[#This Row],[Pathologie]]&lt;&gt;"Mort prématurée",0,Base[[#This Row],[Risque]]*Base[[#This Row],[Prévalence]]*Base[[#This Row],[Population_totale]])</f>
        <v>0</v>
      </c>
      <c r="BE466" s="4">
        <v>52.74</v>
      </c>
      <c r="BF466" s="4">
        <f>Base[[#This Row],['[SC']Âge_moyen_retraite]]-Base[[#This Row],['[SC']'[Mort_prématurée']Âge_moyen_mort précoce]]</f>
        <v>10.159999999999997</v>
      </c>
      <c r="BG466" s="4">
        <f>Base[[#This Row],[Espérance_vie]]+Base[[#This Row],['[SC']Hausse_esp_de_vie]]-Base[[#This Row],['[SC']Âge_moyen_retraite]]</f>
        <v>20.236955218602098</v>
      </c>
      <c r="BH466" s="4">
        <v>106583.42676924677</v>
      </c>
      <c r="BI466" s="4">
        <v>97601.789429271477</v>
      </c>
      <c r="BJ466" s="4">
        <v>302038.31496633729</v>
      </c>
      <c r="BK466" s="4">
        <v>117293.58934859755</v>
      </c>
      <c r="BL466" s="4">
        <v>1523999.9999999995</v>
      </c>
      <c r="BM4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6" s="4">
        <v>294804.96027377353</v>
      </c>
      <c r="BO4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6" s="4">
        <f>(Base[[#This Row],['[SC']'[Mort_prématurée']Gains]]-Base[[#This Row],['[SC']'[Mort_prématurée']Coûts]])/Base[[#This Row],[Population_totale]]</f>
        <v>0</v>
      </c>
      <c r="BQ466" s="4">
        <f>IF(Base[[#This Row],[Pathologie]]&lt;&gt;"Mort prématurée",0,Base[[#This Row],[Risque]])</f>
        <v>0</v>
      </c>
      <c r="BR466" s="4">
        <v>2680</v>
      </c>
      <c r="BS4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4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466" s="4">
        <f>Base[[#This Row],[Prévalence_prod]]*(1-Base[[#This Row],[Risque]])*Base[[#This Row],[Durée_arrêt]]*Base[[#This Row],[Population_emploi]]</f>
        <v>0</v>
      </c>
      <c r="BV466" s="4">
        <f>Base[[#This Row],['[Prod']'[Absentéisme']Total_jours_absence_avant]]-Base[[#This Row],['[Prod']'[Absentéisme']Total_jours_absence_après]]</f>
        <v>0</v>
      </c>
      <c r="BW466" s="4">
        <f>IF(AND(Base[[#This Row],[Pathologie]]&lt;&gt;"Dépendance",Base[[#This Row],[Pathologie]]&lt;&gt;"Mort prématurée",Base[[#This Row],[Pathologie]]&lt;&gt;"Migraine"),0.0619,0)</f>
        <v>0</v>
      </c>
      <c r="BX466" s="4">
        <v>254</v>
      </c>
      <c r="BY46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46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466" s="4">
        <f>Base[[#This Row],[Prévalence_prod]]*Base[[#This Row],[Présentéisme]]*Base[[#This Row],['[Prod']Jours_ouvrés]]</f>
        <v>6.4516000000000009</v>
      </c>
      <c r="CB466" s="4">
        <f>Base[[#This Row],[Prévalence_prod]]*(1-Base[[#This Row],[Risque]])*Base[[#This Row],[Présentéisme]]*Base[[#This Row],['[Prod']Jours_ouvrés]]</f>
        <v>4.1983436619392309</v>
      </c>
      <c r="CC466" s="4">
        <f>Base[[#This Row],['[Prod']'[Présentéisme']Jours_avant]]-Base[[#This Row],['[Prod']'[Présentéisme']Jours_après]]</f>
        <v>2.25325633806077</v>
      </c>
      <c r="CD466" s="4">
        <f>Base[[#This Row],['[Prod']'[Présentéisme']Jours_gagnés]]/Base[[#This Row],['[Prod']Jours_ouvrés]]</f>
        <v>8.8710879451211408E-3</v>
      </c>
      <c r="CE466">
        <v>7.5880726467531134E-2</v>
      </c>
      <c r="CF466">
        <v>1.989821358241517E-2</v>
      </c>
      <c r="CG466" s="4">
        <v>11</v>
      </c>
      <c r="CH466" s="4">
        <v>0.85076983926913452</v>
      </c>
      <c r="CI466" s="4">
        <v>0</v>
      </c>
      <c r="CJ466" s="4">
        <f>IF(Base[[#This Row],[Secteur]]&lt;&gt;"Moyenne",Base[[#This Row],['[Prod']'[Turnover']DMC_initiale]]*(1+Base[[#This Row],['[Prod']'[Turnover']Ecart_accidents]]*Base[[#This Row],['[Prod']Impact_motifs_turnover]]),CJ449*CI449+CJ450*CI450+CJ451*CI451+CJ452*CI452+CJ453*CI453+CJ454*CI454+CJ455*CI455+CJ456*CI456+CJ457*CI457+CJ458*CI458+CJ459*CI459+CJ460*CI460+CJ461*CI461+CJ462*CI462+CJ463*CI463+CJ464*CI464+CJ465*CI465)</f>
        <v>11.186216799683796</v>
      </c>
      <c r="CK466" s="4">
        <f>1/Base[[#This Row],['[Prod']'[Turnover']DMC_initiale]]</f>
        <v>9.0909090909090912E-2</v>
      </c>
      <c r="CL466" s="4">
        <f>1/Base[[#This Row],['[Prod']'[Turnover']DMC_finale]]</f>
        <v>8.9395728502979416E-2</v>
      </c>
    </row>
    <row r="467" spans="2:90" x14ac:dyDescent="0.25">
      <c r="B467" s="4" t="s">
        <v>315</v>
      </c>
      <c r="C467">
        <v>30</v>
      </c>
      <c r="D467" t="s">
        <v>85</v>
      </c>
      <c r="E467" t="s">
        <v>3</v>
      </c>
      <c r="F467" s="3">
        <v>0.17960715938795463</v>
      </c>
      <c r="G467" s="3">
        <v>2.5999999999999999E-2</v>
      </c>
      <c r="H467" s="3">
        <v>2.5999999999999999E-2</v>
      </c>
      <c r="I467" s="3">
        <v>8.5000000000000006E-2</v>
      </c>
      <c r="J467" s="3">
        <v>24.289173334126499</v>
      </c>
      <c r="K467" s="3">
        <v>7.0000000000000007E-2</v>
      </c>
      <c r="L467" s="2">
        <f>Base[[#This Row],[Coût]]*Base[[#This Row],[Part_ménages_dépenses_santé]]</f>
        <v>1.7002421333888551</v>
      </c>
      <c r="M467" s="2">
        <v>0.99784170771638514</v>
      </c>
      <c r="N467" s="6">
        <v>27700000</v>
      </c>
      <c r="O467" s="7">
        <f>Base[[#This Row],[Coût_salarié]]*10^9*Base[[#This Row],[Risque]]*Base[[#This Row],[Prévalence]]*Base[[#This Row],[Part_coûts_salarié]]/Base[[#This Row],[Population_emploi]]</f>
        <v>0.28601555299296749</v>
      </c>
      <c r="P467">
        <v>50</v>
      </c>
      <c r="Q467">
        <v>50</v>
      </c>
      <c r="R467" s="2">
        <v>9.9999999999999978E-2</v>
      </c>
      <c r="S467" s="2">
        <v>0.33340000000000003</v>
      </c>
      <c r="T467" s="4">
        <v>2.5999999999999999E-2</v>
      </c>
      <c r="U467" s="4">
        <f>IF(Bases_annexes!$F$5=0,16.6587111018772,0.77*Bases_annexes!$F$5/(IF(OR(ISBLANK('Données_d''entrée'!$E$44),'Données_d''entrée'!$E$44=0),35,'Données_d''entrée'!$E$44)*52))</f>
        <v>16.658711101877199</v>
      </c>
      <c r="V467" s="4">
        <v>22.173118639135399</v>
      </c>
      <c r="W4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67" s="4">
        <v>234.5</v>
      </c>
      <c r="Y467" s="4">
        <f>(Base[[#This Row],['[Maladies']Coûts_évités_par_salarié]]+Base[[#This Row],['[Travail']Coûts_évités_par_salarié]])/Base[[#This Row],[Budget_santé_salarié]]</f>
        <v>1.26385053586783E-2</v>
      </c>
      <c r="Z467" s="4">
        <v>0.8</v>
      </c>
      <c r="AA467" s="4">
        <f>Base[[#This Row],[Coût]]*Base[[#This Row],[Part_société_dépenses_santé]]</f>
        <v>19.431338667301201</v>
      </c>
      <c r="AB467" s="4">
        <v>67635124</v>
      </c>
      <c r="AC467" s="4">
        <v>82.297079063317852</v>
      </c>
      <c r="AD467" s="4">
        <v>2.5999999999999999E-2</v>
      </c>
      <c r="AE467" s="4">
        <f>Base[[#This Row],['[SC']Prévalence_travail]]*Base[[#This Row],[Population_emploi]]</f>
        <v>720200</v>
      </c>
      <c r="AF467" s="4">
        <f>Base[[#This Row],[Risque]]*Base[[#This Row],['[SC']Patients_en_emploi]]</f>
        <v>129353.07619120492</v>
      </c>
      <c r="AG467" s="4">
        <v>1257615774.8399999</v>
      </c>
      <c r="AH467" s="4">
        <f>IFERROR(Base[[#This Row],['[SC']Prestations]]/Base[[#This Row],['[SC']Patients_en_emploi]],0)</f>
        <v>1746.203519633435</v>
      </c>
      <c r="AI467" s="4">
        <v>51.7</v>
      </c>
      <c r="AJ4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67" s="4">
        <f>Base[[#This Row],['[SC']'[Travail']Coûts_évités]]/Base[[#This Row],[Population_emploi]]</f>
        <v>8.1543970007398521</v>
      </c>
      <c r="AL467" s="4">
        <f>Base[[#This Row],[Coût_société]]*10^9*Base[[#This Row],[Risque]]*Base[[#This Row],[Prévalence]]*Base[[#This Row],[Part_coûts_salarié]]/Base[[#This Row],[Population_emploi]]</f>
        <v>3.2687491770624852</v>
      </c>
      <c r="AM467" s="4">
        <f>IF(Base[[#This Row],[Pathologie]]&lt;&gt;"Dépendance",0,14909.24243952)</f>
        <v>0</v>
      </c>
      <c r="AN467" s="4">
        <f>IF(Base[[#This Row],[Pathologie]]&lt;&gt;"Dépendance",0,1316000)</f>
        <v>0</v>
      </c>
      <c r="AO467" s="4">
        <f>IF(Base[[#This Row],[Pathologie]]&lt;&gt;"Dépendance",0,Base[[#This Row],['[SC']Coût_personne_dépendante]]*Base[[#This Row],['[SC']Nb_personnes_dépendantes]])</f>
        <v>0</v>
      </c>
      <c r="AP467" s="4">
        <f>IF(Base[[#This Row],[Pathologie]]&lt;&gt;"Dépendance",0,Base[[#This Row],['[SC']Coût_total_dépendance]]/Base[[#This Row],[Population_totale]])</f>
        <v>0</v>
      </c>
      <c r="AQ467" s="4">
        <f>IF(Base[[#This Row],[Pathologie]]&lt;&gt;"Dépendance",0,4.5)</f>
        <v>0</v>
      </c>
      <c r="AR467" s="4">
        <v>1.0077957276768601</v>
      </c>
      <c r="AS467" s="4">
        <f>Base[[#This Row],[Espérance_vie]]+Base[[#This Row],['[SC']Hausse_esp_de_vie]]-Base[[#This Row],['[SC']Durée_moyenne_dépendance_avt]]+Base[[#This Row],[Risque]]</f>
        <v>83.484481950382673</v>
      </c>
      <c r="AT4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7" s="4">
        <v>62.9</v>
      </c>
      <c r="AW467" s="4">
        <f t="shared" si="0"/>
        <v>336905600000</v>
      </c>
      <c r="AX467" s="4">
        <v>15049171</v>
      </c>
      <c r="AY467" s="4">
        <f>Base[[#This Row],['[SC']Budget_total_retraites]]/Base[[#This Row],['[SC']Nombre_de_retraités]]</f>
        <v>22386.987296509556</v>
      </c>
      <c r="AZ467" s="4">
        <f>Base[[#This Row],['[SC']Budget_par_retraité]]*Base[[#This Row],['[SC']Nb_personnes_dépendantes]]</f>
        <v>0</v>
      </c>
      <c r="BA467" s="4">
        <f>Base[[#This Row],['[SC']'[Dépendance']Coût_retraite_personnes_dépendantes]]/Base[[#This Row],[Population_totale]]</f>
        <v>0</v>
      </c>
      <c r="BB4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7" s="4">
        <f>Base[[#This Row],['[SC']'[Dépendance']Gains]]-Base[[#This Row],['[SC']'[Dépendance']Coûts]]</f>
        <v>0</v>
      </c>
      <c r="BD467" s="4">
        <f>IF(Base[[#This Row],[Pathologie]]&lt;&gt;"Mort prématurée",0,Base[[#This Row],[Risque]]*Base[[#This Row],[Prévalence]]*Base[[#This Row],[Population_totale]])</f>
        <v>0</v>
      </c>
      <c r="BE467" s="4">
        <v>52.74</v>
      </c>
      <c r="BF467" s="4">
        <f>Base[[#This Row],['[SC']Âge_moyen_retraite]]-Base[[#This Row],['[SC']'[Mort_prématurée']Âge_moyen_mort précoce]]</f>
        <v>10.159999999999997</v>
      </c>
      <c r="BG467" s="4">
        <f>Base[[#This Row],[Espérance_vie]]+Base[[#This Row],['[SC']Hausse_esp_de_vie]]-Base[[#This Row],['[SC']Âge_moyen_retraite]]</f>
        <v>20.404874790994718</v>
      </c>
      <c r="BH467" s="4">
        <v>106583.42676924677</v>
      </c>
      <c r="BI467" s="4">
        <v>97601.789429271477</v>
      </c>
      <c r="BJ467" s="4">
        <v>302038.31496633729</v>
      </c>
      <c r="BK467" s="4">
        <v>117293.58934859755</v>
      </c>
      <c r="BL467" s="4">
        <v>1523999.9999999995</v>
      </c>
      <c r="BM4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7" s="4">
        <v>294804.96027377353</v>
      </c>
      <c r="BO4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7" s="4">
        <f>(Base[[#This Row],['[SC']'[Mort_prématurée']Gains]]-Base[[#This Row],['[SC']'[Mort_prématurée']Coûts]])/Base[[#This Row],[Population_totale]]</f>
        <v>0</v>
      </c>
      <c r="BQ467" s="4">
        <f>IF(Base[[#This Row],[Pathologie]]&lt;&gt;"Mort prématurée",0,Base[[#This Row],[Risque]])</f>
        <v>0</v>
      </c>
      <c r="BR467" s="4">
        <v>2680</v>
      </c>
      <c r="BS4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67" s="4">
        <f>Base[[#This Row],[Prévalence_prod]]*(1-Base[[#This Row],[Risque]])*Base[[#This Row],[Durée_arrêt]]*Base[[#This Row],[Population_emploi]]</f>
        <v>13100918.939180605</v>
      </c>
      <c r="BV467" s="4">
        <f>Base[[#This Row],['[Prod']'[Absentéisme']Total_jours_absence_avant]]-Base[[#This Row],['[Prod']'[Absentéisme']Total_jours_absence_après]]</f>
        <v>2868161.1047247089</v>
      </c>
      <c r="BW467" s="4">
        <f>IF(AND(Base[[#This Row],[Pathologie]]&lt;&gt;"Dépendance",Base[[#This Row],[Pathologie]]&lt;&gt;"Mort prématurée",Base[[#This Row],[Pathologie]]&lt;&gt;"Migraine"),0.0619,0)</f>
        <v>6.1899999999999997E-2</v>
      </c>
      <c r="BX467" s="4">
        <v>254</v>
      </c>
      <c r="BY46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67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67" s="4">
        <f>Base[[#This Row],[Prévalence_prod]]*Base[[#This Row],[Présentéisme]]*Base[[#This Row],['[Prod']Jours_ouvrés]]</f>
        <v>0.56134000000000006</v>
      </c>
      <c r="CB467" s="4">
        <f>Base[[#This Row],[Prévalence_prod]]*(1-Base[[#This Row],[Risque]])*Base[[#This Row],[Présentéisme]]*Base[[#This Row],['[Prod']Jours_ouvrés]]</f>
        <v>0.46051931714916555</v>
      </c>
      <c r="CC467" s="4">
        <f>Base[[#This Row],['[Prod']'[Présentéisme']Jours_avant]]-Base[[#This Row],['[Prod']'[Présentéisme']Jours_après]]</f>
        <v>0.10082068285083451</v>
      </c>
      <c r="CD467" s="4">
        <f>Base[[#This Row],['[Prod']'[Présentéisme']Jours_gagnés]]/Base[[#This Row],['[Prod']Jours_ouvrés]]</f>
        <v>3.9693182224737994E-4</v>
      </c>
      <c r="CE467">
        <v>9.3428413505841454E-2</v>
      </c>
      <c r="CF467">
        <v>2.1038737314955848E-2</v>
      </c>
      <c r="CG467" s="4">
        <v>11</v>
      </c>
      <c r="CH467" s="4">
        <v>1.3966184516047948</v>
      </c>
      <c r="CI467" s="4">
        <v>1.4392894727292521E-2</v>
      </c>
      <c r="CJ467" s="4">
        <f>IF(Base[[#This Row],[Secteur]]&lt;&gt;"Moyenne",Base[[#This Row],['[Prod']'[Turnover']DMC_initiale]]*(1+Base[[#This Row],['[Prod']'[Turnover']Ecart_accidents]]*Base[[#This Row],['[Prod']Impact_motifs_turnover]]),CJ450*CI450+CJ451*CI451+CJ452*CI452+CJ453*CI453+CJ454*CI454+CJ455*CI455+CJ456*CI456+CJ457*CI457+CJ458*CI458+CJ459*CI459+CJ460*CI460+CJ461*CI461+CJ462*CI462+CJ463*CI463+CJ464*CI464+CJ465*CI465+CJ466*CI466)</f>
        <v>11.32321397605787</v>
      </c>
      <c r="CK467" s="4">
        <f>1/Base[[#This Row],['[Prod']'[Turnover']DMC_initiale]]</f>
        <v>9.0909090909090912E-2</v>
      </c>
      <c r="CL467" s="4">
        <f>1/Base[[#This Row],['[Prod']'[Turnover']DMC_finale]]</f>
        <v>8.8314148448879345E-2</v>
      </c>
    </row>
    <row r="468" spans="2:90" x14ac:dyDescent="0.25">
      <c r="B468" s="4" t="s">
        <v>316</v>
      </c>
      <c r="C468">
        <v>30</v>
      </c>
      <c r="D468" t="s">
        <v>85</v>
      </c>
      <c r="E468" t="s">
        <v>3</v>
      </c>
      <c r="F468" s="3">
        <v>0.17960715938795463</v>
      </c>
      <c r="G468" s="3">
        <v>2.5999999999999999E-2</v>
      </c>
      <c r="H468" s="3">
        <v>2.5999999999999999E-2</v>
      </c>
      <c r="I468" s="3">
        <v>8.5000000000000006E-2</v>
      </c>
      <c r="J468" s="3">
        <v>24.289173334126499</v>
      </c>
      <c r="K468" s="3">
        <v>7.0000000000000007E-2</v>
      </c>
      <c r="L468" s="2">
        <f>Base[[#This Row],[Coût]]*Base[[#This Row],[Part_ménages_dépenses_santé]]</f>
        <v>1.7002421333888551</v>
      </c>
      <c r="M468" s="2">
        <v>0.99784170771638514</v>
      </c>
      <c r="N468" s="6">
        <v>27700000</v>
      </c>
      <c r="O468" s="7">
        <f>Base[[#This Row],[Coût_salarié]]*10^9*Base[[#This Row],[Risque]]*Base[[#This Row],[Prévalence]]*Base[[#This Row],[Part_coûts_salarié]]/Base[[#This Row],[Population_emploi]]</f>
        <v>0.28601555299296749</v>
      </c>
      <c r="P468">
        <v>50</v>
      </c>
      <c r="Q468">
        <v>50</v>
      </c>
      <c r="R468" s="2">
        <v>9.9999999999999978E-2</v>
      </c>
      <c r="S468" s="2">
        <v>0.33340000000000003</v>
      </c>
      <c r="T468" s="4">
        <v>2.5999999999999999E-2</v>
      </c>
      <c r="U468" s="4">
        <f>IF(Bases_annexes!$F$5=0,16.6587111018772,0.77*Bases_annexes!$F$5/(IF(OR(ISBLANK('Données_d''entrée'!$E$44),'Données_d''entrée'!$E$44=0),35,'Données_d''entrée'!$E$44)*52))</f>
        <v>16.658711101877199</v>
      </c>
      <c r="V468" s="4">
        <v>22.173118639135399</v>
      </c>
      <c r="W4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68" s="4">
        <v>234.5</v>
      </c>
      <c r="Y468" s="4">
        <f>(Base[[#This Row],['[Maladies']Coûts_évités_par_salarié]]+Base[[#This Row],['[Travail']Coûts_évités_par_salarié]])/Base[[#This Row],[Budget_santé_salarié]]</f>
        <v>1.26385053586783E-2</v>
      </c>
      <c r="Z468" s="4">
        <v>0.8</v>
      </c>
      <c r="AA468" s="4">
        <f>Base[[#This Row],[Coût]]*Base[[#This Row],[Part_société_dépenses_santé]]</f>
        <v>19.431338667301201</v>
      </c>
      <c r="AB468" s="4">
        <v>67635124</v>
      </c>
      <c r="AC468" s="4">
        <v>82.297079063317852</v>
      </c>
      <c r="AD468" s="4">
        <v>2.5999999999999999E-2</v>
      </c>
      <c r="AE468" s="4">
        <f>Base[[#This Row],['[SC']Prévalence_travail]]*Base[[#This Row],[Population_emploi]]</f>
        <v>720200</v>
      </c>
      <c r="AF468" s="4">
        <f>Base[[#This Row],[Risque]]*Base[[#This Row],['[SC']Patients_en_emploi]]</f>
        <v>129353.07619120492</v>
      </c>
      <c r="AG468" s="4">
        <v>1257615774.8399999</v>
      </c>
      <c r="AH468" s="4">
        <f>IFERROR(Base[[#This Row],['[SC']Prestations]]/Base[[#This Row],['[SC']Patients_en_emploi]],0)</f>
        <v>1746.203519633435</v>
      </c>
      <c r="AI468" s="4">
        <v>51.7</v>
      </c>
      <c r="AJ4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68" s="4">
        <f>Base[[#This Row],['[SC']'[Travail']Coûts_évités]]/Base[[#This Row],[Population_emploi]]</f>
        <v>8.1543970007398521</v>
      </c>
      <c r="AL468" s="4">
        <f>Base[[#This Row],[Coût_société]]*10^9*Base[[#This Row],[Risque]]*Base[[#This Row],[Prévalence]]*Base[[#This Row],[Part_coûts_salarié]]/Base[[#This Row],[Population_emploi]]</f>
        <v>3.2687491770624852</v>
      </c>
      <c r="AM468" s="4">
        <f>IF(Base[[#This Row],[Pathologie]]&lt;&gt;"Dépendance",0,14909.24243952)</f>
        <v>0</v>
      </c>
      <c r="AN468" s="4">
        <f>IF(Base[[#This Row],[Pathologie]]&lt;&gt;"Dépendance",0,1316000)</f>
        <v>0</v>
      </c>
      <c r="AO468" s="4">
        <f>IF(Base[[#This Row],[Pathologie]]&lt;&gt;"Dépendance",0,Base[[#This Row],['[SC']Coût_personne_dépendante]]*Base[[#This Row],['[SC']Nb_personnes_dépendantes]])</f>
        <v>0</v>
      </c>
      <c r="AP468" s="4">
        <f>IF(Base[[#This Row],[Pathologie]]&lt;&gt;"Dépendance",0,Base[[#This Row],['[SC']Coût_total_dépendance]]/Base[[#This Row],[Population_totale]])</f>
        <v>0</v>
      </c>
      <c r="AQ468" s="4">
        <f>IF(Base[[#This Row],[Pathologie]]&lt;&gt;"Dépendance",0,4.5)</f>
        <v>0</v>
      </c>
      <c r="AR468" s="4">
        <v>1.0077957276768601</v>
      </c>
      <c r="AS468" s="4">
        <f>Base[[#This Row],[Espérance_vie]]+Base[[#This Row],['[SC']Hausse_esp_de_vie]]-Base[[#This Row],['[SC']Durée_moyenne_dépendance_avt]]+Base[[#This Row],[Risque]]</f>
        <v>83.484481950382673</v>
      </c>
      <c r="AT4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8" s="4">
        <v>62.9</v>
      </c>
      <c r="AW468" s="4">
        <f t="shared" ref="AW468:AW484" si="12">336905600000</f>
        <v>336905600000</v>
      </c>
      <c r="AX468" s="4">
        <v>15049171</v>
      </c>
      <c r="AY468" s="4">
        <f>Base[[#This Row],['[SC']Budget_total_retraites]]/Base[[#This Row],['[SC']Nombre_de_retraités]]</f>
        <v>22386.987296509556</v>
      </c>
      <c r="AZ468" s="4">
        <f>Base[[#This Row],['[SC']Budget_par_retraité]]*Base[[#This Row],['[SC']Nb_personnes_dépendantes]]</f>
        <v>0</v>
      </c>
      <c r="BA468" s="4">
        <f>Base[[#This Row],['[SC']'[Dépendance']Coût_retraite_personnes_dépendantes]]/Base[[#This Row],[Population_totale]]</f>
        <v>0</v>
      </c>
      <c r="BB4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8" s="4">
        <f>Base[[#This Row],['[SC']'[Dépendance']Gains]]-Base[[#This Row],['[SC']'[Dépendance']Coûts]]</f>
        <v>0</v>
      </c>
      <c r="BD468" s="4">
        <f>IF(Base[[#This Row],[Pathologie]]&lt;&gt;"Mort prématurée",0,Base[[#This Row],[Risque]]*Base[[#This Row],[Prévalence]]*Base[[#This Row],[Population_totale]])</f>
        <v>0</v>
      </c>
      <c r="BE468" s="4">
        <v>52.74</v>
      </c>
      <c r="BF468" s="4">
        <f>Base[[#This Row],['[SC']Âge_moyen_retraite]]-Base[[#This Row],['[SC']'[Mort_prématurée']Âge_moyen_mort précoce]]</f>
        <v>10.159999999999997</v>
      </c>
      <c r="BG468" s="4">
        <f>Base[[#This Row],[Espérance_vie]]+Base[[#This Row],['[SC']Hausse_esp_de_vie]]-Base[[#This Row],['[SC']Âge_moyen_retraite]]</f>
        <v>20.404874790994718</v>
      </c>
      <c r="BH468" s="4">
        <v>106583.42676924677</v>
      </c>
      <c r="BI468" s="4">
        <v>97601.789429271477</v>
      </c>
      <c r="BJ468" s="4">
        <v>302038.31496633729</v>
      </c>
      <c r="BK468" s="4">
        <v>117293.58934859755</v>
      </c>
      <c r="BL468" s="4">
        <v>1523999.9999999995</v>
      </c>
      <c r="BM4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8" s="4">
        <v>294804.96027377353</v>
      </c>
      <c r="BO4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8" s="4">
        <f>(Base[[#This Row],['[SC']'[Mort_prématurée']Gains]]-Base[[#This Row],['[SC']'[Mort_prématurée']Coûts]])/Base[[#This Row],[Population_totale]]</f>
        <v>0</v>
      </c>
      <c r="BQ468" s="4">
        <f>IF(Base[[#This Row],[Pathologie]]&lt;&gt;"Mort prématurée",0,Base[[#This Row],[Risque]])</f>
        <v>0</v>
      </c>
      <c r="BR468" s="4">
        <v>2680</v>
      </c>
      <c r="BS4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68" s="4">
        <f>Base[[#This Row],[Prévalence_prod]]*(1-Base[[#This Row],[Risque]])*Base[[#This Row],[Durée_arrêt]]*Base[[#This Row],[Population_emploi]]</f>
        <v>13100918.939180605</v>
      </c>
      <c r="BV468" s="4">
        <f>Base[[#This Row],['[Prod']'[Absentéisme']Total_jours_absence_avant]]-Base[[#This Row],['[Prod']'[Absentéisme']Total_jours_absence_après]]</f>
        <v>2868161.1047247089</v>
      </c>
      <c r="BW468" s="4">
        <f>IF(AND(Base[[#This Row],[Pathologie]]&lt;&gt;"Dépendance",Base[[#This Row],[Pathologie]]&lt;&gt;"Mort prématurée",Base[[#This Row],[Pathologie]]&lt;&gt;"Migraine"),0.0619,0)</f>
        <v>6.1899999999999997E-2</v>
      </c>
      <c r="BX468" s="4">
        <v>254</v>
      </c>
      <c r="BY46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68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68" s="4">
        <f>Base[[#This Row],[Prévalence_prod]]*Base[[#This Row],[Présentéisme]]*Base[[#This Row],['[Prod']Jours_ouvrés]]</f>
        <v>0.56134000000000006</v>
      </c>
      <c r="CB468" s="4">
        <f>Base[[#This Row],[Prévalence_prod]]*(1-Base[[#This Row],[Risque]])*Base[[#This Row],[Présentéisme]]*Base[[#This Row],['[Prod']Jours_ouvrés]]</f>
        <v>0.46051931714916555</v>
      </c>
      <c r="CC468" s="4">
        <f>Base[[#This Row],['[Prod']'[Présentéisme']Jours_avant]]-Base[[#This Row],['[Prod']'[Présentéisme']Jours_après]]</f>
        <v>0.10082068285083451</v>
      </c>
      <c r="CD468" s="4">
        <f>Base[[#This Row],['[Prod']'[Présentéisme']Jours_gagnés]]/Base[[#This Row],['[Prod']Jours_ouvrés]]</f>
        <v>3.9693182224737994E-4</v>
      </c>
      <c r="CE468">
        <v>9.3428413505841454E-2</v>
      </c>
      <c r="CF468">
        <v>2.1038737314955848E-2</v>
      </c>
      <c r="CG468" s="4">
        <v>11</v>
      </c>
      <c r="CH468" s="4">
        <v>0.68054183762612652</v>
      </c>
      <c r="CI468" s="4">
        <v>1.2135452577082654E-2</v>
      </c>
      <c r="CJ468" s="4">
        <f>IF(Base[[#This Row],[Secteur]]&lt;&gt;"Moyenne",Base[[#This Row],['[Prod']'[Turnover']DMC_initiale]]*(1+Base[[#This Row],['[Prod']'[Turnover']Ecart_accidents]]*Base[[#This Row],['[Prod']Impact_motifs_turnover]]),CJ451*CI451+CJ452*CI452+CJ453*CI453+CJ454*CI454+CJ455*CI455+CJ456*CI456+CJ457*CI457+CJ458*CI458+CJ459*CI459+CJ460*CI460+CJ461*CI461+CJ462*CI462+CJ463*CI463+CJ464*CI464+CJ465*CI465+CJ466*CI466+CJ467*CI467)</f>
        <v>11.157495150490188</v>
      </c>
      <c r="CK468" s="4">
        <f>1/Base[[#This Row],['[Prod']'[Turnover']DMC_initiale]]</f>
        <v>9.0909090909090912E-2</v>
      </c>
      <c r="CL468" s="4">
        <f>1/Base[[#This Row],['[Prod']'[Turnover']DMC_finale]]</f>
        <v>8.9625851189015879E-2</v>
      </c>
    </row>
    <row r="469" spans="2:90" x14ac:dyDescent="0.25">
      <c r="B469" s="4" t="s">
        <v>317</v>
      </c>
      <c r="C469">
        <v>30</v>
      </c>
      <c r="D469" t="s">
        <v>85</v>
      </c>
      <c r="E469" t="s">
        <v>3</v>
      </c>
      <c r="F469" s="3">
        <v>0.17960715938795463</v>
      </c>
      <c r="G469" s="3">
        <v>2.5999999999999999E-2</v>
      </c>
      <c r="H469" s="3">
        <v>2.5999999999999999E-2</v>
      </c>
      <c r="I469" s="3">
        <v>8.5000000000000006E-2</v>
      </c>
      <c r="J469" s="3">
        <v>24.289173334126499</v>
      </c>
      <c r="K469" s="3">
        <v>7.0000000000000007E-2</v>
      </c>
      <c r="L469" s="2">
        <f>Base[[#This Row],[Coût]]*Base[[#This Row],[Part_ménages_dépenses_santé]]</f>
        <v>1.7002421333888551</v>
      </c>
      <c r="M469" s="2">
        <v>0.99784170771638514</v>
      </c>
      <c r="N469" s="6">
        <v>27700000</v>
      </c>
      <c r="O469" s="7">
        <f>Base[[#This Row],[Coût_salarié]]*10^9*Base[[#This Row],[Risque]]*Base[[#This Row],[Prévalence]]*Base[[#This Row],[Part_coûts_salarié]]/Base[[#This Row],[Population_emploi]]</f>
        <v>0.28601555299296749</v>
      </c>
      <c r="P469">
        <v>50</v>
      </c>
      <c r="Q469">
        <v>50</v>
      </c>
      <c r="R469" s="2">
        <v>9.9999999999999978E-2</v>
      </c>
      <c r="S469" s="2">
        <v>0.33340000000000003</v>
      </c>
      <c r="T469" s="4">
        <v>2.5999999999999999E-2</v>
      </c>
      <c r="U469" s="4">
        <f>IF(Bases_annexes!$F$5=0,16.6587111018772,0.77*Bases_annexes!$F$5/(IF(OR(ISBLANK('Données_d''entrée'!$E$44),'Données_d''entrée'!$E$44=0),35,'Données_d''entrée'!$E$44)*52))</f>
        <v>16.658711101877199</v>
      </c>
      <c r="V469" s="4">
        <v>22.173118639135399</v>
      </c>
      <c r="W4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69" s="4">
        <v>234.5</v>
      </c>
      <c r="Y469" s="4">
        <f>(Base[[#This Row],['[Maladies']Coûts_évités_par_salarié]]+Base[[#This Row],['[Travail']Coûts_évités_par_salarié]])/Base[[#This Row],[Budget_santé_salarié]]</f>
        <v>1.26385053586783E-2</v>
      </c>
      <c r="Z469" s="4">
        <v>0.8</v>
      </c>
      <c r="AA469" s="4">
        <f>Base[[#This Row],[Coût]]*Base[[#This Row],[Part_société_dépenses_santé]]</f>
        <v>19.431338667301201</v>
      </c>
      <c r="AB469" s="4">
        <v>67635124</v>
      </c>
      <c r="AC469" s="4">
        <v>82.297079063317852</v>
      </c>
      <c r="AD469" s="4">
        <v>2.5999999999999999E-2</v>
      </c>
      <c r="AE469" s="4">
        <f>Base[[#This Row],['[SC']Prévalence_travail]]*Base[[#This Row],[Population_emploi]]</f>
        <v>720200</v>
      </c>
      <c r="AF469" s="4">
        <f>Base[[#This Row],[Risque]]*Base[[#This Row],['[SC']Patients_en_emploi]]</f>
        <v>129353.07619120492</v>
      </c>
      <c r="AG469" s="4">
        <v>1257615774.8399999</v>
      </c>
      <c r="AH469" s="4">
        <f>IFERROR(Base[[#This Row],['[SC']Prestations]]/Base[[#This Row],['[SC']Patients_en_emploi]],0)</f>
        <v>1746.203519633435</v>
      </c>
      <c r="AI469" s="4">
        <v>51.7</v>
      </c>
      <c r="AJ4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69" s="4">
        <f>Base[[#This Row],['[SC']'[Travail']Coûts_évités]]/Base[[#This Row],[Population_emploi]]</f>
        <v>8.1543970007398521</v>
      </c>
      <c r="AL469" s="4">
        <f>Base[[#This Row],[Coût_société]]*10^9*Base[[#This Row],[Risque]]*Base[[#This Row],[Prévalence]]*Base[[#This Row],[Part_coûts_salarié]]/Base[[#This Row],[Population_emploi]]</f>
        <v>3.2687491770624852</v>
      </c>
      <c r="AM469" s="4">
        <f>IF(Base[[#This Row],[Pathologie]]&lt;&gt;"Dépendance",0,14909.24243952)</f>
        <v>0</v>
      </c>
      <c r="AN469" s="4">
        <f>IF(Base[[#This Row],[Pathologie]]&lt;&gt;"Dépendance",0,1316000)</f>
        <v>0</v>
      </c>
      <c r="AO469" s="4">
        <f>IF(Base[[#This Row],[Pathologie]]&lt;&gt;"Dépendance",0,Base[[#This Row],['[SC']Coût_personne_dépendante]]*Base[[#This Row],['[SC']Nb_personnes_dépendantes]])</f>
        <v>0</v>
      </c>
      <c r="AP469" s="4">
        <f>IF(Base[[#This Row],[Pathologie]]&lt;&gt;"Dépendance",0,Base[[#This Row],['[SC']Coût_total_dépendance]]/Base[[#This Row],[Population_totale]])</f>
        <v>0</v>
      </c>
      <c r="AQ469" s="4">
        <f>IF(Base[[#This Row],[Pathologie]]&lt;&gt;"Dépendance",0,4.5)</f>
        <v>0</v>
      </c>
      <c r="AR469" s="4">
        <v>1.0077957276768601</v>
      </c>
      <c r="AS469" s="4">
        <f>Base[[#This Row],[Espérance_vie]]+Base[[#This Row],['[SC']Hausse_esp_de_vie]]-Base[[#This Row],['[SC']Durée_moyenne_dépendance_avt]]+Base[[#This Row],[Risque]]</f>
        <v>83.484481950382673</v>
      </c>
      <c r="AT4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69" s="4">
        <v>62.9</v>
      </c>
      <c r="AW469" s="4">
        <f t="shared" si="12"/>
        <v>336905600000</v>
      </c>
      <c r="AX469" s="4">
        <v>15049171</v>
      </c>
      <c r="AY469" s="4">
        <f>Base[[#This Row],['[SC']Budget_total_retraites]]/Base[[#This Row],['[SC']Nombre_de_retraités]]</f>
        <v>22386.987296509556</v>
      </c>
      <c r="AZ469" s="4">
        <f>Base[[#This Row],['[SC']Budget_par_retraité]]*Base[[#This Row],['[SC']Nb_personnes_dépendantes]]</f>
        <v>0</v>
      </c>
      <c r="BA469" s="4">
        <f>Base[[#This Row],['[SC']'[Dépendance']Coût_retraite_personnes_dépendantes]]/Base[[#This Row],[Population_totale]]</f>
        <v>0</v>
      </c>
      <c r="BB4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69" s="4">
        <f>Base[[#This Row],['[SC']'[Dépendance']Gains]]-Base[[#This Row],['[SC']'[Dépendance']Coûts]]</f>
        <v>0</v>
      </c>
      <c r="BD469" s="4">
        <f>IF(Base[[#This Row],[Pathologie]]&lt;&gt;"Mort prématurée",0,Base[[#This Row],[Risque]]*Base[[#This Row],[Prévalence]]*Base[[#This Row],[Population_totale]])</f>
        <v>0</v>
      </c>
      <c r="BE469" s="4">
        <v>52.74</v>
      </c>
      <c r="BF469" s="4">
        <f>Base[[#This Row],['[SC']Âge_moyen_retraite]]-Base[[#This Row],['[SC']'[Mort_prématurée']Âge_moyen_mort précoce]]</f>
        <v>10.159999999999997</v>
      </c>
      <c r="BG469" s="4">
        <f>Base[[#This Row],[Espérance_vie]]+Base[[#This Row],['[SC']Hausse_esp_de_vie]]-Base[[#This Row],['[SC']Âge_moyen_retraite]]</f>
        <v>20.404874790994718</v>
      </c>
      <c r="BH469" s="4">
        <v>106583.42676924677</v>
      </c>
      <c r="BI469" s="4">
        <v>97601.789429271477</v>
      </c>
      <c r="BJ469" s="4">
        <v>302038.31496633729</v>
      </c>
      <c r="BK469" s="4">
        <v>117293.58934859755</v>
      </c>
      <c r="BL469" s="4">
        <v>1523999.9999999995</v>
      </c>
      <c r="BM4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69" s="4">
        <v>294804.96027377353</v>
      </c>
      <c r="BO4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69" s="4">
        <f>(Base[[#This Row],['[SC']'[Mort_prématurée']Gains]]-Base[[#This Row],['[SC']'[Mort_prématurée']Coûts]])/Base[[#This Row],[Population_totale]]</f>
        <v>0</v>
      </c>
      <c r="BQ469" s="4">
        <f>IF(Base[[#This Row],[Pathologie]]&lt;&gt;"Mort prématurée",0,Base[[#This Row],[Risque]])</f>
        <v>0</v>
      </c>
      <c r="BR469" s="4">
        <v>2680</v>
      </c>
      <c r="BS4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69" s="4">
        <f>Base[[#This Row],[Prévalence_prod]]*(1-Base[[#This Row],[Risque]])*Base[[#This Row],[Durée_arrêt]]*Base[[#This Row],[Population_emploi]]</f>
        <v>13100918.939180605</v>
      </c>
      <c r="BV469" s="4">
        <f>Base[[#This Row],['[Prod']'[Absentéisme']Total_jours_absence_avant]]-Base[[#This Row],['[Prod']'[Absentéisme']Total_jours_absence_après]]</f>
        <v>2868161.1047247089</v>
      </c>
      <c r="BW469" s="4">
        <f>IF(AND(Base[[#This Row],[Pathologie]]&lt;&gt;"Dépendance",Base[[#This Row],[Pathologie]]&lt;&gt;"Mort prématurée",Base[[#This Row],[Pathologie]]&lt;&gt;"Migraine"),0.0619,0)</f>
        <v>6.1899999999999997E-2</v>
      </c>
      <c r="BX469" s="4">
        <v>254</v>
      </c>
      <c r="BY469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69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69" s="4">
        <f>Base[[#This Row],[Prévalence_prod]]*Base[[#This Row],[Présentéisme]]*Base[[#This Row],['[Prod']Jours_ouvrés]]</f>
        <v>0.56134000000000006</v>
      </c>
      <c r="CB469" s="4">
        <f>Base[[#This Row],[Prévalence_prod]]*(1-Base[[#This Row],[Risque]])*Base[[#This Row],[Présentéisme]]*Base[[#This Row],['[Prod']Jours_ouvrés]]</f>
        <v>0.46051931714916555</v>
      </c>
      <c r="CC469" s="4">
        <f>Base[[#This Row],['[Prod']'[Présentéisme']Jours_avant]]-Base[[#This Row],['[Prod']'[Présentéisme']Jours_après]]</f>
        <v>0.10082068285083451</v>
      </c>
      <c r="CD469" s="4">
        <f>Base[[#This Row],['[Prod']'[Présentéisme']Jours_gagnés]]/Base[[#This Row],['[Prod']Jours_ouvrés]]</f>
        <v>3.9693182224737994E-4</v>
      </c>
      <c r="CE469">
        <v>9.3428413505841454E-2</v>
      </c>
      <c r="CF469">
        <v>2.1038737314955848E-2</v>
      </c>
      <c r="CG469" s="4">
        <v>11</v>
      </c>
      <c r="CH469" s="4">
        <v>0.31563677172153043</v>
      </c>
      <c r="CI469" s="4">
        <v>1.3003350630813707E-4</v>
      </c>
      <c r="CJ469" s="4">
        <f>IF(Base[[#This Row],[Secteur]]&lt;&gt;"Moyenne",Base[[#This Row],['[Prod']'[Turnover']DMC_initiale]]*(1+Base[[#This Row],['[Prod']'[Turnover']Ecart_accidents]]*Base[[#This Row],['[Prod']Impact_motifs_turnover]]),CJ452*CI452+CJ453*CI453+CJ454*CI454+CJ455*CI455+CJ456*CI456+CJ457*CI457+CJ458*CI458+CJ459*CI459+CJ460*CI460+CJ461*CI461+CJ462*CI462+CJ463*CI463+CJ464*CI464+CJ465*CI465+CJ466*CI466+CJ467*CI467+CJ468*CI468)</f>
        <v>11.073046590399091</v>
      </c>
      <c r="CK469" s="4">
        <f>1/Base[[#This Row],['[Prod']'[Turnover']DMC_initiale]]</f>
        <v>9.0909090909090912E-2</v>
      </c>
      <c r="CL469" s="4">
        <f>1/Base[[#This Row],['[Prod']'[Turnover']DMC_finale]]</f>
        <v>9.030938250246795E-2</v>
      </c>
    </row>
    <row r="470" spans="2:90" x14ac:dyDescent="0.25">
      <c r="B470" s="4" t="s">
        <v>318</v>
      </c>
      <c r="C470">
        <v>30</v>
      </c>
      <c r="D470" t="s">
        <v>85</v>
      </c>
      <c r="E470" t="s">
        <v>3</v>
      </c>
      <c r="F470" s="3">
        <v>0.17960715938795463</v>
      </c>
      <c r="G470" s="3">
        <v>2.5999999999999999E-2</v>
      </c>
      <c r="H470" s="3">
        <v>2.5999999999999999E-2</v>
      </c>
      <c r="I470" s="3">
        <v>8.5000000000000006E-2</v>
      </c>
      <c r="J470" s="3">
        <v>24.289173334126499</v>
      </c>
      <c r="K470" s="3">
        <v>7.0000000000000007E-2</v>
      </c>
      <c r="L470" s="2">
        <f>Base[[#This Row],[Coût]]*Base[[#This Row],[Part_ménages_dépenses_santé]]</f>
        <v>1.7002421333888551</v>
      </c>
      <c r="M470" s="2">
        <v>0.99784170771638514</v>
      </c>
      <c r="N470" s="6">
        <v>27700000</v>
      </c>
      <c r="O470" s="7">
        <f>Base[[#This Row],[Coût_salarié]]*10^9*Base[[#This Row],[Risque]]*Base[[#This Row],[Prévalence]]*Base[[#This Row],[Part_coûts_salarié]]/Base[[#This Row],[Population_emploi]]</f>
        <v>0.28601555299296749</v>
      </c>
      <c r="P470">
        <v>50</v>
      </c>
      <c r="Q470">
        <v>50</v>
      </c>
      <c r="R470" s="2">
        <v>9.9999999999999978E-2</v>
      </c>
      <c r="S470" s="2">
        <v>0.33340000000000003</v>
      </c>
      <c r="T470" s="4">
        <v>2.5999999999999999E-2</v>
      </c>
      <c r="U470" s="4">
        <f>IF(Bases_annexes!$F$5=0,16.6587111018772,0.77*Bases_annexes!$F$5/(IF(OR(ISBLANK('Données_d''entrée'!$E$44),'Données_d''entrée'!$E$44=0),35,'Données_d''entrée'!$E$44)*52))</f>
        <v>16.658711101877199</v>
      </c>
      <c r="V470" s="4">
        <v>22.173118639135399</v>
      </c>
      <c r="W4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0" s="4">
        <v>234.5</v>
      </c>
      <c r="Y470" s="4">
        <f>(Base[[#This Row],['[Maladies']Coûts_évités_par_salarié]]+Base[[#This Row],['[Travail']Coûts_évités_par_salarié]])/Base[[#This Row],[Budget_santé_salarié]]</f>
        <v>1.26385053586783E-2</v>
      </c>
      <c r="Z470" s="4">
        <v>0.8</v>
      </c>
      <c r="AA470" s="4">
        <f>Base[[#This Row],[Coût]]*Base[[#This Row],[Part_société_dépenses_santé]]</f>
        <v>19.431338667301201</v>
      </c>
      <c r="AB470" s="4">
        <v>67635124</v>
      </c>
      <c r="AC470" s="4">
        <v>82.297079063317852</v>
      </c>
      <c r="AD470" s="4">
        <v>2.5999999999999999E-2</v>
      </c>
      <c r="AE470" s="4">
        <f>Base[[#This Row],['[SC']Prévalence_travail]]*Base[[#This Row],[Population_emploi]]</f>
        <v>720200</v>
      </c>
      <c r="AF470" s="4">
        <f>Base[[#This Row],[Risque]]*Base[[#This Row],['[SC']Patients_en_emploi]]</f>
        <v>129353.07619120492</v>
      </c>
      <c r="AG470" s="4">
        <v>1257615774.8399999</v>
      </c>
      <c r="AH470" s="4">
        <f>IFERROR(Base[[#This Row],['[SC']Prestations]]/Base[[#This Row],['[SC']Patients_en_emploi]],0)</f>
        <v>1746.203519633435</v>
      </c>
      <c r="AI470" s="4">
        <v>51.7</v>
      </c>
      <c r="AJ4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0" s="4">
        <f>Base[[#This Row],['[SC']'[Travail']Coûts_évités]]/Base[[#This Row],[Population_emploi]]</f>
        <v>8.1543970007398521</v>
      </c>
      <c r="AL470" s="4">
        <f>Base[[#This Row],[Coût_société]]*10^9*Base[[#This Row],[Risque]]*Base[[#This Row],[Prévalence]]*Base[[#This Row],[Part_coûts_salarié]]/Base[[#This Row],[Population_emploi]]</f>
        <v>3.2687491770624852</v>
      </c>
      <c r="AM470" s="4">
        <f>IF(Base[[#This Row],[Pathologie]]&lt;&gt;"Dépendance",0,14909.24243952)</f>
        <v>0</v>
      </c>
      <c r="AN470" s="4">
        <f>IF(Base[[#This Row],[Pathologie]]&lt;&gt;"Dépendance",0,1316000)</f>
        <v>0</v>
      </c>
      <c r="AO470" s="4">
        <f>IF(Base[[#This Row],[Pathologie]]&lt;&gt;"Dépendance",0,Base[[#This Row],['[SC']Coût_personne_dépendante]]*Base[[#This Row],['[SC']Nb_personnes_dépendantes]])</f>
        <v>0</v>
      </c>
      <c r="AP470" s="4">
        <f>IF(Base[[#This Row],[Pathologie]]&lt;&gt;"Dépendance",0,Base[[#This Row],['[SC']Coût_total_dépendance]]/Base[[#This Row],[Population_totale]])</f>
        <v>0</v>
      </c>
      <c r="AQ470" s="4">
        <f>IF(Base[[#This Row],[Pathologie]]&lt;&gt;"Dépendance",0,4.5)</f>
        <v>0</v>
      </c>
      <c r="AR470" s="4">
        <v>1.0077957276768601</v>
      </c>
      <c r="AS470" s="4">
        <f>Base[[#This Row],[Espérance_vie]]+Base[[#This Row],['[SC']Hausse_esp_de_vie]]-Base[[#This Row],['[SC']Durée_moyenne_dépendance_avt]]+Base[[#This Row],[Risque]]</f>
        <v>83.484481950382673</v>
      </c>
      <c r="AT4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0" s="4">
        <v>62.9</v>
      </c>
      <c r="AW470" s="4">
        <f t="shared" si="12"/>
        <v>336905600000</v>
      </c>
      <c r="AX470" s="4">
        <v>15049171</v>
      </c>
      <c r="AY470" s="4">
        <f>Base[[#This Row],['[SC']Budget_total_retraites]]/Base[[#This Row],['[SC']Nombre_de_retraités]]</f>
        <v>22386.987296509556</v>
      </c>
      <c r="AZ470" s="4">
        <f>Base[[#This Row],['[SC']Budget_par_retraité]]*Base[[#This Row],['[SC']Nb_personnes_dépendantes]]</f>
        <v>0</v>
      </c>
      <c r="BA470" s="4">
        <f>Base[[#This Row],['[SC']'[Dépendance']Coût_retraite_personnes_dépendantes]]/Base[[#This Row],[Population_totale]]</f>
        <v>0</v>
      </c>
      <c r="BB4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0" s="4">
        <f>Base[[#This Row],['[SC']'[Dépendance']Gains]]-Base[[#This Row],['[SC']'[Dépendance']Coûts]]</f>
        <v>0</v>
      </c>
      <c r="BD470" s="4">
        <f>IF(Base[[#This Row],[Pathologie]]&lt;&gt;"Mort prématurée",0,Base[[#This Row],[Risque]]*Base[[#This Row],[Prévalence]]*Base[[#This Row],[Population_totale]])</f>
        <v>0</v>
      </c>
      <c r="BE470" s="4">
        <v>52.74</v>
      </c>
      <c r="BF470" s="4">
        <f>Base[[#This Row],['[SC']Âge_moyen_retraite]]-Base[[#This Row],['[SC']'[Mort_prématurée']Âge_moyen_mort précoce]]</f>
        <v>10.159999999999997</v>
      </c>
      <c r="BG470" s="4">
        <f>Base[[#This Row],[Espérance_vie]]+Base[[#This Row],['[SC']Hausse_esp_de_vie]]-Base[[#This Row],['[SC']Âge_moyen_retraite]]</f>
        <v>20.404874790994718</v>
      </c>
      <c r="BH470" s="4">
        <v>106583.42676924677</v>
      </c>
      <c r="BI470" s="4">
        <v>97601.789429271477</v>
      </c>
      <c r="BJ470" s="4">
        <v>302038.31496633729</v>
      </c>
      <c r="BK470" s="4">
        <v>117293.58934859755</v>
      </c>
      <c r="BL470" s="4">
        <v>1523999.9999999995</v>
      </c>
      <c r="BM4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0" s="4">
        <v>294804.96027377353</v>
      </c>
      <c r="BO4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0" s="4">
        <f>(Base[[#This Row],['[SC']'[Mort_prématurée']Gains]]-Base[[#This Row],['[SC']'[Mort_prématurée']Coûts]])/Base[[#This Row],[Population_totale]]</f>
        <v>0</v>
      </c>
      <c r="BQ470" s="4">
        <f>IF(Base[[#This Row],[Pathologie]]&lt;&gt;"Mort prématurée",0,Base[[#This Row],[Risque]])</f>
        <v>0</v>
      </c>
      <c r="BR470" s="4">
        <v>2680</v>
      </c>
      <c r="BS4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0" s="4">
        <f>Base[[#This Row],[Prévalence_prod]]*(1-Base[[#This Row],[Risque]])*Base[[#This Row],[Durée_arrêt]]*Base[[#This Row],[Population_emploi]]</f>
        <v>13100918.939180605</v>
      </c>
      <c r="BV470" s="4">
        <f>Base[[#This Row],['[Prod']'[Absentéisme']Total_jours_absence_avant]]-Base[[#This Row],['[Prod']'[Absentéisme']Total_jours_absence_après]]</f>
        <v>2868161.1047247089</v>
      </c>
      <c r="BW470" s="4">
        <f>IF(AND(Base[[#This Row],[Pathologie]]&lt;&gt;"Dépendance",Base[[#This Row],[Pathologie]]&lt;&gt;"Mort prématurée",Base[[#This Row],[Pathologie]]&lt;&gt;"Migraine"),0.0619,0)</f>
        <v>6.1899999999999997E-2</v>
      </c>
      <c r="BX470" s="4">
        <v>254</v>
      </c>
      <c r="BY470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0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0" s="4">
        <f>Base[[#This Row],[Prévalence_prod]]*Base[[#This Row],[Présentéisme]]*Base[[#This Row],['[Prod']Jours_ouvrés]]</f>
        <v>0.56134000000000006</v>
      </c>
      <c r="CB470" s="4">
        <f>Base[[#This Row],[Prévalence_prod]]*(1-Base[[#This Row],[Risque]])*Base[[#This Row],[Présentéisme]]*Base[[#This Row],['[Prod']Jours_ouvrés]]</f>
        <v>0.46051931714916555</v>
      </c>
      <c r="CC470" s="4">
        <f>Base[[#This Row],['[Prod']'[Présentéisme']Jours_avant]]-Base[[#This Row],['[Prod']'[Présentéisme']Jours_après]]</f>
        <v>0.10082068285083451</v>
      </c>
      <c r="CD470" s="4">
        <f>Base[[#This Row],['[Prod']'[Présentéisme']Jours_gagnés]]/Base[[#This Row],['[Prod']Jours_ouvrés]]</f>
        <v>3.9693182224737994E-4</v>
      </c>
      <c r="CE470">
        <v>9.3428413505841454E-2</v>
      </c>
      <c r="CF470">
        <v>2.1038737314955848E-2</v>
      </c>
      <c r="CG470" s="4">
        <v>11</v>
      </c>
      <c r="CH470" s="4">
        <v>1.1688035738877327</v>
      </c>
      <c r="CI470" s="4">
        <v>9.6557438521367826E-3</v>
      </c>
      <c r="CJ470" s="4">
        <f>IF(Base[[#This Row],[Secteur]]&lt;&gt;"Moyenne",Base[[#This Row],['[Prod']'[Turnover']DMC_initiale]]*(1+Base[[#This Row],['[Prod']'[Turnover']Ecart_accidents]]*Base[[#This Row],['[Prod']Impact_motifs_turnover]]),CJ453*CI453+CJ454*CI454+CJ455*CI455+CJ456*CI456+CJ457*CI457+CJ458*CI458+CJ459*CI459+CJ460*CI460+CJ461*CI461+CJ462*CI462+CJ463*CI463+CJ464*CI464+CJ465*CI465+CJ466*CI466+CJ467*CI467+CJ468*CI468+CJ469*CI469)</f>
        <v>11.270491665001861</v>
      </c>
      <c r="CK470" s="4">
        <f>1/Base[[#This Row],['[Prod']'[Turnover']DMC_initiale]]</f>
        <v>9.0909090909090912E-2</v>
      </c>
      <c r="CL470" s="4">
        <f>1/Base[[#This Row],['[Prod']'[Turnover']DMC_finale]]</f>
        <v>8.8727273815861069E-2</v>
      </c>
    </row>
    <row r="471" spans="2:90" x14ac:dyDescent="0.25">
      <c r="B471" s="4" t="s">
        <v>319</v>
      </c>
      <c r="C471">
        <v>30</v>
      </c>
      <c r="D471" t="s">
        <v>85</v>
      </c>
      <c r="E471" t="s">
        <v>3</v>
      </c>
      <c r="F471" s="3">
        <v>0.17960715938795463</v>
      </c>
      <c r="G471" s="3">
        <v>2.5999999999999999E-2</v>
      </c>
      <c r="H471" s="3">
        <v>2.5999999999999999E-2</v>
      </c>
      <c r="I471" s="3">
        <v>8.5000000000000006E-2</v>
      </c>
      <c r="J471" s="3">
        <v>24.289173334126499</v>
      </c>
      <c r="K471" s="3">
        <v>7.0000000000000007E-2</v>
      </c>
      <c r="L471" s="2">
        <f>Base[[#This Row],[Coût]]*Base[[#This Row],[Part_ménages_dépenses_santé]]</f>
        <v>1.7002421333888551</v>
      </c>
      <c r="M471" s="2">
        <v>0.99784170771638514</v>
      </c>
      <c r="N471" s="6">
        <v>27700000</v>
      </c>
      <c r="O471" s="7">
        <f>Base[[#This Row],[Coût_salarié]]*10^9*Base[[#This Row],[Risque]]*Base[[#This Row],[Prévalence]]*Base[[#This Row],[Part_coûts_salarié]]/Base[[#This Row],[Population_emploi]]</f>
        <v>0.28601555299296749</v>
      </c>
      <c r="P471">
        <v>50</v>
      </c>
      <c r="Q471">
        <v>50</v>
      </c>
      <c r="R471" s="2">
        <v>9.9999999999999978E-2</v>
      </c>
      <c r="S471" s="2">
        <v>0.33340000000000003</v>
      </c>
      <c r="T471" s="4">
        <v>2.5999999999999999E-2</v>
      </c>
      <c r="U471" s="4">
        <f>IF(Bases_annexes!$F$5=0,16.6587111018772,0.77*Bases_annexes!$F$5/(IF(OR(ISBLANK('Données_d''entrée'!$E$44),'Données_d''entrée'!$E$44=0),35,'Données_d''entrée'!$E$44)*52))</f>
        <v>16.658711101877199</v>
      </c>
      <c r="V471" s="4">
        <v>22.173118639135399</v>
      </c>
      <c r="W4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1" s="4">
        <v>234.5</v>
      </c>
      <c r="Y471" s="4">
        <f>(Base[[#This Row],['[Maladies']Coûts_évités_par_salarié]]+Base[[#This Row],['[Travail']Coûts_évités_par_salarié]])/Base[[#This Row],[Budget_santé_salarié]]</f>
        <v>1.26385053586783E-2</v>
      </c>
      <c r="Z471" s="4">
        <v>0.8</v>
      </c>
      <c r="AA471" s="4">
        <f>Base[[#This Row],[Coût]]*Base[[#This Row],[Part_société_dépenses_santé]]</f>
        <v>19.431338667301201</v>
      </c>
      <c r="AB471" s="4">
        <v>67635124</v>
      </c>
      <c r="AC471" s="4">
        <v>82.297079063317852</v>
      </c>
      <c r="AD471" s="4">
        <v>2.5999999999999999E-2</v>
      </c>
      <c r="AE471" s="4">
        <f>Base[[#This Row],['[SC']Prévalence_travail]]*Base[[#This Row],[Population_emploi]]</f>
        <v>720200</v>
      </c>
      <c r="AF471" s="4">
        <f>Base[[#This Row],[Risque]]*Base[[#This Row],['[SC']Patients_en_emploi]]</f>
        <v>129353.07619120492</v>
      </c>
      <c r="AG471" s="4">
        <v>1257615774.8399999</v>
      </c>
      <c r="AH471" s="4">
        <f>IFERROR(Base[[#This Row],['[SC']Prestations]]/Base[[#This Row],['[SC']Patients_en_emploi]],0)</f>
        <v>1746.203519633435</v>
      </c>
      <c r="AI471" s="4">
        <v>51.7</v>
      </c>
      <c r="AJ4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1" s="4">
        <f>Base[[#This Row],['[SC']'[Travail']Coûts_évités]]/Base[[#This Row],[Population_emploi]]</f>
        <v>8.1543970007398521</v>
      </c>
      <c r="AL471" s="4">
        <f>Base[[#This Row],[Coût_société]]*10^9*Base[[#This Row],[Risque]]*Base[[#This Row],[Prévalence]]*Base[[#This Row],[Part_coûts_salarié]]/Base[[#This Row],[Population_emploi]]</f>
        <v>3.2687491770624852</v>
      </c>
      <c r="AM471" s="4">
        <f>IF(Base[[#This Row],[Pathologie]]&lt;&gt;"Dépendance",0,14909.24243952)</f>
        <v>0</v>
      </c>
      <c r="AN471" s="4">
        <f>IF(Base[[#This Row],[Pathologie]]&lt;&gt;"Dépendance",0,1316000)</f>
        <v>0</v>
      </c>
      <c r="AO471" s="4">
        <f>IF(Base[[#This Row],[Pathologie]]&lt;&gt;"Dépendance",0,Base[[#This Row],['[SC']Coût_personne_dépendante]]*Base[[#This Row],['[SC']Nb_personnes_dépendantes]])</f>
        <v>0</v>
      </c>
      <c r="AP471" s="4">
        <f>IF(Base[[#This Row],[Pathologie]]&lt;&gt;"Dépendance",0,Base[[#This Row],['[SC']Coût_total_dépendance]]/Base[[#This Row],[Population_totale]])</f>
        <v>0</v>
      </c>
      <c r="AQ471" s="4">
        <f>IF(Base[[#This Row],[Pathologie]]&lt;&gt;"Dépendance",0,4.5)</f>
        <v>0</v>
      </c>
      <c r="AR471" s="4">
        <v>1.0077957276768601</v>
      </c>
      <c r="AS471" s="4">
        <f>Base[[#This Row],[Espérance_vie]]+Base[[#This Row],['[SC']Hausse_esp_de_vie]]-Base[[#This Row],['[SC']Durée_moyenne_dépendance_avt]]+Base[[#This Row],[Risque]]</f>
        <v>83.484481950382673</v>
      </c>
      <c r="AT4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1" s="4">
        <v>62.9</v>
      </c>
      <c r="AW471" s="4">
        <f t="shared" si="12"/>
        <v>336905600000</v>
      </c>
      <c r="AX471" s="4">
        <v>15049171</v>
      </c>
      <c r="AY471" s="4">
        <f>Base[[#This Row],['[SC']Budget_total_retraites]]/Base[[#This Row],['[SC']Nombre_de_retraités]]</f>
        <v>22386.987296509556</v>
      </c>
      <c r="AZ471" s="4">
        <f>Base[[#This Row],['[SC']Budget_par_retraité]]*Base[[#This Row],['[SC']Nb_personnes_dépendantes]]</f>
        <v>0</v>
      </c>
      <c r="BA471" s="4">
        <f>Base[[#This Row],['[SC']'[Dépendance']Coût_retraite_personnes_dépendantes]]/Base[[#This Row],[Population_totale]]</f>
        <v>0</v>
      </c>
      <c r="BB4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1" s="4">
        <f>Base[[#This Row],['[SC']'[Dépendance']Gains]]-Base[[#This Row],['[SC']'[Dépendance']Coûts]]</f>
        <v>0</v>
      </c>
      <c r="BD471" s="4">
        <f>IF(Base[[#This Row],[Pathologie]]&lt;&gt;"Mort prématurée",0,Base[[#This Row],[Risque]]*Base[[#This Row],[Prévalence]]*Base[[#This Row],[Population_totale]])</f>
        <v>0</v>
      </c>
      <c r="BE471" s="4">
        <v>52.74</v>
      </c>
      <c r="BF471" s="4">
        <f>Base[[#This Row],['[SC']Âge_moyen_retraite]]-Base[[#This Row],['[SC']'[Mort_prématurée']Âge_moyen_mort précoce]]</f>
        <v>10.159999999999997</v>
      </c>
      <c r="BG471" s="4">
        <f>Base[[#This Row],[Espérance_vie]]+Base[[#This Row],['[SC']Hausse_esp_de_vie]]-Base[[#This Row],['[SC']Âge_moyen_retraite]]</f>
        <v>20.404874790994718</v>
      </c>
      <c r="BH471" s="4">
        <v>106583.42676924677</v>
      </c>
      <c r="BI471" s="4">
        <v>97601.789429271477</v>
      </c>
      <c r="BJ471" s="4">
        <v>302038.31496633729</v>
      </c>
      <c r="BK471" s="4">
        <v>117293.58934859755</v>
      </c>
      <c r="BL471" s="4">
        <v>1523999.9999999995</v>
      </c>
      <c r="BM4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1" s="4">
        <v>294804.96027377353</v>
      </c>
      <c r="BO4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1" s="4">
        <f>(Base[[#This Row],['[SC']'[Mort_prématurée']Gains]]-Base[[#This Row],['[SC']'[Mort_prématurée']Coûts]])/Base[[#This Row],[Population_totale]]</f>
        <v>0</v>
      </c>
      <c r="BQ471" s="4">
        <f>IF(Base[[#This Row],[Pathologie]]&lt;&gt;"Mort prématurée",0,Base[[#This Row],[Risque]])</f>
        <v>0</v>
      </c>
      <c r="BR471" s="4">
        <v>2680</v>
      </c>
      <c r="BS4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1" s="4">
        <f>Base[[#This Row],[Prévalence_prod]]*(1-Base[[#This Row],[Risque]])*Base[[#This Row],[Durée_arrêt]]*Base[[#This Row],[Population_emploi]]</f>
        <v>13100918.939180605</v>
      </c>
      <c r="BV471" s="4">
        <f>Base[[#This Row],['[Prod']'[Absentéisme']Total_jours_absence_avant]]-Base[[#This Row],['[Prod']'[Absentéisme']Total_jours_absence_après]]</f>
        <v>2868161.1047247089</v>
      </c>
      <c r="BW471" s="4">
        <f>IF(AND(Base[[#This Row],[Pathologie]]&lt;&gt;"Dépendance",Base[[#This Row],[Pathologie]]&lt;&gt;"Mort prématurée",Base[[#This Row],[Pathologie]]&lt;&gt;"Migraine"),0.0619,0)</f>
        <v>6.1899999999999997E-2</v>
      </c>
      <c r="BX471" s="4">
        <v>254</v>
      </c>
      <c r="BY47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1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1" s="4">
        <f>Base[[#This Row],[Prévalence_prod]]*Base[[#This Row],[Présentéisme]]*Base[[#This Row],['[Prod']Jours_ouvrés]]</f>
        <v>0.56134000000000006</v>
      </c>
      <c r="CB471" s="4">
        <f>Base[[#This Row],[Prévalence_prod]]*(1-Base[[#This Row],[Risque]])*Base[[#This Row],[Présentéisme]]*Base[[#This Row],['[Prod']Jours_ouvrés]]</f>
        <v>0.46051931714916555</v>
      </c>
      <c r="CC471" s="4">
        <f>Base[[#This Row],['[Prod']'[Présentéisme']Jours_avant]]-Base[[#This Row],['[Prod']'[Présentéisme']Jours_après]]</f>
        <v>0.10082068285083451</v>
      </c>
      <c r="CD471" s="4">
        <f>Base[[#This Row],['[Prod']'[Présentéisme']Jours_gagnés]]/Base[[#This Row],['[Prod']Jours_ouvrés]]</f>
        <v>3.9693182224737994E-4</v>
      </c>
      <c r="CE471">
        <v>9.3428413505841454E-2</v>
      </c>
      <c r="CF471">
        <v>2.1038737314955848E-2</v>
      </c>
      <c r="CG471" s="4">
        <v>11</v>
      </c>
      <c r="CH471" s="4">
        <v>0.52204401140486179</v>
      </c>
      <c r="CI471" s="4">
        <v>1.2443904150185675E-2</v>
      </c>
      <c r="CJ471" s="4">
        <f>IF(Base[[#This Row],[Secteur]]&lt;&gt;"Moyenne",Base[[#This Row],['[Prod']'[Turnover']DMC_initiale]]*(1+Base[[#This Row],['[Prod']'[Turnover']Ecart_accidents]]*Base[[#This Row],['[Prod']Impact_motifs_turnover]]),CJ454*CI454+CJ455*CI455+CJ456*CI456+CJ457*CI457+CJ458*CI458+CJ459*CI459+CJ460*CI460+CJ461*CI461+CJ462*CI462+CJ463*CI463+CJ464*CI464+CJ465*CI465+CJ466*CI466+CJ467*CI467+CJ468*CI468+CJ469*CI469+CJ470*CI470)</f>
        <v>11.120814615050721</v>
      </c>
      <c r="CK471" s="4">
        <f>1/Base[[#This Row],['[Prod']'[Turnover']DMC_initiale]]</f>
        <v>9.0909090909090912E-2</v>
      </c>
      <c r="CL471" s="4">
        <f>1/Base[[#This Row],['[Prod']'[Turnover']DMC_finale]]</f>
        <v>8.9921470199369843E-2</v>
      </c>
    </row>
    <row r="472" spans="2:90" x14ac:dyDescent="0.25">
      <c r="B472" s="4" t="s">
        <v>320</v>
      </c>
      <c r="C472">
        <v>30</v>
      </c>
      <c r="D472" t="s">
        <v>85</v>
      </c>
      <c r="E472" t="s">
        <v>3</v>
      </c>
      <c r="F472" s="3">
        <v>0.17960715938795463</v>
      </c>
      <c r="G472" s="3">
        <v>2.5999999999999999E-2</v>
      </c>
      <c r="H472" s="3">
        <v>2.5999999999999999E-2</v>
      </c>
      <c r="I472" s="3">
        <v>8.5000000000000006E-2</v>
      </c>
      <c r="J472" s="3">
        <v>24.289173334126499</v>
      </c>
      <c r="K472" s="3">
        <v>7.0000000000000007E-2</v>
      </c>
      <c r="L472" s="2">
        <f>Base[[#This Row],[Coût]]*Base[[#This Row],[Part_ménages_dépenses_santé]]</f>
        <v>1.7002421333888551</v>
      </c>
      <c r="M472" s="2">
        <v>0.99784170771638514</v>
      </c>
      <c r="N472" s="6">
        <v>27700000</v>
      </c>
      <c r="O472" s="7">
        <f>Base[[#This Row],[Coût_salarié]]*10^9*Base[[#This Row],[Risque]]*Base[[#This Row],[Prévalence]]*Base[[#This Row],[Part_coûts_salarié]]/Base[[#This Row],[Population_emploi]]</f>
        <v>0.28601555299296749</v>
      </c>
      <c r="P472">
        <v>50</v>
      </c>
      <c r="Q472">
        <v>50</v>
      </c>
      <c r="R472" s="2">
        <v>9.9999999999999978E-2</v>
      </c>
      <c r="S472" s="2">
        <v>0.33340000000000003</v>
      </c>
      <c r="T472" s="4">
        <v>2.5999999999999999E-2</v>
      </c>
      <c r="U472" s="4">
        <f>IF(Bases_annexes!$F$5=0,16.6587111018772,0.77*Bases_annexes!$F$5/(IF(OR(ISBLANK('Données_d''entrée'!$E$44),'Données_d''entrée'!$E$44=0),35,'Données_d''entrée'!$E$44)*52))</f>
        <v>16.658711101877199</v>
      </c>
      <c r="V472" s="4">
        <v>22.173118639135399</v>
      </c>
      <c r="W4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2" s="4">
        <v>234.5</v>
      </c>
      <c r="Y472" s="4">
        <f>(Base[[#This Row],['[Maladies']Coûts_évités_par_salarié]]+Base[[#This Row],['[Travail']Coûts_évités_par_salarié]])/Base[[#This Row],[Budget_santé_salarié]]</f>
        <v>1.26385053586783E-2</v>
      </c>
      <c r="Z472" s="4">
        <v>0.8</v>
      </c>
      <c r="AA472" s="4">
        <f>Base[[#This Row],[Coût]]*Base[[#This Row],[Part_société_dépenses_santé]]</f>
        <v>19.431338667301201</v>
      </c>
      <c r="AB472" s="4">
        <v>67635124</v>
      </c>
      <c r="AC472" s="4">
        <v>82.297079063317852</v>
      </c>
      <c r="AD472" s="4">
        <v>2.5999999999999999E-2</v>
      </c>
      <c r="AE472" s="4">
        <f>Base[[#This Row],['[SC']Prévalence_travail]]*Base[[#This Row],[Population_emploi]]</f>
        <v>720200</v>
      </c>
      <c r="AF472" s="4">
        <f>Base[[#This Row],[Risque]]*Base[[#This Row],['[SC']Patients_en_emploi]]</f>
        <v>129353.07619120492</v>
      </c>
      <c r="AG472" s="4">
        <v>1257615774.8399999</v>
      </c>
      <c r="AH472" s="4">
        <f>IFERROR(Base[[#This Row],['[SC']Prestations]]/Base[[#This Row],['[SC']Patients_en_emploi]],0)</f>
        <v>1746.203519633435</v>
      </c>
      <c r="AI472" s="4">
        <v>51.7</v>
      </c>
      <c r="AJ4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2" s="4">
        <f>Base[[#This Row],['[SC']'[Travail']Coûts_évités]]/Base[[#This Row],[Population_emploi]]</f>
        <v>8.1543970007398521</v>
      </c>
      <c r="AL472" s="4">
        <f>Base[[#This Row],[Coût_société]]*10^9*Base[[#This Row],[Risque]]*Base[[#This Row],[Prévalence]]*Base[[#This Row],[Part_coûts_salarié]]/Base[[#This Row],[Population_emploi]]</f>
        <v>3.2687491770624852</v>
      </c>
      <c r="AM472" s="4">
        <f>IF(Base[[#This Row],[Pathologie]]&lt;&gt;"Dépendance",0,14909.24243952)</f>
        <v>0</v>
      </c>
      <c r="AN472" s="4">
        <f>IF(Base[[#This Row],[Pathologie]]&lt;&gt;"Dépendance",0,1316000)</f>
        <v>0</v>
      </c>
      <c r="AO472" s="4">
        <f>IF(Base[[#This Row],[Pathologie]]&lt;&gt;"Dépendance",0,Base[[#This Row],['[SC']Coût_personne_dépendante]]*Base[[#This Row],['[SC']Nb_personnes_dépendantes]])</f>
        <v>0</v>
      </c>
      <c r="AP472" s="4">
        <f>IF(Base[[#This Row],[Pathologie]]&lt;&gt;"Dépendance",0,Base[[#This Row],['[SC']Coût_total_dépendance]]/Base[[#This Row],[Population_totale]])</f>
        <v>0</v>
      </c>
      <c r="AQ472" s="4">
        <f>IF(Base[[#This Row],[Pathologie]]&lt;&gt;"Dépendance",0,4.5)</f>
        <v>0</v>
      </c>
      <c r="AR472" s="4">
        <v>1.0077957276768601</v>
      </c>
      <c r="AS472" s="4">
        <f>Base[[#This Row],[Espérance_vie]]+Base[[#This Row],['[SC']Hausse_esp_de_vie]]-Base[[#This Row],['[SC']Durée_moyenne_dépendance_avt]]+Base[[#This Row],[Risque]]</f>
        <v>83.484481950382673</v>
      </c>
      <c r="AT4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2" s="4">
        <v>62.9</v>
      </c>
      <c r="AW472" s="4">
        <f t="shared" si="12"/>
        <v>336905600000</v>
      </c>
      <c r="AX472" s="4">
        <v>15049171</v>
      </c>
      <c r="AY472" s="4">
        <f>Base[[#This Row],['[SC']Budget_total_retraites]]/Base[[#This Row],['[SC']Nombre_de_retraités]]</f>
        <v>22386.987296509556</v>
      </c>
      <c r="AZ472" s="4">
        <f>Base[[#This Row],['[SC']Budget_par_retraité]]*Base[[#This Row],['[SC']Nb_personnes_dépendantes]]</f>
        <v>0</v>
      </c>
      <c r="BA472" s="4">
        <f>Base[[#This Row],['[SC']'[Dépendance']Coût_retraite_personnes_dépendantes]]/Base[[#This Row],[Population_totale]]</f>
        <v>0</v>
      </c>
      <c r="BB4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2" s="4">
        <f>Base[[#This Row],['[SC']'[Dépendance']Gains]]-Base[[#This Row],['[SC']'[Dépendance']Coûts]]</f>
        <v>0</v>
      </c>
      <c r="BD472" s="4">
        <f>IF(Base[[#This Row],[Pathologie]]&lt;&gt;"Mort prématurée",0,Base[[#This Row],[Risque]]*Base[[#This Row],[Prévalence]]*Base[[#This Row],[Population_totale]])</f>
        <v>0</v>
      </c>
      <c r="BE472" s="4">
        <v>52.74</v>
      </c>
      <c r="BF472" s="4">
        <f>Base[[#This Row],['[SC']Âge_moyen_retraite]]-Base[[#This Row],['[SC']'[Mort_prématurée']Âge_moyen_mort précoce]]</f>
        <v>10.159999999999997</v>
      </c>
      <c r="BG472" s="4">
        <f>Base[[#This Row],[Espérance_vie]]+Base[[#This Row],['[SC']Hausse_esp_de_vie]]-Base[[#This Row],['[SC']Âge_moyen_retraite]]</f>
        <v>20.404874790994718</v>
      </c>
      <c r="BH472" s="4">
        <v>106583.42676924677</v>
      </c>
      <c r="BI472" s="4">
        <v>97601.789429271477</v>
      </c>
      <c r="BJ472" s="4">
        <v>302038.31496633729</v>
      </c>
      <c r="BK472" s="4">
        <v>117293.58934859755</v>
      </c>
      <c r="BL472" s="4">
        <v>1523999.9999999995</v>
      </c>
      <c r="BM4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2" s="4">
        <v>294804.96027377353</v>
      </c>
      <c r="BO4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2" s="4">
        <f>(Base[[#This Row],['[SC']'[Mort_prématurée']Gains]]-Base[[#This Row],['[SC']'[Mort_prématurée']Coûts]])/Base[[#This Row],[Population_totale]]</f>
        <v>0</v>
      </c>
      <c r="BQ472" s="4">
        <f>IF(Base[[#This Row],[Pathologie]]&lt;&gt;"Mort prématurée",0,Base[[#This Row],[Risque]])</f>
        <v>0</v>
      </c>
      <c r="BR472" s="4">
        <v>2680</v>
      </c>
      <c r="BS4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2" s="4">
        <f>Base[[#This Row],[Prévalence_prod]]*(1-Base[[#This Row],[Risque]])*Base[[#This Row],[Durée_arrêt]]*Base[[#This Row],[Population_emploi]]</f>
        <v>13100918.939180605</v>
      </c>
      <c r="BV472" s="4">
        <f>Base[[#This Row],['[Prod']'[Absentéisme']Total_jours_absence_avant]]-Base[[#This Row],['[Prod']'[Absentéisme']Total_jours_absence_après]]</f>
        <v>2868161.1047247089</v>
      </c>
      <c r="BW472" s="4">
        <f>IF(AND(Base[[#This Row],[Pathologie]]&lt;&gt;"Dépendance",Base[[#This Row],[Pathologie]]&lt;&gt;"Mort prématurée",Base[[#This Row],[Pathologie]]&lt;&gt;"Migraine"),0.0619,0)</f>
        <v>6.1899999999999997E-2</v>
      </c>
      <c r="BX472" s="4">
        <v>254</v>
      </c>
      <c r="BY47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2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2" s="4">
        <f>Base[[#This Row],[Prévalence_prod]]*Base[[#This Row],[Présentéisme]]*Base[[#This Row],['[Prod']Jours_ouvrés]]</f>
        <v>0.56134000000000006</v>
      </c>
      <c r="CB472" s="4">
        <f>Base[[#This Row],[Prévalence_prod]]*(1-Base[[#This Row],[Risque]])*Base[[#This Row],[Présentéisme]]*Base[[#This Row],['[Prod']Jours_ouvrés]]</f>
        <v>0.46051931714916555</v>
      </c>
      <c r="CC472" s="4">
        <f>Base[[#This Row],['[Prod']'[Présentéisme']Jours_avant]]-Base[[#This Row],['[Prod']'[Présentéisme']Jours_après]]</f>
        <v>0.10082068285083451</v>
      </c>
      <c r="CD472" s="4">
        <f>Base[[#This Row],['[Prod']'[Présentéisme']Jours_gagnés]]/Base[[#This Row],['[Prod']Jours_ouvrés]]</f>
        <v>3.9693182224737994E-4</v>
      </c>
      <c r="CE472">
        <v>9.3428413505841454E-2</v>
      </c>
      <c r="CF472">
        <v>2.1038737314955848E-2</v>
      </c>
      <c r="CG472" s="4">
        <v>11</v>
      </c>
      <c r="CH472" s="4">
        <v>0.49446424657188709</v>
      </c>
      <c r="CI472" s="4">
        <v>1.0795805058605798E-2</v>
      </c>
      <c r="CJ472" s="4">
        <f>IF(Base[[#This Row],[Secteur]]&lt;&gt;"Moyenne",Base[[#This Row],['[Prod']'[Turnover']DMC_initiale]]*(1+Base[[#This Row],['[Prod']'[Turnover']Ecart_accidents]]*Base[[#This Row],['[Prod']Impact_motifs_turnover]]),CJ455*CI455+CJ456*CI456+CJ457*CI457+CJ458*CI458+CJ459*CI459+CJ460*CI460+CJ461*CI461+CJ462*CI462+CJ463*CI463+CJ464*CI464+CJ465*CI465+CJ466*CI466+CJ467*CI467+CJ468*CI468+CJ469*CI469+CJ470*CI470+CJ471*CI471)</f>
        <v>11.114431937347899</v>
      </c>
      <c r="CK472" s="4">
        <f>1/Base[[#This Row],['[Prod']'[Turnover']DMC_initiale]]</f>
        <v>9.0909090909090912E-2</v>
      </c>
      <c r="CL472" s="4">
        <f>1/Base[[#This Row],['[Prod']'[Turnover']DMC_finale]]</f>
        <v>8.9973109344409538E-2</v>
      </c>
    </row>
    <row r="473" spans="2:90" x14ac:dyDescent="0.25">
      <c r="B473" s="4" t="s">
        <v>321</v>
      </c>
      <c r="C473">
        <v>30</v>
      </c>
      <c r="D473" t="s">
        <v>85</v>
      </c>
      <c r="E473" t="s">
        <v>3</v>
      </c>
      <c r="F473" s="3">
        <v>0.17960715938795463</v>
      </c>
      <c r="G473" s="3">
        <v>2.5999999999999999E-2</v>
      </c>
      <c r="H473" s="3">
        <v>2.5999999999999999E-2</v>
      </c>
      <c r="I473" s="3">
        <v>8.5000000000000006E-2</v>
      </c>
      <c r="J473" s="3">
        <v>24.289173334126499</v>
      </c>
      <c r="K473" s="3">
        <v>7.0000000000000007E-2</v>
      </c>
      <c r="L473" s="2">
        <f>Base[[#This Row],[Coût]]*Base[[#This Row],[Part_ménages_dépenses_santé]]</f>
        <v>1.7002421333888551</v>
      </c>
      <c r="M473" s="2">
        <v>0.99784170771638514</v>
      </c>
      <c r="N473" s="6">
        <v>27700000</v>
      </c>
      <c r="O473" s="7">
        <f>Base[[#This Row],[Coût_salarié]]*10^9*Base[[#This Row],[Risque]]*Base[[#This Row],[Prévalence]]*Base[[#This Row],[Part_coûts_salarié]]/Base[[#This Row],[Population_emploi]]</f>
        <v>0.28601555299296749</v>
      </c>
      <c r="P473">
        <v>50</v>
      </c>
      <c r="Q473">
        <v>50</v>
      </c>
      <c r="R473" s="2">
        <v>9.9999999999999978E-2</v>
      </c>
      <c r="S473" s="2">
        <v>0.33340000000000003</v>
      </c>
      <c r="T473" s="4">
        <v>2.5999999999999999E-2</v>
      </c>
      <c r="U473" s="4">
        <f>IF(Bases_annexes!$F$5=0,16.6587111018772,0.77*Bases_annexes!$F$5/(IF(OR(ISBLANK('Données_d''entrée'!$E$44),'Données_d''entrée'!$E$44=0),35,'Données_d''entrée'!$E$44)*52))</f>
        <v>16.658711101877199</v>
      </c>
      <c r="V473" s="4">
        <v>22.173118639135399</v>
      </c>
      <c r="W4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3" s="4">
        <v>234.5</v>
      </c>
      <c r="Y473" s="4">
        <f>(Base[[#This Row],['[Maladies']Coûts_évités_par_salarié]]+Base[[#This Row],['[Travail']Coûts_évités_par_salarié]])/Base[[#This Row],[Budget_santé_salarié]]</f>
        <v>1.26385053586783E-2</v>
      </c>
      <c r="Z473" s="4">
        <v>0.8</v>
      </c>
      <c r="AA473" s="4">
        <f>Base[[#This Row],[Coût]]*Base[[#This Row],[Part_société_dépenses_santé]]</f>
        <v>19.431338667301201</v>
      </c>
      <c r="AB473" s="4">
        <v>67635124</v>
      </c>
      <c r="AC473" s="4">
        <v>82.297079063317852</v>
      </c>
      <c r="AD473" s="4">
        <v>2.5999999999999999E-2</v>
      </c>
      <c r="AE473" s="4">
        <f>Base[[#This Row],['[SC']Prévalence_travail]]*Base[[#This Row],[Population_emploi]]</f>
        <v>720200</v>
      </c>
      <c r="AF473" s="4">
        <f>Base[[#This Row],[Risque]]*Base[[#This Row],['[SC']Patients_en_emploi]]</f>
        <v>129353.07619120492</v>
      </c>
      <c r="AG473" s="4">
        <v>1257615774.8399999</v>
      </c>
      <c r="AH473" s="4">
        <f>IFERROR(Base[[#This Row],['[SC']Prestations]]/Base[[#This Row],['[SC']Patients_en_emploi]],0)</f>
        <v>1746.203519633435</v>
      </c>
      <c r="AI473" s="4">
        <v>51.7</v>
      </c>
      <c r="AJ4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3" s="4">
        <f>Base[[#This Row],['[SC']'[Travail']Coûts_évités]]/Base[[#This Row],[Population_emploi]]</f>
        <v>8.1543970007398521</v>
      </c>
      <c r="AL473" s="4">
        <f>Base[[#This Row],[Coût_société]]*10^9*Base[[#This Row],[Risque]]*Base[[#This Row],[Prévalence]]*Base[[#This Row],[Part_coûts_salarié]]/Base[[#This Row],[Population_emploi]]</f>
        <v>3.2687491770624852</v>
      </c>
      <c r="AM473" s="4">
        <f>IF(Base[[#This Row],[Pathologie]]&lt;&gt;"Dépendance",0,14909.24243952)</f>
        <v>0</v>
      </c>
      <c r="AN473" s="4">
        <f>IF(Base[[#This Row],[Pathologie]]&lt;&gt;"Dépendance",0,1316000)</f>
        <v>0</v>
      </c>
      <c r="AO473" s="4">
        <f>IF(Base[[#This Row],[Pathologie]]&lt;&gt;"Dépendance",0,Base[[#This Row],['[SC']Coût_personne_dépendante]]*Base[[#This Row],['[SC']Nb_personnes_dépendantes]])</f>
        <v>0</v>
      </c>
      <c r="AP473" s="4">
        <f>IF(Base[[#This Row],[Pathologie]]&lt;&gt;"Dépendance",0,Base[[#This Row],['[SC']Coût_total_dépendance]]/Base[[#This Row],[Population_totale]])</f>
        <v>0</v>
      </c>
      <c r="AQ473" s="4">
        <f>IF(Base[[#This Row],[Pathologie]]&lt;&gt;"Dépendance",0,4.5)</f>
        <v>0</v>
      </c>
      <c r="AR473" s="4">
        <v>1.0077957276768601</v>
      </c>
      <c r="AS473" s="4">
        <f>Base[[#This Row],[Espérance_vie]]+Base[[#This Row],['[SC']Hausse_esp_de_vie]]-Base[[#This Row],['[SC']Durée_moyenne_dépendance_avt]]+Base[[#This Row],[Risque]]</f>
        <v>83.484481950382673</v>
      </c>
      <c r="AT4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3" s="4">
        <v>62.9</v>
      </c>
      <c r="AW473" s="4">
        <f t="shared" si="12"/>
        <v>336905600000</v>
      </c>
      <c r="AX473" s="4">
        <v>15049171</v>
      </c>
      <c r="AY473" s="4">
        <f>Base[[#This Row],['[SC']Budget_total_retraites]]/Base[[#This Row],['[SC']Nombre_de_retraités]]</f>
        <v>22386.987296509556</v>
      </c>
      <c r="AZ473" s="4">
        <f>Base[[#This Row],['[SC']Budget_par_retraité]]*Base[[#This Row],['[SC']Nb_personnes_dépendantes]]</f>
        <v>0</v>
      </c>
      <c r="BA473" s="4">
        <f>Base[[#This Row],['[SC']'[Dépendance']Coût_retraite_personnes_dépendantes]]/Base[[#This Row],[Population_totale]]</f>
        <v>0</v>
      </c>
      <c r="BB4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3" s="4">
        <f>Base[[#This Row],['[SC']'[Dépendance']Gains]]-Base[[#This Row],['[SC']'[Dépendance']Coûts]]</f>
        <v>0</v>
      </c>
      <c r="BD473" s="4">
        <f>IF(Base[[#This Row],[Pathologie]]&lt;&gt;"Mort prématurée",0,Base[[#This Row],[Risque]]*Base[[#This Row],[Prévalence]]*Base[[#This Row],[Population_totale]])</f>
        <v>0</v>
      </c>
      <c r="BE473" s="4">
        <v>52.74</v>
      </c>
      <c r="BF473" s="4">
        <f>Base[[#This Row],['[SC']Âge_moyen_retraite]]-Base[[#This Row],['[SC']'[Mort_prématurée']Âge_moyen_mort précoce]]</f>
        <v>10.159999999999997</v>
      </c>
      <c r="BG473" s="4">
        <f>Base[[#This Row],[Espérance_vie]]+Base[[#This Row],['[SC']Hausse_esp_de_vie]]-Base[[#This Row],['[SC']Âge_moyen_retraite]]</f>
        <v>20.404874790994718</v>
      </c>
      <c r="BH473" s="4">
        <v>106583.42676924677</v>
      </c>
      <c r="BI473" s="4">
        <v>97601.789429271477</v>
      </c>
      <c r="BJ473" s="4">
        <v>302038.31496633729</v>
      </c>
      <c r="BK473" s="4">
        <v>117293.58934859755</v>
      </c>
      <c r="BL473" s="4">
        <v>1523999.9999999995</v>
      </c>
      <c r="BM4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3" s="4">
        <v>294804.96027377353</v>
      </c>
      <c r="BO4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3" s="4">
        <f>(Base[[#This Row],['[SC']'[Mort_prématurée']Gains]]-Base[[#This Row],['[SC']'[Mort_prématurée']Coûts]])/Base[[#This Row],[Population_totale]]</f>
        <v>0</v>
      </c>
      <c r="BQ473" s="4">
        <f>IF(Base[[#This Row],[Pathologie]]&lt;&gt;"Mort prématurée",0,Base[[#This Row],[Risque]])</f>
        <v>0</v>
      </c>
      <c r="BR473" s="4">
        <v>2680</v>
      </c>
      <c r="BS4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3" s="4">
        <f>Base[[#This Row],[Prévalence_prod]]*(1-Base[[#This Row],[Risque]])*Base[[#This Row],[Durée_arrêt]]*Base[[#This Row],[Population_emploi]]</f>
        <v>13100918.939180605</v>
      </c>
      <c r="BV473" s="4">
        <f>Base[[#This Row],['[Prod']'[Absentéisme']Total_jours_absence_avant]]-Base[[#This Row],['[Prod']'[Absentéisme']Total_jours_absence_après]]</f>
        <v>2868161.1047247089</v>
      </c>
      <c r="BW473" s="4">
        <f>IF(AND(Base[[#This Row],[Pathologie]]&lt;&gt;"Dépendance",Base[[#This Row],[Pathologie]]&lt;&gt;"Mort prématurée",Base[[#This Row],[Pathologie]]&lt;&gt;"Migraine"),0.0619,0)</f>
        <v>6.1899999999999997E-2</v>
      </c>
      <c r="BX473" s="4">
        <v>254</v>
      </c>
      <c r="BY473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3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3" s="4">
        <f>Base[[#This Row],[Prévalence_prod]]*Base[[#This Row],[Présentéisme]]*Base[[#This Row],['[Prod']Jours_ouvrés]]</f>
        <v>0.56134000000000006</v>
      </c>
      <c r="CB473" s="4">
        <f>Base[[#This Row],[Prévalence_prod]]*(1-Base[[#This Row],[Risque]])*Base[[#This Row],[Présentéisme]]*Base[[#This Row],['[Prod']Jours_ouvrés]]</f>
        <v>0.46051931714916555</v>
      </c>
      <c r="CC473" s="4">
        <f>Base[[#This Row],['[Prod']'[Présentéisme']Jours_avant]]-Base[[#This Row],['[Prod']'[Présentéisme']Jours_après]]</f>
        <v>0.10082068285083451</v>
      </c>
      <c r="CD473" s="4">
        <f>Base[[#This Row],['[Prod']'[Présentéisme']Jours_gagnés]]/Base[[#This Row],['[Prod']Jours_ouvrés]]</f>
        <v>3.9693182224737994E-4</v>
      </c>
      <c r="CE473">
        <v>9.3428413505841454E-2</v>
      </c>
      <c r="CF473">
        <v>2.1038737314955848E-2</v>
      </c>
      <c r="CG473" s="4">
        <v>11</v>
      </c>
      <c r="CH473" s="4">
        <v>0.85274500894619554</v>
      </c>
      <c r="CI473" s="4">
        <v>4.2903496994109176E-2</v>
      </c>
      <c r="CJ473" s="4">
        <f>IF(Base[[#This Row],[Secteur]]&lt;&gt;"Moyenne",Base[[#This Row],['[Prod']'[Turnover']DMC_initiale]]*(1+Base[[#This Row],['[Prod']'[Turnover']Ecart_accidents]]*Base[[#This Row],['[Prod']Impact_motifs_turnover]]),CJ456*CI456+CJ457*CI457+CJ458*CI458+CJ459*CI459+CJ460*CI460+CJ461*CI461+CJ462*CI462+CJ463*CI463+CJ464*CI464+CJ465*CI465+CJ466*CI466+CJ467*CI467+CJ468*CI468+CJ469*CI469+CJ470*CI470+CJ471*CI471+CJ472*CI472)</f>
        <v>11.197347460638447</v>
      </c>
      <c r="CK473" s="4">
        <f>1/Base[[#This Row],['[Prod']'[Turnover']DMC_initiale]]</f>
        <v>9.0909090909090912E-2</v>
      </c>
      <c r="CL473" s="4">
        <f>1/Base[[#This Row],['[Prod']'[Turnover']DMC_finale]]</f>
        <v>8.930686517635153E-2</v>
      </c>
    </row>
    <row r="474" spans="2:90" x14ac:dyDescent="0.25">
      <c r="B474" s="4" t="s">
        <v>322</v>
      </c>
      <c r="C474">
        <v>30</v>
      </c>
      <c r="D474" t="s">
        <v>85</v>
      </c>
      <c r="E474" t="s">
        <v>3</v>
      </c>
      <c r="F474" s="3">
        <v>0.17960715938795463</v>
      </c>
      <c r="G474" s="3">
        <v>2.5999999999999999E-2</v>
      </c>
      <c r="H474" s="3">
        <v>2.5999999999999999E-2</v>
      </c>
      <c r="I474" s="3">
        <v>8.5000000000000006E-2</v>
      </c>
      <c r="J474" s="3">
        <v>24.289173334126499</v>
      </c>
      <c r="K474" s="3">
        <v>7.0000000000000007E-2</v>
      </c>
      <c r="L474" s="2">
        <f>Base[[#This Row],[Coût]]*Base[[#This Row],[Part_ménages_dépenses_santé]]</f>
        <v>1.7002421333888551</v>
      </c>
      <c r="M474" s="2">
        <v>0.99784170771638514</v>
      </c>
      <c r="N474" s="6">
        <v>27700000</v>
      </c>
      <c r="O474" s="7">
        <f>Base[[#This Row],[Coût_salarié]]*10^9*Base[[#This Row],[Risque]]*Base[[#This Row],[Prévalence]]*Base[[#This Row],[Part_coûts_salarié]]/Base[[#This Row],[Population_emploi]]</f>
        <v>0.28601555299296749</v>
      </c>
      <c r="P474">
        <v>50</v>
      </c>
      <c r="Q474">
        <v>50</v>
      </c>
      <c r="R474" s="2">
        <v>9.9999999999999978E-2</v>
      </c>
      <c r="S474" s="2">
        <v>0.33340000000000003</v>
      </c>
      <c r="T474" s="4">
        <v>2.5999999999999999E-2</v>
      </c>
      <c r="U474" s="4">
        <f>IF(Bases_annexes!$F$5=0,16.6587111018772,0.77*Bases_annexes!$F$5/(IF(OR(ISBLANK('Données_d''entrée'!$E$44),'Données_d''entrée'!$E$44=0),35,'Données_d''entrée'!$E$44)*52))</f>
        <v>16.658711101877199</v>
      </c>
      <c r="V474" s="4">
        <v>22.173118639135399</v>
      </c>
      <c r="W4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4" s="4">
        <v>234.5</v>
      </c>
      <c r="Y474" s="4">
        <f>(Base[[#This Row],['[Maladies']Coûts_évités_par_salarié]]+Base[[#This Row],['[Travail']Coûts_évités_par_salarié]])/Base[[#This Row],[Budget_santé_salarié]]</f>
        <v>1.26385053586783E-2</v>
      </c>
      <c r="Z474" s="4">
        <v>0.8</v>
      </c>
      <c r="AA474" s="4">
        <f>Base[[#This Row],[Coût]]*Base[[#This Row],[Part_société_dépenses_santé]]</f>
        <v>19.431338667301201</v>
      </c>
      <c r="AB474" s="4">
        <v>67635124</v>
      </c>
      <c r="AC474" s="4">
        <v>82.297079063317852</v>
      </c>
      <c r="AD474" s="4">
        <v>2.5999999999999999E-2</v>
      </c>
      <c r="AE474" s="4">
        <f>Base[[#This Row],['[SC']Prévalence_travail]]*Base[[#This Row],[Population_emploi]]</f>
        <v>720200</v>
      </c>
      <c r="AF474" s="4">
        <f>Base[[#This Row],[Risque]]*Base[[#This Row],['[SC']Patients_en_emploi]]</f>
        <v>129353.07619120492</v>
      </c>
      <c r="AG474" s="4">
        <v>1257615774.8399999</v>
      </c>
      <c r="AH474" s="4">
        <f>IFERROR(Base[[#This Row],['[SC']Prestations]]/Base[[#This Row],['[SC']Patients_en_emploi]],0)</f>
        <v>1746.203519633435</v>
      </c>
      <c r="AI474" s="4">
        <v>51.7</v>
      </c>
      <c r="AJ4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4" s="4">
        <f>Base[[#This Row],['[SC']'[Travail']Coûts_évités]]/Base[[#This Row],[Population_emploi]]</f>
        <v>8.1543970007398521</v>
      </c>
      <c r="AL474" s="4">
        <f>Base[[#This Row],[Coût_société]]*10^9*Base[[#This Row],[Risque]]*Base[[#This Row],[Prévalence]]*Base[[#This Row],[Part_coûts_salarié]]/Base[[#This Row],[Population_emploi]]</f>
        <v>3.2687491770624852</v>
      </c>
      <c r="AM474" s="4">
        <f>IF(Base[[#This Row],[Pathologie]]&lt;&gt;"Dépendance",0,14909.24243952)</f>
        <v>0</v>
      </c>
      <c r="AN474" s="4">
        <f>IF(Base[[#This Row],[Pathologie]]&lt;&gt;"Dépendance",0,1316000)</f>
        <v>0</v>
      </c>
      <c r="AO474" s="4">
        <f>IF(Base[[#This Row],[Pathologie]]&lt;&gt;"Dépendance",0,Base[[#This Row],['[SC']Coût_personne_dépendante]]*Base[[#This Row],['[SC']Nb_personnes_dépendantes]])</f>
        <v>0</v>
      </c>
      <c r="AP474" s="4">
        <f>IF(Base[[#This Row],[Pathologie]]&lt;&gt;"Dépendance",0,Base[[#This Row],['[SC']Coût_total_dépendance]]/Base[[#This Row],[Population_totale]])</f>
        <v>0</v>
      </c>
      <c r="AQ474" s="4">
        <f>IF(Base[[#This Row],[Pathologie]]&lt;&gt;"Dépendance",0,4.5)</f>
        <v>0</v>
      </c>
      <c r="AR474" s="4">
        <v>1.0077957276768601</v>
      </c>
      <c r="AS474" s="4">
        <f>Base[[#This Row],[Espérance_vie]]+Base[[#This Row],['[SC']Hausse_esp_de_vie]]-Base[[#This Row],['[SC']Durée_moyenne_dépendance_avt]]+Base[[#This Row],[Risque]]</f>
        <v>83.484481950382673</v>
      </c>
      <c r="AT4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4" s="4">
        <v>62.9</v>
      </c>
      <c r="AW474" s="4">
        <f t="shared" si="12"/>
        <v>336905600000</v>
      </c>
      <c r="AX474" s="4">
        <v>15049171</v>
      </c>
      <c r="AY474" s="4">
        <f>Base[[#This Row],['[SC']Budget_total_retraites]]/Base[[#This Row],['[SC']Nombre_de_retraités]]</f>
        <v>22386.987296509556</v>
      </c>
      <c r="AZ474" s="4">
        <f>Base[[#This Row],['[SC']Budget_par_retraité]]*Base[[#This Row],['[SC']Nb_personnes_dépendantes]]</f>
        <v>0</v>
      </c>
      <c r="BA474" s="4">
        <f>Base[[#This Row],['[SC']'[Dépendance']Coût_retraite_personnes_dépendantes]]/Base[[#This Row],[Population_totale]]</f>
        <v>0</v>
      </c>
      <c r="BB4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4" s="4">
        <f>Base[[#This Row],['[SC']'[Dépendance']Gains]]-Base[[#This Row],['[SC']'[Dépendance']Coûts]]</f>
        <v>0</v>
      </c>
      <c r="BD474" s="4">
        <f>IF(Base[[#This Row],[Pathologie]]&lt;&gt;"Mort prématurée",0,Base[[#This Row],[Risque]]*Base[[#This Row],[Prévalence]]*Base[[#This Row],[Population_totale]])</f>
        <v>0</v>
      </c>
      <c r="BE474" s="4">
        <v>52.74</v>
      </c>
      <c r="BF474" s="4">
        <f>Base[[#This Row],['[SC']Âge_moyen_retraite]]-Base[[#This Row],['[SC']'[Mort_prématurée']Âge_moyen_mort précoce]]</f>
        <v>10.159999999999997</v>
      </c>
      <c r="BG474" s="4">
        <f>Base[[#This Row],[Espérance_vie]]+Base[[#This Row],['[SC']Hausse_esp_de_vie]]-Base[[#This Row],['[SC']Âge_moyen_retraite]]</f>
        <v>20.404874790994718</v>
      </c>
      <c r="BH474" s="4">
        <v>106583.42676924677</v>
      </c>
      <c r="BI474" s="4">
        <v>97601.789429271477</v>
      </c>
      <c r="BJ474" s="4">
        <v>302038.31496633729</v>
      </c>
      <c r="BK474" s="4">
        <v>117293.58934859755</v>
      </c>
      <c r="BL474" s="4">
        <v>1523999.9999999995</v>
      </c>
      <c r="BM4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4" s="4">
        <v>294804.96027377353</v>
      </c>
      <c r="BO4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4" s="4">
        <f>(Base[[#This Row],['[SC']'[Mort_prématurée']Gains]]-Base[[#This Row],['[SC']'[Mort_prématurée']Coûts]])/Base[[#This Row],[Population_totale]]</f>
        <v>0</v>
      </c>
      <c r="BQ474" s="4">
        <f>IF(Base[[#This Row],[Pathologie]]&lt;&gt;"Mort prématurée",0,Base[[#This Row],[Risque]])</f>
        <v>0</v>
      </c>
      <c r="BR474" s="4">
        <v>2680</v>
      </c>
      <c r="BS4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4" s="4">
        <f>Base[[#This Row],[Prévalence_prod]]*(1-Base[[#This Row],[Risque]])*Base[[#This Row],[Durée_arrêt]]*Base[[#This Row],[Population_emploi]]</f>
        <v>13100918.939180605</v>
      </c>
      <c r="BV474" s="4">
        <f>Base[[#This Row],['[Prod']'[Absentéisme']Total_jours_absence_avant]]-Base[[#This Row],['[Prod']'[Absentéisme']Total_jours_absence_après]]</f>
        <v>2868161.1047247089</v>
      </c>
      <c r="BW474" s="4">
        <f>IF(AND(Base[[#This Row],[Pathologie]]&lt;&gt;"Dépendance",Base[[#This Row],[Pathologie]]&lt;&gt;"Mort prématurée",Base[[#This Row],[Pathologie]]&lt;&gt;"Migraine"),0.0619,0)</f>
        <v>6.1899999999999997E-2</v>
      </c>
      <c r="BX474" s="4">
        <v>254</v>
      </c>
      <c r="BY474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4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4" s="4">
        <f>Base[[#This Row],[Prévalence_prod]]*Base[[#This Row],[Présentéisme]]*Base[[#This Row],['[Prod']Jours_ouvrés]]</f>
        <v>0.56134000000000006</v>
      </c>
      <c r="CB474" s="4">
        <f>Base[[#This Row],[Prévalence_prod]]*(1-Base[[#This Row],[Risque]])*Base[[#This Row],[Présentéisme]]*Base[[#This Row],['[Prod']Jours_ouvrés]]</f>
        <v>0.46051931714916555</v>
      </c>
      <c r="CC474" s="4">
        <f>Base[[#This Row],['[Prod']'[Présentéisme']Jours_avant]]-Base[[#This Row],['[Prod']'[Présentéisme']Jours_après]]</f>
        <v>0.10082068285083451</v>
      </c>
      <c r="CD474" s="4">
        <f>Base[[#This Row],['[Prod']'[Présentéisme']Jours_gagnés]]/Base[[#This Row],['[Prod']Jours_ouvrés]]</f>
        <v>3.9693182224737994E-4</v>
      </c>
      <c r="CE474">
        <v>9.3428413505841454E-2</v>
      </c>
      <c r="CF474">
        <v>2.1038737314955848E-2</v>
      </c>
      <c r="CG474" s="4">
        <v>11</v>
      </c>
      <c r="CH474" s="4">
        <v>1.6219398392978641</v>
      </c>
      <c r="CI474" s="4">
        <v>9.628527536862988E-2</v>
      </c>
      <c r="CJ474" s="4">
        <f>IF(Base[[#This Row],[Secteur]]&lt;&gt;"Moyenne",Base[[#This Row],['[Prod']'[Turnover']DMC_initiale]]*(1+Base[[#This Row],['[Prod']'[Turnover']Ecart_accidents]]*Base[[#This Row],['[Prod']Impact_motifs_turnover]]),CJ457*CI457+CJ458*CI458+CJ459*CI459+CJ460*CI460+CJ461*CI461+CJ462*CI462+CJ463*CI463+CJ464*CI464+CJ465*CI465+CJ466*CI466+CJ467*CI467+CJ468*CI468+CJ469*CI469+CJ470*CI470+CJ471*CI471+CJ472*CI472+CJ473*CI473)</f>
        <v>11.375359228416144</v>
      </c>
      <c r="CK474" s="4">
        <f>1/Base[[#This Row],['[Prod']'[Turnover']DMC_initiale]]</f>
        <v>9.0909090909090912E-2</v>
      </c>
      <c r="CL474" s="4">
        <f>1/Base[[#This Row],['[Prod']'[Turnover']DMC_finale]]</f>
        <v>8.7909311690303041E-2</v>
      </c>
    </row>
    <row r="475" spans="2:90" x14ac:dyDescent="0.25">
      <c r="B475" s="4" t="s">
        <v>323</v>
      </c>
      <c r="C475">
        <v>30</v>
      </c>
      <c r="D475" t="s">
        <v>85</v>
      </c>
      <c r="E475" t="s">
        <v>3</v>
      </c>
      <c r="F475" s="3">
        <v>0.17960715938795463</v>
      </c>
      <c r="G475" s="3">
        <v>2.5999999999999999E-2</v>
      </c>
      <c r="H475" s="3">
        <v>2.5999999999999999E-2</v>
      </c>
      <c r="I475" s="3">
        <v>8.5000000000000006E-2</v>
      </c>
      <c r="J475" s="3">
        <v>24.289173334126499</v>
      </c>
      <c r="K475" s="3">
        <v>7.0000000000000007E-2</v>
      </c>
      <c r="L475" s="2">
        <f>Base[[#This Row],[Coût]]*Base[[#This Row],[Part_ménages_dépenses_santé]]</f>
        <v>1.7002421333888551</v>
      </c>
      <c r="M475" s="2">
        <v>0.99784170771638514</v>
      </c>
      <c r="N475" s="6">
        <v>27700000</v>
      </c>
      <c r="O475" s="7">
        <f>Base[[#This Row],[Coût_salarié]]*10^9*Base[[#This Row],[Risque]]*Base[[#This Row],[Prévalence]]*Base[[#This Row],[Part_coûts_salarié]]/Base[[#This Row],[Population_emploi]]</f>
        <v>0.28601555299296749</v>
      </c>
      <c r="P475">
        <v>50</v>
      </c>
      <c r="Q475">
        <v>50</v>
      </c>
      <c r="R475" s="2">
        <v>9.9999999999999978E-2</v>
      </c>
      <c r="S475" s="2">
        <v>0.33340000000000003</v>
      </c>
      <c r="T475" s="4">
        <v>2.5999999999999999E-2</v>
      </c>
      <c r="U475" s="4">
        <f>IF(Bases_annexes!$F$5=0,16.6587111018772,0.77*Bases_annexes!$F$5/(IF(OR(ISBLANK('Données_d''entrée'!$E$44),'Données_d''entrée'!$E$44=0),35,'Données_d''entrée'!$E$44)*52))</f>
        <v>16.658711101877199</v>
      </c>
      <c r="V475" s="4">
        <v>22.173118639135399</v>
      </c>
      <c r="W4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5" s="4">
        <v>234.5</v>
      </c>
      <c r="Y475" s="4">
        <f>(Base[[#This Row],['[Maladies']Coûts_évités_par_salarié]]+Base[[#This Row],['[Travail']Coûts_évités_par_salarié]])/Base[[#This Row],[Budget_santé_salarié]]</f>
        <v>1.26385053586783E-2</v>
      </c>
      <c r="Z475" s="4">
        <v>0.8</v>
      </c>
      <c r="AA475" s="4">
        <f>Base[[#This Row],[Coût]]*Base[[#This Row],[Part_société_dépenses_santé]]</f>
        <v>19.431338667301201</v>
      </c>
      <c r="AB475" s="4">
        <v>67635124</v>
      </c>
      <c r="AC475" s="4">
        <v>82.297079063317852</v>
      </c>
      <c r="AD475" s="4">
        <v>2.5999999999999999E-2</v>
      </c>
      <c r="AE475" s="4">
        <f>Base[[#This Row],['[SC']Prévalence_travail]]*Base[[#This Row],[Population_emploi]]</f>
        <v>720200</v>
      </c>
      <c r="AF475" s="4">
        <f>Base[[#This Row],[Risque]]*Base[[#This Row],['[SC']Patients_en_emploi]]</f>
        <v>129353.07619120492</v>
      </c>
      <c r="AG475" s="4">
        <v>1257615774.8399999</v>
      </c>
      <c r="AH475" s="4">
        <f>IFERROR(Base[[#This Row],['[SC']Prestations]]/Base[[#This Row],['[SC']Patients_en_emploi]],0)</f>
        <v>1746.203519633435</v>
      </c>
      <c r="AI475" s="4">
        <v>51.7</v>
      </c>
      <c r="AJ4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5" s="4">
        <f>Base[[#This Row],['[SC']'[Travail']Coûts_évités]]/Base[[#This Row],[Population_emploi]]</f>
        <v>8.1543970007398521</v>
      </c>
      <c r="AL475" s="4">
        <f>Base[[#This Row],[Coût_société]]*10^9*Base[[#This Row],[Risque]]*Base[[#This Row],[Prévalence]]*Base[[#This Row],[Part_coûts_salarié]]/Base[[#This Row],[Population_emploi]]</f>
        <v>3.2687491770624852</v>
      </c>
      <c r="AM475" s="4">
        <f>IF(Base[[#This Row],[Pathologie]]&lt;&gt;"Dépendance",0,14909.24243952)</f>
        <v>0</v>
      </c>
      <c r="AN475" s="4">
        <f>IF(Base[[#This Row],[Pathologie]]&lt;&gt;"Dépendance",0,1316000)</f>
        <v>0</v>
      </c>
      <c r="AO475" s="4">
        <f>IF(Base[[#This Row],[Pathologie]]&lt;&gt;"Dépendance",0,Base[[#This Row],['[SC']Coût_personne_dépendante]]*Base[[#This Row],['[SC']Nb_personnes_dépendantes]])</f>
        <v>0</v>
      </c>
      <c r="AP475" s="4">
        <f>IF(Base[[#This Row],[Pathologie]]&lt;&gt;"Dépendance",0,Base[[#This Row],['[SC']Coût_total_dépendance]]/Base[[#This Row],[Population_totale]])</f>
        <v>0</v>
      </c>
      <c r="AQ475" s="4">
        <f>IF(Base[[#This Row],[Pathologie]]&lt;&gt;"Dépendance",0,4.5)</f>
        <v>0</v>
      </c>
      <c r="AR475" s="4">
        <v>1.0077957276768601</v>
      </c>
      <c r="AS475" s="4">
        <f>Base[[#This Row],[Espérance_vie]]+Base[[#This Row],['[SC']Hausse_esp_de_vie]]-Base[[#This Row],['[SC']Durée_moyenne_dépendance_avt]]+Base[[#This Row],[Risque]]</f>
        <v>83.484481950382673</v>
      </c>
      <c r="AT4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5" s="4">
        <v>62.9</v>
      </c>
      <c r="AW475" s="4">
        <f t="shared" si="12"/>
        <v>336905600000</v>
      </c>
      <c r="AX475" s="4">
        <v>15049171</v>
      </c>
      <c r="AY475" s="4">
        <f>Base[[#This Row],['[SC']Budget_total_retraites]]/Base[[#This Row],['[SC']Nombre_de_retraités]]</f>
        <v>22386.987296509556</v>
      </c>
      <c r="AZ475" s="4">
        <f>Base[[#This Row],['[SC']Budget_par_retraité]]*Base[[#This Row],['[SC']Nb_personnes_dépendantes]]</f>
        <v>0</v>
      </c>
      <c r="BA475" s="4">
        <f>Base[[#This Row],['[SC']'[Dépendance']Coût_retraite_personnes_dépendantes]]/Base[[#This Row],[Population_totale]]</f>
        <v>0</v>
      </c>
      <c r="BB4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5" s="4">
        <f>Base[[#This Row],['[SC']'[Dépendance']Gains]]-Base[[#This Row],['[SC']'[Dépendance']Coûts]]</f>
        <v>0</v>
      </c>
      <c r="BD475" s="4">
        <f>IF(Base[[#This Row],[Pathologie]]&lt;&gt;"Mort prématurée",0,Base[[#This Row],[Risque]]*Base[[#This Row],[Prévalence]]*Base[[#This Row],[Population_totale]])</f>
        <v>0</v>
      </c>
      <c r="BE475" s="4">
        <v>52.74</v>
      </c>
      <c r="BF475" s="4">
        <f>Base[[#This Row],['[SC']Âge_moyen_retraite]]-Base[[#This Row],['[SC']'[Mort_prématurée']Âge_moyen_mort précoce]]</f>
        <v>10.159999999999997</v>
      </c>
      <c r="BG475" s="4">
        <f>Base[[#This Row],[Espérance_vie]]+Base[[#This Row],['[SC']Hausse_esp_de_vie]]-Base[[#This Row],['[SC']Âge_moyen_retraite]]</f>
        <v>20.404874790994718</v>
      </c>
      <c r="BH475" s="4">
        <v>106583.42676924677</v>
      </c>
      <c r="BI475" s="4">
        <v>97601.789429271477</v>
      </c>
      <c r="BJ475" s="4">
        <v>302038.31496633729</v>
      </c>
      <c r="BK475" s="4">
        <v>117293.58934859755</v>
      </c>
      <c r="BL475" s="4">
        <v>1523999.9999999995</v>
      </c>
      <c r="BM4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5" s="4">
        <v>294804.96027377353</v>
      </c>
      <c r="BO4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5" s="4">
        <f>(Base[[#This Row],['[SC']'[Mort_prématurée']Gains]]-Base[[#This Row],['[SC']'[Mort_prématurée']Coûts]])/Base[[#This Row],[Population_totale]]</f>
        <v>0</v>
      </c>
      <c r="BQ475" s="4">
        <f>IF(Base[[#This Row],[Pathologie]]&lt;&gt;"Mort prématurée",0,Base[[#This Row],[Risque]])</f>
        <v>0</v>
      </c>
      <c r="BR475" s="4">
        <v>2680</v>
      </c>
      <c r="BS4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5" s="4">
        <f>Base[[#This Row],[Prévalence_prod]]*(1-Base[[#This Row],[Risque]])*Base[[#This Row],[Durée_arrêt]]*Base[[#This Row],[Population_emploi]]</f>
        <v>13100918.939180605</v>
      </c>
      <c r="BV475" s="4">
        <f>Base[[#This Row],['[Prod']'[Absentéisme']Total_jours_absence_avant]]-Base[[#This Row],['[Prod']'[Absentéisme']Total_jours_absence_après]]</f>
        <v>2868161.1047247089</v>
      </c>
      <c r="BW475" s="4">
        <f>IF(AND(Base[[#This Row],[Pathologie]]&lt;&gt;"Dépendance",Base[[#This Row],[Pathologie]]&lt;&gt;"Mort prématurée",Base[[#This Row],[Pathologie]]&lt;&gt;"Migraine"),0.0619,0)</f>
        <v>6.1899999999999997E-2</v>
      </c>
      <c r="BX475" s="4">
        <v>254</v>
      </c>
      <c r="BY475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5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5" s="4">
        <f>Base[[#This Row],[Prévalence_prod]]*Base[[#This Row],[Présentéisme]]*Base[[#This Row],['[Prod']Jours_ouvrés]]</f>
        <v>0.56134000000000006</v>
      </c>
      <c r="CB475" s="4">
        <f>Base[[#This Row],[Prévalence_prod]]*(1-Base[[#This Row],[Risque]])*Base[[#This Row],[Présentéisme]]*Base[[#This Row],['[Prod']Jours_ouvrés]]</f>
        <v>0.46051931714916555</v>
      </c>
      <c r="CC475" s="4">
        <f>Base[[#This Row],['[Prod']'[Présentéisme']Jours_avant]]-Base[[#This Row],['[Prod']'[Présentéisme']Jours_après]]</f>
        <v>0.10082068285083451</v>
      </c>
      <c r="CD475" s="4">
        <f>Base[[#This Row],['[Prod']'[Présentéisme']Jours_gagnés]]/Base[[#This Row],['[Prod']Jours_ouvrés]]</f>
        <v>3.9693182224737994E-4</v>
      </c>
      <c r="CE475">
        <v>9.3428413505841454E-2</v>
      </c>
      <c r="CF475">
        <v>2.1038737314955848E-2</v>
      </c>
      <c r="CG475" s="4">
        <v>11</v>
      </c>
      <c r="CH475" s="4">
        <v>0.96913802401210614</v>
      </c>
      <c r="CI475" s="4">
        <v>0.10293966445307301</v>
      </c>
      <c r="CJ475" s="4">
        <f>IF(Base[[#This Row],[Secteur]]&lt;&gt;"Moyenne",Base[[#This Row],['[Prod']'[Turnover']DMC_initiale]]*(1+Base[[#This Row],['[Prod']'[Turnover']Ecart_accidents]]*Base[[#This Row],['[Prod']Impact_motifs_turnover]]),CJ458*CI458+CJ459*CI459+CJ460*CI460+CJ461*CI461+CJ462*CI462+CJ463*CI463+CJ464*CI464+CJ465*CI465+CJ466*CI466+CJ467*CI467+CJ468*CI468+CJ469*CI469+CJ470*CI470+CJ471*CI471+CJ472*CI472+CJ473*CI473+CJ474*CI474)</f>
        <v>11.224283843400386</v>
      </c>
      <c r="CK475" s="4">
        <f>1/Base[[#This Row],['[Prod']'[Turnover']DMC_initiale]]</f>
        <v>9.0909090909090912E-2</v>
      </c>
      <c r="CL475" s="4">
        <f>1/Base[[#This Row],['[Prod']'[Turnover']DMC_finale]]</f>
        <v>8.9092543805186858E-2</v>
      </c>
    </row>
    <row r="476" spans="2:90" x14ac:dyDescent="0.25">
      <c r="B476" s="4" t="s">
        <v>324</v>
      </c>
      <c r="C476">
        <v>30</v>
      </c>
      <c r="D476" t="s">
        <v>85</v>
      </c>
      <c r="E476" t="s">
        <v>3</v>
      </c>
      <c r="F476" s="3">
        <v>0.17960715938795463</v>
      </c>
      <c r="G476" s="3">
        <v>2.5999999999999999E-2</v>
      </c>
      <c r="H476" s="3">
        <v>2.5999999999999999E-2</v>
      </c>
      <c r="I476" s="3">
        <v>8.5000000000000006E-2</v>
      </c>
      <c r="J476" s="3">
        <v>24.289173334126499</v>
      </c>
      <c r="K476" s="3">
        <v>7.0000000000000007E-2</v>
      </c>
      <c r="L476" s="2">
        <f>Base[[#This Row],[Coût]]*Base[[#This Row],[Part_ménages_dépenses_santé]]</f>
        <v>1.7002421333888551</v>
      </c>
      <c r="M476" s="2">
        <v>0.99784170771638514</v>
      </c>
      <c r="N476" s="6">
        <v>27700000</v>
      </c>
      <c r="O476" s="7">
        <f>Base[[#This Row],[Coût_salarié]]*10^9*Base[[#This Row],[Risque]]*Base[[#This Row],[Prévalence]]*Base[[#This Row],[Part_coûts_salarié]]/Base[[#This Row],[Population_emploi]]</f>
        <v>0.28601555299296749</v>
      </c>
      <c r="P476">
        <v>50</v>
      </c>
      <c r="Q476">
        <v>50</v>
      </c>
      <c r="R476" s="2">
        <v>9.9999999999999978E-2</v>
      </c>
      <c r="S476" s="2">
        <v>0.33340000000000003</v>
      </c>
      <c r="T476" s="4">
        <v>2.5999999999999999E-2</v>
      </c>
      <c r="U476" s="4">
        <f>IF(Bases_annexes!$F$5=0,16.6587111018772,0.77*Bases_annexes!$F$5/(IF(OR(ISBLANK('Données_d''entrée'!$E$44),'Données_d''entrée'!$E$44=0),35,'Données_d''entrée'!$E$44)*52))</f>
        <v>16.658711101877199</v>
      </c>
      <c r="V476" s="4">
        <v>22.173118639135399</v>
      </c>
      <c r="W4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6" s="4">
        <v>234.5</v>
      </c>
      <c r="Y476" s="4">
        <f>(Base[[#This Row],['[Maladies']Coûts_évités_par_salarié]]+Base[[#This Row],['[Travail']Coûts_évités_par_salarié]])/Base[[#This Row],[Budget_santé_salarié]]</f>
        <v>1.26385053586783E-2</v>
      </c>
      <c r="Z476" s="4">
        <v>0.8</v>
      </c>
      <c r="AA476" s="4">
        <f>Base[[#This Row],[Coût]]*Base[[#This Row],[Part_société_dépenses_santé]]</f>
        <v>19.431338667301201</v>
      </c>
      <c r="AB476" s="4">
        <v>67635124</v>
      </c>
      <c r="AC476" s="4">
        <v>82.297079063317852</v>
      </c>
      <c r="AD476" s="4">
        <v>2.5999999999999999E-2</v>
      </c>
      <c r="AE476" s="4">
        <f>Base[[#This Row],['[SC']Prévalence_travail]]*Base[[#This Row],[Population_emploi]]</f>
        <v>720200</v>
      </c>
      <c r="AF476" s="4">
        <f>Base[[#This Row],[Risque]]*Base[[#This Row],['[SC']Patients_en_emploi]]</f>
        <v>129353.07619120492</v>
      </c>
      <c r="AG476" s="4">
        <v>1257615774.8399999</v>
      </c>
      <c r="AH476" s="4">
        <f>IFERROR(Base[[#This Row],['[SC']Prestations]]/Base[[#This Row],['[SC']Patients_en_emploi]],0)</f>
        <v>1746.203519633435</v>
      </c>
      <c r="AI476" s="4">
        <v>51.7</v>
      </c>
      <c r="AJ4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6" s="4">
        <f>Base[[#This Row],['[SC']'[Travail']Coûts_évités]]/Base[[#This Row],[Population_emploi]]</f>
        <v>8.1543970007398521</v>
      </c>
      <c r="AL476" s="4">
        <f>Base[[#This Row],[Coût_société]]*10^9*Base[[#This Row],[Risque]]*Base[[#This Row],[Prévalence]]*Base[[#This Row],[Part_coûts_salarié]]/Base[[#This Row],[Population_emploi]]</f>
        <v>3.2687491770624852</v>
      </c>
      <c r="AM476" s="4">
        <f>IF(Base[[#This Row],[Pathologie]]&lt;&gt;"Dépendance",0,14909.24243952)</f>
        <v>0</v>
      </c>
      <c r="AN476" s="4">
        <f>IF(Base[[#This Row],[Pathologie]]&lt;&gt;"Dépendance",0,1316000)</f>
        <v>0</v>
      </c>
      <c r="AO476" s="4">
        <f>IF(Base[[#This Row],[Pathologie]]&lt;&gt;"Dépendance",0,Base[[#This Row],['[SC']Coût_personne_dépendante]]*Base[[#This Row],['[SC']Nb_personnes_dépendantes]])</f>
        <v>0</v>
      </c>
      <c r="AP476" s="4">
        <f>IF(Base[[#This Row],[Pathologie]]&lt;&gt;"Dépendance",0,Base[[#This Row],['[SC']Coût_total_dépendance]]/Base[[#This Row],[Population_totale]])</f>
        <v>0</v>
      </c>
      <c r="AQ476" s="4">
        <f>IF(Base[[#This Row],[Pathologie]]&lt;&gt;"Dépendance",0,4.5)</f>
        <v>0</v>
      </c>
      <c r="AR476" s="4">
        <v>1.0077957276768601</v>
      </c>
      <c r="AS476" s="4">
        <f>Base[[#This Row],[Espérance_vie]]+Base[[#This Row],['[SC']Hausse_esp_de_vie]]-Base[[#This Row],['[SC']Durée_moyenne_dépendance_avt]]+Base[[#This Row],[Risque]]</f>
        <v>83.484481950382673</v>
      </c>
      <c r="AT4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6" s="4">
        <v>62.9</v>
      </c>
      <c r="AW476" s="4">
        <f t="shared" si="12"/>
        <v>336905600000</v>
      </c>
      <c r="AX476" s="4">
        <v>15049171</v>
      </c>
      <c r="AY476" s="4">
        <f>Base[[#This Row],['[SC']Budget_total_retraites]]/Base[[#This Row],['[SC']Nombre_de_retraités]]</f>
        <v>22386.987296509556</v>
      </c>
      <c r="AZ476" s="4">
        <f>Base[[#This Row],['[SC']Budget_par_retraité]]*Base[[#This Row],['[SC']Nb_personnes_dépendantes]]</f>
        <v>0</v>
      </c>
      <c r="BA476" s="4">
        <f>Base[[#This Row],['[SC']'[Dépendance']Coût_retraite_personnes_dépendantes]]/Base[[#This Row],[Population_totale]]</f>
        <v>0</v>
      </c>
      <c r="BB4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6" s="4">
        <f>Base[[#This Row],['[SC']'[Dépendance']Gains]]-Base[[#This Row],['[SC']'[Dépendance']Coûts]]</f>
        <v>0</v>
      </c>
      <c r="BD476" s="4">
        <f>IF(Base[[#This Row],[Pathologie]]&lt;&gt;"Mort prématurée",0,Base[[#This Row],[Risque]]*Base[[#This Row],[Prévalence]]*Base[[#This Row],[Population_totale]])</f>
        <v>0</v>
      </c>
      <c r="BE476" s="4">
        <v>52.74</v>
      </c>
      <c r="BF476" s="4">
        <f>Base[[#This Row],['[SC']Âge_moyen_retraite]]-Base[[#This Row],['[SC']'[Mort_prématurée']Âge_moyen_mort précoce]]</f>
        <v>10.159999999999997</v>
      </c>
      <c r="BG476" s="4">
        <f>Base[[#This Row],[Espérance_vie]]+Base[[#This Row],['[SC']Hausse_esp_de_vie]]-Base[[#This Row],['[SC']Âge_moyen_retraite]]</f>
        <v>20.404874790994718</v>
      </c>
      <c r="BH476" s="4">
        <v>106583.42676924677</v>
      </c>
      <c r="BI476" s="4">
        <v>97601.789429271477</v>
      </c>
      <c r="BJ476" s="4">
        <v>302038.31496633729</v>
      </c>
      <c r="BK476" s="4">
        <v>117293.58934859755</v>
      </c>
      <c r="BL476" s="4">
        <v>1523999.9999999995</v>
      </c>
      <c r="BM4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6" s="4">
        <v>294804.96027377353</v>
      </c>
      <c r="BO4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6" s="4">
        <f>(Base[[#This Row],['[SC']'[Mort_prématurée']Gains]]-Base[[#This Row],['[SC']'[Mort_prématurée']Coûts]])/Base[[#This Row],[Population_totale]]</f>
        <v>0</v>
      </c>
      <c r="BQ476" s="4">
        <f>IF(Base[[#This Row],[Pathologie]]&lt;&gt;"Mort prématurée",0,Base[[#This Row],[Risque]])</f>
        <v>0</v>
      </c>
      <c r="BR476" s="4">
        <v>2680</v>
      </c>
      <c r="BS4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6" s="4">
        <f>Base[[#This Row],[Prévalence_prod]]*(1-Base[[#This Row],[Risque]])*Base[[#This Row],[Durée_arrêt]]*Base[[#This Row],[Population_emploi]]</f>
        <v>13100918.939180605</v>
      </c>
      <c r="BV476" s="4">
        <f>Base[[#This Row],['[Prod']'[Absentéisme']Total_jours_absence_avant]]-Base[[#This Row],['[Prod']'[Absentéisme']Total_jours_absence_après]]</f>
        <v>2868161.1047247089</v>
      </c>
      <c r="BW476" s="4">
        <f>IF(AND(Base[[#This Row],[Pathologie]]&lt;&gt;"Dépendance",Base[[#This Row],[Pathologie]]&lt;&gt;"Mort prématurée",Base[[#This Row],[Pathologie]]&lt;&gt;"Migraine"),0.0619,0)</f>
        <v>6.1899999999999997E-2</v>
      </c>
      <c r="BX476" s="4">
        <v>254</v>
      </c>
      <c r="BY476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6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6" s="4">
        <f>Base[[#This Row],[Prévalence_prod]]*Base[[#This Row],[Présentéisme]]*Base[[#This Row],['[Prod']Jours_ouvrés]]</f>
        <v>0.56134000000000006</v>
      </c>
      <c r="CB476" s="4">
        <f>Base[[#This Row],[Prévalence_prod]]*(1-Base[[#This Row],[Risque]])*Base[[#This Row],[Présentéisme]]*Base[[#This Row],['[Prod']Jours_ouvrés]]</f>
        <v>0.46051931714916555</v>
      </c>
      <c r="CC476" s="4">
        <f>Base[[#This Row],['[Prod']'[Présentéisme']Jours_avant]]-Base[[#This Row],['[Prod']'[Présentéisme']Jours_après]]</f>
        <v>0.10082068285083451</v>
      </c>
      <c r="CD476" s="4">
        <f>Base[[#This Row],['[Prod']'[Présentéisme']Jours_gagnés]]/Base[[#This Row],['[Prod']Jours_ouvrés]]</f>
        <v>3.9693182224737994E-4</v>
      </c>
      <c r="CE476">
        <v>9.3428413505841454E-2</v>
      </c>
      <c r="CF476">
        <v>2.1038737314955848E-2</v>
      </c>
      <c r="CG476" s="4">
        <v>11</v>
      </c>
      <c r="CH476" s="4">
        <v>1.3987208237662601</v>
      </c>
      <c r="CI476" s="4">
        <v>2.1768516166491274E-2</v>
      </c>
      <c r="CJ476" s="4">
        <f>IF(Base[[#This Row],[Secteur]]&lt;&gt;"Moyenne",Base[[#This Row],['[Prod']'[Turnover']DMC_initiale]]*(1+Base[[#This Row],['[Prod']'[Turnover']Ecart_accidents]]*Base[[#This Row],['[Prod']Impact_motifs_turnover]]),CJ459*CI459+CJ460*CI460+CJ461*CI461+CJ462*CI462+CJ463*CI463+CJ464*CI464+CJ465*CI465+CJ466*CI466+CJ467*CI467+CJ468*CI468+CJ469*CI469+CJ470*CI470+CJ471*CI471+CJ472*CI472+CJ473*CI473+CJ474*CI474+CJ475*CI475)</f>
        <v>11.323700519869947</v>
      </c>
      <c r="CK476" s="4">
        <f>1/Base[[#This Row],['[Prod']'[Turnover']DMC_initiale]]</f>
        <v>9.0909090909090912E-2</v>
      </c>
      <c r="CL476" s="4">
        <f>1/Base[[#This Row],['[Prod']'[Turnover']DMC_finale]]</f>
        <v>8.8310353867561045E-2</v>
      </c>
    </row>
    <row r="477" spans="2:90" x14ac:dyDescent="0.25">
      <c r="B477" s="4" t="s">
        <v>325</v>
      </c>
      <c r="C477">
        <v>30</v>
      </c>
      <c r="D477" t="s">
        <v>85</v>
      </c>
      <c r="E477" t="s">
        <v>3</v>
      </c>
      <c r="F477" s="3">
        <v>0.17960715938795463</v>
      </c>
      <c r="G477" s="3">
        <v>2.5999999999999999E-2</v>
      </c>
      <c r="H477" s="3">
        <v>2.5999999999999999E-2</v>
      </c>
      <c r="I477" s="3">
        <v>8.5000000000000006E-2</v>
      </c>
      <c r="J477" s="3">
        <v>24.289173334126499</v>
      </c>
      <c r="K477" s="3">
        <v>7.0000000000000007E-2</v>
      </c>
      <c r="L477" s="2">
        <f>Base[[#This Row],[Coût]]*Base[[#This Row],[Part_ménages_dépenses_santé]]</f>
        <v>1.7002421333888551</v>
      </c>
      <c r="M477" s="2">
        <v>0.99784170771638514</v>
      </c>
      <c r="N477" s="6">
        <v>27700000</v>
      </c>
      <c r="O477" s="7">
        <f>Base[[#This Row],[Coût_salarié]]*10^9*Base[[#This Row],[Risque]]*Base[[#This Row],[Prévalence]]*Base[[#This Row],[Part_coûts_salarié]]/Base[[#This Row],[Population_emploi]]</f>
        <v>0.28601555299296749</v>
      </c>
      <c r="P477">
        <v>50</v>
      </c>
      <c r="Q477">
        <v>50</v>
      </c>
      <c r="R477" s="2">
        <v>9.9999999999999978E-2</v>
      </c>
      <c r="S477" s="2">
        <v>0.33340000000000003</v>
      </c>
      <c r="T477" s="4">
        <v>2.5999999999999999E-2</v>
      </c>
      <c r="U477" s="4">
        <f>IF(Bases_annexes!$F$5=0,16.6587111018772,0.77*Bases_annexes!$F$5/(IF(OR(ISBLANK('Données_d''entrée'!$E$44),'Données_d''entrée'!$E$44=0),35,'Données_d''entrée'!$E$44)*52))</f>
        <v>16.658711101877199</v>
      </c>
      <c r="V477" s="4">
        <v>22.173118639135399</v>
      </c>
      <c r="W4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7" s="4">
        <v>234.5</v>
      </c>
      <c r="Y477" s="4">
        <f>(Base[[#This Row],['[Maladies']Coûts_évités_par_salarié]]+Base[[#This Row],['[Travail']Coûts_évités_par_salarié]])/Base[[#This Row],[Budget_santé_salarié]]</f>
        <v>1.26385053586783E-2</v>
      </c>
      <c r="Z477" s="4">
        <v>0.8</v>
      </c>
      <c r="AA477" s="4">
        <f>Base[[#This Row],[Coût]]*Base[[#This Row],[Part_société_dépenses_santé]]</f>
        <v>19.431338667301201</v>
      </c>
      <c r="AB477" s="4">
        <v>67635124</v>
      </c>
      <c r="AC477" s="4">
        <v>82.297079063317852</v>
      </c>
      <c r="AD477" s="4">
        <v>2.5999999999999999E-2</v>
      </c>
      <c r="AE477" s="4">
        <f>Base[[#This Row],['[SC']Prévalence_travail]]*Base[[#This Row],[Population_emploi]]</f>
        <v>720200</v>
      </c>
      <c r="AF477" s="4">
        <f>Base[[#This Row],[Risque]]*Base[[#This Row],['[SC']Patients_en_emploi]]</f>
        <v>129353.07619120492</v>
      </c>
      <c r="AG477" s="4">
        <v>1257615774.8399999</v>
      </c>
      <c r="AH477" s="4">
        <f>IFERROR(Base[[#This Row],['[SC']Prestations]]/Base[[#This Row],['[SC']Patients_en_emploi]],0)</f>
        <v>1746.203519633435</v>
      </c>
      <c r="AI477" s="4">
        <v>51.7</v>
      </c>
      <c r="AJ4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7" s="4">
        <f>Base[[#This Row],['[SC']'[Travail']Coûts_évités]]/Base[[#This Row],[Population_emploi]]</f>
        <v>8.1543970007398521</v>
      </c>
      <c r="AL477" s="4">
        <f>Base[[#This Row],[Coût_société]]*10^9*Base[[#This Row],[Risque]]*Base[[#This Row],[Prévalence]]*Base[[#This Row],[Part_coûts_salarié]]/Base[[#This Row],[Population_emploi]]</f>
        <v>3.2687491770624852</v>
      </c>
      <c r="AM477" s="4">
        <f>IF(Base[[#This Row],[Pathologie]]&lt;&gt;"Dépendance",0,14909.24243952)</f>
        <v>0</v>
      </c>
      <c r="AN477" s="4">
        <f>IF(Base[[#This Row],[Pathologie]]&lt;&gt;"Dépendance",0,1316000)</f>
        <v>0</v>
      </c>
      <c r="AO477" s="4">
        <f>IF(Base[[#This Row],[Pathologie]]&lt;&gt;"Dépendance",0,Base[[#This Row],['[SC']Coût_personne_dépendante]]*Base[[#This Row],['[SC']Nb_personnes_dépendantes]])</f>
        <v>0</v>
      </c>
      <c r="AP477" s="4">
        <f>IF(Base[[#This Row],[Pathologie]]&lt;&gt;"Dépendance",0,Base[[#This Row],['[SC']Coût_total_dépendance]]/Base[[#This Row],[Population_totale]])</f>
        <v>0</v>
      </c>
      <c r="AQ477" s="4">
        <f>IF(Base[[#This Row],[Pathologie]]&lt;&gt;"Dépendance",0,4.5)</f>
        <v>0</v>
      </c>
      <c r="AR477" s="4">
        <v>1.0077957276768601</v>
      </c>
      <c r="AS477" s="4">
        <f>Base[[#This Row],[Espérance_vie]]+Base[[#This Row],['[SC']Hausse_esp_de_vie]]-Base[[#This Row],['[SC']Durée_moyenne_dépendance_avt]]+Base[[#This Row],[Risque]]</f>
        <v>83.484481950382673</v>
      </c>
      <c r="AT4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7" s="4">
        <v>62.9</v>
      </c>
      <c r="AW477" s="4">
        <f t="shared" si="12"/>
        <v>336905600000</v>
      </c>
      <c r="AX477" s="4">
        <v>15049171</v>
      </c>
      <c r="AY477" s="4">
        <f>Base[[#This Row],['[SC']Budget_total_retraites]]/Base[[#This Row],['[SC']Nombre_de_retraités]]</f>
        <v>22386.987296509556</v>
      </c>
      <c r="AZ477" s="4">
        <f>Base[[#This Row],['[SC']Budget_par_retraité]]*Base[[#This Row],['[SC']Nb_personnes_dépendantes]]</f>
        <v>0</v>
      </c>
      <c r="BA477" s="4">
        <f>Base[[#This Row],['[SC']'[Dépendance']Coût_retraite_personnes_dépendantes]]/Base[[#This Row],[Population_totale]]</f>
        <v>0</v>
      </c>
      <c r="BB4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7" s="4">
        <f>Base[[#This Row],['[SC']'[Dépendance']Gains]]-Base[[#This Row],['[SC']'[Dépendance']Coûts]]</f>
        <v>0</v>
      </c>
      <c r="BD477" s="4">
        <f>IF(Base[[#This Row],[Pathologie]]&lt;&gt;"Mort prématurée",0,Base[[#This Row],[Risque]]*Base[[#This Row],[Prévalence]]*Base[[#This Row],[Population_totale]])</f>
        <v>0</v>
      </c>
      <c r="BE477" s="4">
        <v>52.74</v>
      </c>
      <c r="BF477" s="4">
        <f>Base[[#This Row],['[SC']Âge_moyen_retraite]]-Base[[#This Row],['[SC']'[Mort_prématurée']Âge_moyen_mort précoce]]</f>
        <v>10.159999999999997</v>
      </c>
      <c r="BG477" s="4">
        <f>Base[[#This Row],[Espérance_vie]]+Base[[#This Row],['[SC']Hausse_esp_de_vie]]-Base[[#This Row],['[SC']Âge_moyen_retraite]]</f>
        <v>20.404874790994718</v>
      </c>
      <c r="BH477" s="4">
        <v>106583.42676924677</v>
      </c>
      <c r="BI477" s="4">
        <v>97601.789429271477</v>
      </c>
      <c r="BJ477" s="4">
        <v>302038.31496633729</v>
      </c>
      <c r="BK477" s="4">
        <v>117293.58934859755</v>
      </c>
      <c r="BL477" s="4">
        <v>1523999.9999999995</v>
      </c>
      <c r="BM4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7" s="4">
        <v>294804.96027377353</v>
      </c>
      <c r="BO4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7" s="4">
        <f>(Base[[#This Row],['[SC']'[Mort_prématurée']Gains]]-Base[[#This Row],['[SC']'[Mort_prématurée']Coûts]])/Base[[#This Row],[Population_totale]]</f>
        <v>0</v>
      </c>
      <c r="BQ477" s="4">
        <f>IF(Base[[#This Row],[Pathologie]]&lt;&gt;"Mort prématurée",0,Base[[#This Row],[Risque]])</f>
        <v>0</v>
      </c>
      <c r="BR477" s="4">
        <v>2680</v>
      </c>
      <c r="BS4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7" s="4">
        <f>Base[[#This Row],[Prévalence_prod]]*(1-Base[[#This Row],[Risque]])*Base[[#This Row],[Durée_arrêt]]*Base[[#This Row],[Population_emploi]]</f>
        <v>13100918.939180605</v>
      </c>
      <c r="BV477" s="4">
        <f>Base[[#This Row],['[Prod']'[Absentéisme']Total_jours_absence_avant]]-Base[[#This Row],['[Prod']'[Absentéisme']Total_jours_absence_après]]</f>
        <v>2868161.1047247089</v>
      </c>
      <c r="BW477" s="4">
        <f>IF(AND(Base[[#This Row],[Pathologie]]&lt;&gt;"Dépendance",Base[[#This Row],[Pathologie]]&lt;&gt;"Mort prématurée",Base[[#This Row],[Pathologie]]&lt;&gt;"Migraine"),0.0619,0)</f>
        <v>6.1899999999999997E-2</v>
      </c>
      <c r="BX477" s="4">
        <v>254</v>
      </c>
      <c r="BY477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7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7" s="4">
        <f>Base[[#This Row],[Prévalence_prod]]*Base[[#This Row],[Présentéisme]]*Base[[#This Row],['[Prod']Jours_ouvrés]]</f>
        <v>0.56134000000000006</v>
      </c>
      <c r="CB477" s="4">
        <f>Base[[#This Row],[Prévalence_prod]]*(1-Base[[#This Row],[Risque]])*Base[[#This Row],[Présentéisme]]*Base[[#This Row],['[Prod']Jours_ouvrés]]</f>
        <v>0.46051931714916555</v>
      </c>
      <c r="CC477" s="4">
        <f>Base[[#This Row],['[Prod']'[Présentéisme']Jours_avant]]-Base[[#This Row],['[Prod']'[Présentéisme']Jours_après]]</f>
        <v>0.10082068285083451</v>
      </c>
      <c r="CD477" s="4">
        <f>Base[[#This Row],['[Prod']'[Présentéisme']Jours_gagnés]]/Base[[#This Row],['[Prod']Jours_ouvrés]]</f>
        <v>3.9693182224737994E-4</v>
      </c>
      <c r="CE477">
        <v>9.3428413505841454E-2</v>
      </c>
      <c r="CF477">
        <v>2.1038737314955848E-2</v>
      </c>
      <c r="CG477" s="4">
        <v>11</v>
      </c>
      <c r="CH477" s="4">
        <v>1.1624525375985588</v>
      </c>
      <c r="CI477" s="4">
        <v>3.7953151649308701E-2</v>
      </c>
      <c r="CJ477" s="4">
        <f>IF(Base[[#This Row],[Secteur]]&lt;&gt;"Moyenne",Base[[#This Row],['[Prod']'[Turnover']DMC_initiale]]*(1+Base[[#This Row],['[Prod']'[Turnover']Ecart_accidents]]*Base[[#This Row],['[Prod']Impact_motifs_turnover]]),CJ460*CI460+CJ461*CI461+CJ462*CI462+CJ463*CI463+CJ464*CI464+CJ465*CI465+CJ466*CI466+CJ467*CI467+CJ468*CI468+CJ469*CI469+CJ470*CI470+CJ471*CI471+CJ472*CI472+CJ473*CI473+CJ474*CI474+CJ475*CI475+CJ476*CI476)</f>
        <v>11.269021869376038</v>
      </c>
      <c r="CK477" s="4">
        <f>1/Base[[#This Row],['[Prod']'[Turnover']DMC_initiale]]</f>
        <v>9.0909090909090912E-2</v>
      </c>
      <c r="CL477" s="4">
        <f>1/Base[[#This Row],['[Prod']'[Turnover']DMC_finale]]</f>
        <v>8.8738846333907204E-2</v>
      </c>
    </row>
    <row r="478" spans="2:90" x14ac:dyDescent="0.25">
      <c r="B478" s="4" t="s">
        <v>326</v>
      </c>
      <c r="C478">
        <v>30</v>
      </c>
      <c r="D478" t="s">
        <v>85</v>
      </c>
      <c r="E478" t="s">
        <v>3</v>
      </c>
      <c r="F478" s="3">
        <v>0.17960715938795463</v>
      </c>
      <c r="G478" s="3">
        <v>2.5999999999999999E-2</v>
      </c>
      <c r="H478" s="3">
        <v>2.5999999999999999E-2</v>
      </c>
      <c r="I478" s="3">
        <v>8.5000000000000006E-2</v>
      </c>
      <c r="J478" s="3">
        <v>24.289173334126499</v>
      </c>
      <c r="K478" s="3">
        <v>7.0000000000000007E-2</v>
      </c>
      <c r="L478" s="2">
        <f>Base[[#This Row],[Coût]]*Base[[#This Row],[Part_ménages_dépenses_santé]]</f>
        <v>1.7002421333888551</v>
      </c>
      <c r="M478" s="2">
        <v>0.99784170771638514</v>
      </c>
      <c r="N478" s="6">
        <v>27700000</v>
      </c>
      <c r="O478" s="7">
        <f>Base[[#This Row],[Coût_salarié]]*10^9*Base[[#This Row],[Risque]]*Base[[#This Row],[Prévalence]]*Base[[#This Row],[Part_coûts_salarié]]/Base[[#This Row],[Population_emploi]]</f>
        <v>0.28601555299296749</v>
      </c>
      <c r="P478">
        <v>50</v>
      </c>
      <c r="Q478">
        <v>50</v>
      </c>
      <c r="R478" s="2">
        <v>9.9999999999999978E-2</v>
      </c>
      <c r="S478" s="2">
        <v>0.33340000000000003</v>
      </c>
      <c r="T478" s="4">
        <v>2.5999999999999999E-2</v>
      </c>
      <c r="U478" s="4">
        <f>IF(Bases_annexes!$F$5=0,16.6587111018772,0.77*Bases_annexes!$F$5/(IF(OR(ISBLANK('Données_d''entrée'!$E$44),'Données_d''entrée'!$E$44=0),35,'Données_d''entrée'!$E$44)*52))</f>
        <v>16.658711101877199</v>
      </c>
      <c r="V478" s="4">
        <v>22.173118639135399</v>
      </c>
      <c r="W4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8" s="4">
        <v>234.5</v>
      </c>
      <c r="Y478" s="4">
        <f>(Base[[#This Row],['[Maladies']Coûts_évités_par_salarié]]+Base[[#This Row],['[Travail']Coûts_évités_par_salarié]])/Base[[#This Row],[Budget_santé_salarié]]</f>
        <v>1.26385053586783E-2</v>
      </c>
      <c r="Z478" s="4">
        <v>0.8</v>
      </c>
      <c r="AA478" s="4">
        <f>Base[[#This Row],[Coût]]*Base[[#This Row],[Part_société_dépenses_santé]]</f>
        <v>19.431338667301201</v>
      </c>
      <c r="AB478" s="4">
        <v>67635124</v>
      </c>
      <c r="AC478" s="4">
        <v>82.297079063317852</v>
      </c>
      <c r="AD478" s="4">
        <v>2.5999999999999999E-2</v>
      </c>
      <c r="AE478" s="4">
        <f>Base[[#This Row],['[SC']Prévalence_travail]]*Base[[#This Row],[Population_emploi]]</f>
        <v>720200</v>
      </c>
      <c r="AF478" s="4">
        <f>Base[[#This Row],[Risque]]*Base[[#This Row],['[SC']Patients_en_emploi]]</f>
        <v>129353.07619120492</v>
      </c>
      <c r="AG478" s="4">
        <v>1257615774.8399999</v>
      </c>
      <c r="AH478" s="4">
        <f>IFERROR(Base[[#This Row],['[SC']Prestations]]/Base[[#This Row],['[SC']Patients_en_emploi]],0)</f>
        <v>1746.203519633435</v>
      </c>
      <c r="AI478" s="4">
        <v>51.7</v>
      </c>
      <c r="AJ4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8" s="4">
        <f>Base[[#This Row],['[SC']'[Travail']Coûts_évités]]/Base[[#This Row],[Population_emploi]]</f>
        <v>8.1543970007398521</v>
      </c>
      <c r="AL478" s="4">
        <f>Base[[#This Row],[Coût_société]]*10^9*Base[[#This Row],[Risque]]*Base[[#This Row],[Prévalence]]*Base[[#This Row],[Part_coûts_salarié]]/Base[[#This Row],[Population_emploi]]</f>
        <v>3.2687491770624852</v>
      </c>
      <c r="AM478" s="4">
        <f>IF(Base[[#This Row],[Pathologie]]&lt;&gt;"Dépendance",0,14909.24243952)</f>
        <v>0</v>
      </c>
      <c r="AN478" s="4">
        <f>IF(Base[[#This Row],[Pathologie]]&lt;&gt;"Dépendance",0,1316000)</f>
        <v>0</v>
      </c>
      <c r="AO478" s="4">
        <f>IF(Base[[#This Row],[Pathologie]]&lt;&gt;"Dépendance",0,Base[[#This Row],['[SC']Coût_personne_dépendante]]*Base[[#This Row],['[SC']Nb_personnes_dépendantes]])</f>
        <v>0</v>
      </c>
      <c r="AP478" s="4">
        <f>IF(Base[[#This Row],[Pathologie]]&lt;&gt;"Dépendance",0,Base[[#This Row],['[SC']Coût_total_dépendance]]/Base[[#This Row],[Population_totale]])</f>
        <v>0</v>
      </c>
      <c r="AQ478" s="4">
        <f>IF(Base[[#This Row],[Pathologie]]&lt;&gt;"Dépendance",0,4.5)</f>
        <v>0</v>
      </c>
      <c r="AR478" s="4">
        <v>1.0077957276768601</v>
      </c>
      <c r="AS478" s="4">
        <f>Base[[#This Row],[Espérance_vie]]+Base[[#This Row],['[SC']Hausse_esp_de_vie]]-Base[[#This Row],['[SC']Durée_moyenne_dépendance_avt]]+Base[[#This Row],[Risque]]</f>
        <v>83.484481950382673</v>
      </c>
      <c r="AT4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8" s="4">
        <v>62.9</v>
      </c>
      <c r="AW478" s="4">
        <f t="shared" si="12"/>
        <v>336905600000</v>
      </c>
      <c r="AX478" s="4">
        <v>15049171</v>
      </c>
      <c r="AY478" s="4">
        <f>Base[[#This Row],['[SC']Budget_total_retraites]]/Base[[#This Row],['[SC']Nombre_de_retraités]]</f>
        <v>22386.987296509556</v>
      </c>
      <c r="AZ478" s="4">
        <f>Base[[#This Row],['[SC']Budget_par_retraité]]*Base[[#This Row],['[SC']Nb_personnes_dépendantes]]</f>
        <v>0</v>
      </c>
      <c r="BA478" s="4">
        <f>Base[[#This Row],['[SC']'[Dépendance']Coût_retraite_personnes_dépendantes]]/Base[[#This Row],[Population_totale]]</f>
        <v>0</v>
      </c>
      <c r="BB4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8" s="4">
        <f>Base[[#This Row],['[SC']'[Dépendance']Gains]]-Base[[#This Row],['[SC']'[Dépendance']Coûts]]</f>
        <v>0</v>
      </c>
      <c r="BD478" s="4">
        <f>IF(Base[[#This Row],[Pathologie]]&lt;&gt;"Mort prématurée",0,Base[[#This Row],[Risque]]*Base[[#This Row],[Prévalence]]*Base[[#This Row],[Population_totale]])</f>
        <v>0</v>
      </c>
      <c r="BE478" s="4">
        <v>52.74</v>
      </c>
      <c r="BF478" s="4">
        <f>Base[[#This Row],['[SC']Âge_moyen_retraite]]-Base[[#This Row],['[SC']'[Mort_prématurée']Âge_moyen_mort précoce]]</f>
        <v>10.159999999999997</v>
      </c>
      <c r="BG478" s="4">
        <f>Base[[#This Row],[Espérance_vie]]+Base[[#This Row],['[SC']Hausse_esp_de_vie]]-Base[[#This Row],['[SC']Âge_moyen_retraite]]</f>
        <v>20.404874790994718</v>
      </c>
      <c r="BH478" s="4">
        <v>106583.42676924677</v>
      </c>
      <c r="BI478" s="4">
        <v>97601.789429271477</v>
      </c>
      <c r="BJ478" s="4">
        <v>302038.31496633729</v>
      </c>
      <c r="BK478" s="4">
        <v>117293.58934859755</v>
      </c>
      <c r="BL478" s="4">
        <v>1523999.9999999995</v>
      </c>
      <c r="BM4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8" s="4">
        <v>294804.96027377353</v>
      </c>
      <c r="BO4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8" s="4">
        <f>(Base[[#This Row],['[SC']'[Mort_prématurée']Gains]]-Base[[#This Row],['[SC']'[Mort_prématurée']Coûts]])/Base[[#This Row],[Population_totale]]</f>
        <v>0</v>
      </c>
      <c r="BQ478" s="4">
        <f>IF(Base[[#This Row],[Pathologie]]&lt;&gt;"Mort prématurée",0,Base[[#This Row],[Risque]])</f>
        <v>0</v>
      </c>
      <c r="BR478" s="4">
        <v>2680</v>
      </c>
      <c r="BS4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8" s="4">
        <f>Base[[#This Row],[Prévalence_prod]]*(1-Base[[#This Row],[Risque]])*Base[[#This Row],[Durée_arrêt]]*Base[[#This Row],[Population_emploi]]</f>
        <v>13100918.939180605</v>
      </c>
      <c r="BV478" s="4">
        <f>Base[[#This Row],['[Prod']'[Absentéisme']Total_jours_absence_avant]]-Base[[#This Row],['[Prod']'[Absentéisme']Total_jours_absence_après]]</f>
        <v>2868161.1047247089</v>
      </c>
      <c r="BW478" s="4">
        <f>IF(AND(Base[[#This Row],[Pathologie]]&lt;&gt;"Dépendance",Base[[#This Row],[Pathologie]]&lt;&gt;"Mort prématurée",Base[[#This Row],[Pathologie]]&lt;&gt;"Migraine"),0.0619,0)</f>
        <v>6.1899999999999997E-2</v>
      </c>
      <c r="BX478" s="4">
        <v>254</v>
      </c>
      <c r="BY478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8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8" s="4">
        <f>Base[[#This Row],[Prévalence_prod]]*Base[[#This Row],[Présentéisme]]*Base[[#This Row],['[Prod']Jours_ouvrés]]</f>
        <v>0.56134000000000006</v>
      </c>
      <c r="CB478" s="4">
        <f>Base[[#This Row],[Prévalence_prod]]*(1-Base[[#This Row],[Risque]])*Base[[#This Row],[Présentéisme]]*Base[[#This Row],['[Prod']Jours_ouvrés]]</f>
        <v>0.46051931714916555</v>
      </c>
      <c r="CC478" s="4">
        <f>Base[[#This Row],['[Prod']'[Présentéisme']Jours_avant]]-Base[[#This Row],['[Prod']'[Présentéisme']Jours_après]]</f>
        <v>0.10082068285083451</v>
      </c>
      <c r="CD478" s="4">
        <f>Base[[#This Row],['[Prod']'[Présentéisme']Jours_gagnés]]/Base[[#This Row],['[Prod']Jours_ouvrés]]</f>
        <v>3.9693182224737994E-4</v>
      </c>
      <c r="CE478">
        <v>9.3428413505841454E-2</v>
      </c>
      <c r="CF478">
        <v>2.1038737314955848E-2</v>
      </c>
      <c r="CG478" s="4">
        <v>11</v>
      </c>
      <c r="CH478" s="4">
        <v>0.19346787829229528</v>
      </c>
      <c r="CI478" s="4">
        <v>2.8126549817953091E-2</v>
      </c>
      <c r="CJ478" s="4">
        <f>IF(Base[[#This Row],[Secteur]]&lt;&gt;"Moyenne",Base[[#This Row],['[Prod']'[Turnover']DMC_initiale]]*(1+Base[[#This Row],['[Prod']'[Turnover']Ecart_accidents]]*Base[[#This Row],['[Prod']Impact_motifs_turnover]]),CJ461*CI461+CJ462*CI462+CJ463*CI463+CJ464*CI464+CJ465*CI465+CJ466*CI466+CJ467*CI467+CJ468*CI468+CJ469*CI469+CJ470*CI470+CJ471*CI471+CJ472*CI472+CJ473*CI473+CJ474*CI474+CJ475*CI475+CJ476*CI476+CJ477*CI477)</f>
        <v>11.044773518573008</v>
      </c>
      <c r="CK478" s="4">
        <f>1/Base[[#This Row],['[Prod']'[Turnover']DMC_initiale]]</f>
        <v>9.0909090909090912E-2</v>
      </c>
      <c r="CL478" s="4">
        <f>1/Base[[#This Row],['[Prod']'[Turnover']DMC_finale]]</f>
        <v>9.0540561861082031E-2</v>
      </c>
    </row>
    <row r="479" spans="2:90" x14ac:dyDescent="0.25">
      <c r="B479" s="4" t="s">
        <v>327</v>
      </c>
      <c r="C479">
        <v>30</v>
      </c>
      <c r="D479" t="s">
        <v>85</v>
      </c>
      <c r="E479" t="s">
        <v>3</v>
      </c>
      <c r="F479" s="3">
        <v>0.17960715938795463</v>
      </c>
      <c r="G479" s="3">
        <v>2.5999999999999999E-2</v>
      </c>
      <c r="H479" s="3">
        <v>2.5999999999999999E-2</v>
      </c>
      <c r="I479" s="3">
        <v>8.5000000000000006E-2</v>
      </c>
      <c r="J479" s="3">
        <v>24.289173334126499</v>
      </c>
      <c r="K479" s="3">
        <v>7.0000000000000007E-2</v>
      </c>
      <c r="L479" s="2">
        <f>Base[[#This Row],[Coût]]*Base[[#This Row],[Part_ménages_dépenses_santé]]</f>
        <v>1.7002421333888551</v>
      </c>
      <c r="M479" s="2">
        <v>0.99784170771638514</v>
      </c>
      <c r="N479" s="6">
        <v>27700000</v>
      </c>
      <c r="O479" s="7">
        <f>Base[[#This Row],[Coût_salarié]]*10^9*Base[[#This Row],[Risque]]*Base[[#This Row],[Prévalence]]*Base[[#This Row],[Part_coûts_salarié]]/Base[[#This Row],[Population_emploi]]</f>
        <v>0.28601555299296749</v>
      </c>
      <c r="P479">
        <v>50</v>
      </c>
      <c r="Q479">
        <v>50</v>
      </c>
      <c r="R479" s="2">
        <v>9.9999999999999978E-2</v>
      </c>
      <c r="S479" s="2">
        <v>0.33340000000000003</v>
      </c>
      <c r="T479" s="4">
        <v>2.5999999999999999E-2</v>
      </c>
      <c r="U479" s="4">
        <f>IF(Bases_annexes!$F$5=0,16.6587111018772,0.77*Bases_annexes!$F$5/(IF(OR(ISBLANK('Données_d''entrée'!$E$44),'Données_d''entrée'!$E$44=0),35,'Données_d''entrée'!$E$44)*52))</f>
        <v>16.658711101877199</v>
      </c>
      <c r="V479" s="4">
        <v>22.173118639135399</v>
      </c>
      <c r="W4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79" s="4">
        <v>234.5</v>
      </c>
      <c r="Y479" s="4">
        <f>(Base[[#This Row],['[Maladies']Coûts_évités_par_salarié]]+Base[[#This Row],['[Travail']Coûts_évités_par_salarié]])/Base[[#This Row],[Budget_santé_salarié]]</f>
        <v>1.26385053586783E-2</v>
      </c>
      <c r="Z479" s="4">
        <v>0.8</v>
      </c>
      <c r="AA479" s="4">
        <f>Base[[#This Row],[Coût]]*Base[[#This Row],[Part_société_dépenses_santé]]</f>
        <v>19.431338667301201</v>
      </c>
      <c r="AB479" s="4">
        <v>67635124</v>
      </c>
      <c r="AC479" s="4">
        <v>82.297079063317852</v>
      </c>
      <c r="AD479" s="4">
        <v>2.5999999999999999E-2</v>
      </c>
      <c r="AE479" s="4">
        <f>Base[[#This Row],['[SC']Prévalence_travail]]*Base[[#This Row],[Population_emploi]]</f>
        <v>720200</v>
      </c>
      <c r="AF479" s="4">
        <f>Base[[#This Row],[Risque]]*Base[[#This Row],['[SC']Patients_en_emploi]]</f>
        <v>129353.07619120492</v>
      </c>
      <c r="AG479" s="4">
        <v>1257615774.8399999</v>
      </c>
      <c r="AH479" s="4">
        <f>IFERROR(Base[[#This Row],['[SC']Prestations]]/Base[[#This Row],['[SC']Patients_en_emploi]],0)</f>
        <v>1746.203519633435</v>
      </c>
      <c r="AI479" s="4">
        <v>51.7</v>
      </c>
      <c r="AJ4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79" s="4">
        <f>Base[[#This Row],['[SC']'[Travail']Coûts_évités]]/Base[[#This Row],[Population_emploi]]</f>
        <v>8.1543970007398521</v>
      </c>
      <c r="AL479" s="4">
        <f>Base[[#This Row],[Coût_société]]*10^9*Base[[#This Row],[Risque]]*Base[[#This Row],[Prévalence]]*Base[[#This Row],[Part_coûts_salarié]]/Base[[#This Row],[Population_emploi]]</f>
        <v>3.2687491770624852</v>
      </c>
      <c r="AM479" s="4">
        <f>IF(Base[[#This Row],[Pathologie]]&lt;&gt;"Dépendance",0,14909.24243952)</f>
        <v>0</v>
      </c>
      <c r="AN479" s="4">
        <f>IF(Base[[#This Row],[Pathologie]]&lt;&gt;"Dépendance",0,1316000)</f>
        <v>0</v>
      </c>
      <c r="AO479" s="4">
        <f>IF(Base[[#This Row],[Pathologie]]&lt;&gt;"Dépendance",0,Base[[#This Row],['[SC']Coût_personne_dépendante]]*Base[[#This Row],['[SC']Nb_personnes_dépendantes]])</f>
        <v>0</v>
      </c>
      <c r="AP479" s="4">
        <f>IF(Base[[#This Row],[Pathologie]]&lt;&gt;"Dépendance",0,Base[[#This Row],['[SC']Coût_total_dépendance]]/Base[[#This Row],[Population_totale]])</f>
        <v>0</v>
      </c>
      <c r="AQ479" s="4">
        <f>IF(Base[[#This Row],[Pathologie]]&lt;&gt;"Dépendance",0,4.5)</f>
        <v>0</v>
      </c>
      <c r="AR479" s="4">
        <v>1.0077957276768601</v>
      </c>
      <c r="AS479" s="4">
        <f>Base[[#This Row],[Espérance_vie]]+Base[[#This Row],['[SC']Hausse_esp_de_vie]]-Base[[#This Row],['[SC']Durée_moyenne_dépendance_avt]]+Base[[#This Row],[Risque]]</f>
        <v>83.484481950382673</v>
      </c>
      <c r="AT4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79" s="4">
        <v>62.9</v>
      </c>
      <c r="AW479" s="4">
        <f t="shared" si="12"/>
        <v>336905600000</v>
      </c>
      <c r="AX479" s="4">
        <v>15049171</v>
      </c>
      <c r="AY479" s="4">
        <f>Base[[#This Row],['[SC']Budget_total_retraites]]/Base[[#This Row],['[SC']Nombre_de_retraités]]</f>
        <v>22386.987296509556</v>
      </c>
      <c r="AZ479" s="4">
        <f>Base[[#This Row],['[SC']Budget_par_retraité]]*Base[[#This Row],['[SC']Nb_personnes_dépendantes]]</f>
        <v>0</v>
      </c>
      <c r="BA479" s="4">
        <f>Base[[#This Row],['[SC']'[Dépendance']Coût_retraite_personnes_dépendantes]]/Base[[#This Row],[Population_totale]]</f>
        <v>0</v>
      </c>
      <c r="BB4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79" s="4">
        <f>Base[[#This Row],['[SC']'[Dépendance']Gains]]-Base[[#This Row],['[SC']'[Dépendance']Coûts]]</f>
        <v>0</v>
      </c>
      <c r="BD479" s="4">
        <f>IF(Base[[#This Row],[Pathologie]]&lt;&gt;"Mort prématurée",0,Base[[#This Row],[Risque]]*Base[[#This Row],[Prévalence]]*Base[[#This Row],[Population_totale]])</f>
        <v>0</v>
      </c>
      <c r="BE479" s="4">
        <v>52.74</v>
      </c>
      <c r="BF479" s="4">
        <f>Base[[#This Row],['[SC']Âge_moyen_retraite]]-Base[[#This Row],['[SC']'[Mort_prématurée']Âge_moyen_mort précoce]]</f>
        <v>10.159999999999997</v>
      </c>
      <c r="BG479" s="4">
        <f>Base[[#This Row],[Espérance_vie]]+Base[[#This Row],['[SC']Hausse_esp_de_vie]]-Base[[#This Row],['[SC']Âge_moyen_retraite]]</f>
        <v>20.404874790994718</v>
      </c>
      <c r="BH479" s="4">
        <v>106583.42676924677</v>
      </c>
      <c r="BI479" s="4">
        <v>97601.789429271477</v>
      </c>
      <c r="BJ479" s="4">
        <v>302038.31496633729</v>
      </c>
      <c r="BK479" s="4">
        <v>117293.58934859755</v>
      </c>
      <c r="BL479" s="4">
        <v>1523999.9999999995</v>
      </c>
      <c r="BM4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79" s="4">
        <v>294804.96027377353</v>
      </c>
      <c r="BO4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79" s="4">
        <f>(Base[[#This Row],['[SC']'[Mort_prématurée']Gains]]-Base[[#This Row],['[SC']'[Mort_prématurée']Coûts]])/Base[[#This Row],[Population_totale]]</f>
        <v>0</v>
      </c>
      <c r="BQ479" s="4">
        <f>IF(Base[[#This Row],[Pathologie]]&lt;&gt;"Mort prématurée",0,Base[[#This Row],[Risque]])</f>
        <v>0</v>
      </c>
      <c r="BR479" s="4">
        <v>2680</v>
      </c>
      <c r="BS4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79" s="4">
        <f>Base[[#This Row],[Prévalence_prod]]*(1-Base[[#This Row],[Risque]])*Base[[#This Row],[Durée_arrêt]]*Base[[#This Row],[Population_emploi]]</f>
        <v>13100918.939180605</v>
      </c>
      <c r="BV479" s="4">
        <f>Base[[#This Row],['[Prod']'[Absentéisme']Total_jours_absence_avant]]-Base[[#This Row],['[Prod']'[Absentéisme']Total_jours_absence_après]]</f>
        <v>2868161.1047247089</v>
      </c>
      <c r="BW479" s="4">
        <f>IF(AND(Base[[#This Row],[Pathologie]]&lt;&gt;"Dépendance",Base[[#This Row],[Pathologie]]&lt;&gt;"Mort prématurée",Base[[#This Row],[Pathologie]]&lt;&gt;"Migraine"),0.0619,0)</f>
        <v>6.1899999999999997E-2</v>
      </c>
      <c r="BX479" s="4">
        <v>254</v>
      </c>
      <c r="BY479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79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79" s="4">
        <f>Base[[#This Row],[Prévalence_prod]]*Base[[#This Row],[Présentéisme]]*Base[[#This Row],['[Prod']Jours_ouvrés]]</f>
        <v>0.56134000000000006</v>
      </c>
      <c r="CB479" s="4">
        <f>Base[[#This Row],[Prévalence_prod]]*(1-Base[[#This Row],[Risque]])*Base[[#This Row],[Présentéisme]]*Base[[#This Row],['[Prod']Jours_ouvrés]]</f>
        <v>0.46051931714916555</v>
      </c>
      <c r="CC479" s="4">
        <f>Base[[#This Row],['[Prod']'[Présentéisme']Jours_avant]]-Base[[#This Row],['[Prod']'[Présentéisme']Jours_après]]</f>
        <v>0.10082068285083451</v>
      </c>
      <c r="CD479" s="4">
        <f>Base[[#This Row],['[Prod']'[Présentéisme']Jours_gagnés]]/Base[[#This Row],['[Prod']Jours_ouvrés]]</f>
        <v>3.9693182224737994E-4</v>
      </c>
      <c r="CE479">
        <v>9.3428413505841454E-2</v>
      </c>
      <c r="CF479">
        <v>2.1038737314955848E-2</v>
      </c>
      <c r="CG479" s="4">
        <v>11</v>
      </c>
      <c r="CH479" s="4">
        <v>0.13729577077682142</v>
      </c>
      <c r="CI479" s="4">
        <v>1.373516710817578E-2</v>
      </c>
      <c r="CJ479" s="4">
        <f>IF(Base[[#This Row],[Secteur]]&lt;&gt;"Moyenne",Base[[#This Row],['[Prod']'[Turnover']DMC_initiale]]*(1+Base[[#This Row],['[Prod']'[Turnover']Ecart_accidents]]*Base[[#This Row],['[Prod']Impact_motifs_turnover]]),CJ462*CI462+CJ463*CI463+CJ464*CI464+CJ465*CI465+CJ466*CI466+CJ467*CI467+CJ468*CI468+CJ469*CI469+CJ470*CI470+CJ471*CI471+CJ472*CI472+CJ473*CI473+CJ474*CI474+CJ475*CI475+CJ476*CI476+CJ477*CI477+CJ478*CI478)</f>
        <v>11.031773826214106</v>
      </c>
      <c r="CK479" s="4">
        <f>1/Base[[#This Row],['[Prod']'[Turnover']DMC_initiale]]</f>
        <v>9.0909090909090912E-2</v>
      </c>
      <c r="CL479" s="4">
        <f>1/Base[[#This Row],['[Prod']'[Turnover']DMC_finale]]</f>
        <v>9.0647253628764871E-2</v>
      </c>
    </row>
    <row r="480" spans="2:90" x14ac:dyDescent="0.25">
      <c r="B480" s="4" t="s">
        <v>328</v>
      </c>
      <c r="C480">
        <v>30</v>
      </c>
      <c r="D480" t="s">
        <v>85</v>
      </c>
      <c r="E480" t="s">
        <v>3</v>
      </c>
      <c r="F480" s="3">
        <v>0.17960715938795463</v>
      </c>
      <c r="G480" s="3">
        <v>2.5999999999999999E-2</v>
      </c>
      <c r="H480" s="3">
        <v>2.5999999999999999E-2</v>
      </c>
      <c r="I480" s="3">
        <v>8.5000000000000006E-2</v>
      </c>
      <c r="J480" s="3">
        <v>24.289173334126499</v>
      </c>
      <c r="K480" s="3">
        <v>7.0000000000000007E-2</v>
      </c>
      <c r="L480" s="2">
        <f>Base[[#This Row],[Coût]]*Base[[#This Row],[Part_ménages_dépenses_santé]]</f>
        <v>1.7002421333888551</v>
      </c>
      <c r="M480" s="2">
        <v>0.99784170771638514</v>
      </c>
      <c r="N480" s="6">
        <v>27700000</v>
      </c>
      <c r="O480" s="7">
        <f>Base[[#This Row],[Coût_salarié]]*10^9*Base[[#This Row],[Risque]]*Base[[#This Row],[Prévalence]]*Base[[#This Row],[Part_coûts_salarié]]/Base[[#This Row],[Population_emploi]]</f>
        <v>0.28601555299296749</v>
      </c>
      <c r="P480">
        <v>50</v>
      </c>
      <c r="Q480">
        <v>50</v>
      </c>
      <c r="R480" s="2">
        <v>9.9999999999999978E-2</v>
      </c>
      <c r="S480" s="2">
        <v>0.33340000000000003</v>
      </c>
      <c r="T480" s="4">
        <v>2.5999999999999999E-2</v>
      </c>
      <c r="U480" s="4">
        <f>IF(Bases_annexes!$F$5=0,16.6587111018772,0.77*Bases_annexes!$F$5/(IF(OR(ISBLANK('Données_d''entrée'!$E$44),'Données_d''entrée'!$E$44=0),35,'Données_d''entrée'!$E$44)*52))</f>
        <v>16.658711101877199</v>
      </c>
      <c r="V480" s="4">
        <v>22.173118639135399</v>
      </c>
      <c r="W4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80" s="4">
        <v>234.5</v>
      </c>
      <c r="Y480" s="4">
        <f>(Base[[#This Row],['[Maladies']Coûts_évités_par_salarié]]+Base[[#This Row],['[Travail']Coûts_évités_par_salarié]])/Base[[#This Row],[Budget_santé_salarié]]</f>
        <v>1.26385053586783E-2</v>
      </c>
      <c r="Z480" s="4">
        <v>0.8</v>
      </c>
      <c r="AA480" s="4">
        <f>Base[[#This Row],[Coût]]*Base[[#This Row],[Part_société_dépenses_santé]]</f>
        <v>19.431338667301201</v>
      </c>
      <c r="AB480" s="4">
        <v>67635124</v>
      </c>
      <c r="AC480" s="4">
        <v>82.297079063317852</v>
      </c>
      <c r="AD480" s="4">
        <v>2.5999999999999999E-2</v>
      </c>
      <c r="AE480" s="4">
        <f>Base[[#This Row],['[SC']Prévalence_travail]]*Base[[#This Row],[Population_emploi]]</f>
        <v>720200</v>
      </c>
      <c r="AF480" s="4">
        <f>Base[[#This Row],[Risque]]*Base[[#This Row],['[SC']Patients_en_emploi]]</f>
        <v>129353.07619120492</v>
      </c>
      <c r="AG480" s="4">
        <v>1257615774.8399999</v>
      </c>
      <c r="AH480" s="4">
        <f>IFERROR(Base[[#This Row],['[SC']Prestations]]/Base[[#This Row],['[SC']Patients_en_emploi]],0)</f>
        <v>1746.203519633435</v>
      </c>
      <c r="AI480" s="4">
        <v>51.7</v>
      </c>
      <c r="AJ4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80" s="4">
        <f>Base[[#This Row],['[SC']'[Travail']Coûts_évités]]/Base[[#This Row],[Population_emploi]]</f>
        <v>8.1543970007398521</v>
      </c>
      <c r="AL480" s="4">
        <f>Base[[#This Row],[Coût_société]]*10^9*Base[[#This Row],[Risque]]*Base[[#This Row],[Prévalence]]*Base[[#This Row],[Part_coûts_salarié]]/Base[[#This Row],[Population_emploi]]</f>
        <v>3.2687491770624852</v>
      </c>
      <c r="AM480" s="4">
        <f>IF(Base[[#This Row],[Pathologie]]&lt;&gt;"Dépendance",0,14909.24243952)</f>
        <v>0</v>
      </c>
      <c r="AN480" s="4">
        <f>IF(Base[[#This Row],[Pathologie]]&lt;&gt;"Dépendance",0,1316000)</f>
        <v>0</v>
      </c>
      <c r="AO480" s="4">
        <f>IF(Base[[#This Row],[Pathologie]]&lt;&gt;"Dépendance",0,Base[[#This Row],['[SC']Coût_personne_dépendante]]*Base[[#This Row],['[SC']Nb_personnes_dépendantes]])</f>
        <v>0</v>
      </c>
      <c r="AP480" s="4">
        <f>IF(Base[[#This Row],[Pathologie]]&lt;&gt;"Dépendance",0,Base[[#This Row],['[SC']Coût_total_dépendance]]/Base[[#This Row],[Population_totale]])</f>
        <v>0</v>
      </c>
      <c r="AQ480" s="4">
        <f>IF(Base[[#This Row],[Pathologie]]&lt;&gt;"Dépendance",0,4.5)</f>
        <v>0</v>
      </c>
      <c r="AR480" s="4">
        <v>1.0077957276768601</v>
      </c>
      <c r="AS480" s="4">
        <f>Base[[#This Row],[Espérance_vie]]+Base[[#This Row],['[SC']Hausse_esp_de_vie]]-Base[[#This Row],['[SC']Durée_moyenne_dépendance_avt]]+Base[[#This Row],[Risque]]</f>
        <v>83.484481950382673</v>
      </c>
      <c r="AT4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0" s="4">
        <v>62.9</v>
      </c>
      <c r="AW480" s="4">
        <f t="shared" si="12"/>
        <v>336905600000</v>
      </c>
      <c r="AX480" s="4">
        <v>15049171</v>
      </c>
      <c r="AY480" s="4">
        <f>Base[[#This Row],['[SC']Budget_total_retraites]]/Base[[#This Row],['[SC']Nombre_de_retraités]]</f>
        <v>22386.987296509556</v>
      </c>
      <c r="AZ480" s="4">
        <f>Base[[#This Row],['[SC']Budget_par_retraité]]*Base[[#This Row],['[SC']Nb_personnes_dépendantes]]</f>
        <v>0</v>
      </c>
      <c r="BA480" s="4">
        <f>Base[[#This Row],['[SC']'[Dépendance']Coût_retraite_personnes_dépendantes]]/Base[[#This Row],[Population_totale]]</f>
        <v>0</v>
      </c>
      <c r="BB4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0" s="4">
        <f>Base[[#This Row],['[SC']'[Dépendance']Gains]]-Base[[#This Row],['[SC']'[Dépendance']Coûts]]</f>
        <v>0</v>
      </c>
      <c r="BD480" s="4">
        <f>IF(Base[[#This Row],[Pathologie]]&lt;&gt;"Mort prématurée",0,Base[[#This Row],[Risque]]*Base[[#This Row],[Prévalence]]*Base[[#This Row],[Population_totale]])</f>
        <v>0</v>
      </c>
      <c r="BE480" s="4">
        <v>52.74</v>
      </c>
      <c r="BF480" s="4">
        <f>Base[[#This Row],['[SC']Âge_moyen_retraite]]-Base[[#This Row],['[SC']'[Mort_prématurée']Âge_moyen_mort précoce]]</f>
        <v>10.159999999999997</v>
      </c>
      <c r="BG480" s="4">
        <f>Base[[#This Row],[Espérance_vie]]+Base[[#This Row],['[SC']Hausse_esp_de_vie]]-Base[[#This Row],['[SC']Âge_moyen_retraite]]</f>
        <v>20.404874790994718</v>
      </c>
      <c r="BH480" s="4">
        <v>106583.42676924677</v>
      </c>
      <c r="BI480" s="4">
        <v>97601.789429271477</v>
      </c>
      <c r="BJ480" s="4">
        <v>302038.31496633729</v>
      </c>
      <c r="BK480" s="4">
        <v>117293.58934859755</v>
      </c>
      <c r="BL480" s="4">
        <v>1523999.9999999995</v>
      </c>
      <c r="BM4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0" s="4">
        <v>294804.96027377353</v>
      </c>
      <c r="BO4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0" s="4">
        <f>(Base[[#This Row],['[SC']'[Mort_prématurée']Gains]]-Base[[#This Row],['[SC']'[Mort_prématurée']Coûts]])/Base[[#This Row],[Population_totale]]</f>
        <v>0</v>
      </c>
      <c r="BQ480" s="4">
        <f>IF(Base[[#This Row],[Pathologie]]&lt;&gt;"Mort prématurée",0,Base[[#This Row],[Risque]])</f>
        <v>0</v>
      </c>
      <c r="BR480" s="4">
        <v>2680</v>
      </c>
      <c r="BS4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0" s="4">
        <f>Base[[#This Row],[Prévalence_prod]]*(1-Base[[#This Row],[Risque]])*Base[[#This Row],[Durée_arrêt]]*Base[[#This Row],[Population_emploi]]</f>
        <v>13100918.939180605</v>
      </c>
      <c r="BV480" s="4">
        <f>Base[[#This Row],['[Prod']'[Absentéisme']Total_jours_absence_avant]]-Base[[#This Row],['[Prod']'[Absentéisme']Total_jours_absence_après]]</f>
        <v>2868161.1047247089</v>
      </c>
      <c r="BW480" s="4">
        <f>IF(AND(Base[[#This Row],[Pathologie]]&lt;&gt;"Dépendance",Base[[#This Row],[Pathologie]]&lt;&gt;"Mort prématurée",Base[[#This Row],[Pathologie]]&lt;&gt;"Migraine"),0.0619,0)</f>
        <v>6.1899999999999997E-2</v>
      </c>
      <c r="BX480" s="4">
        <v>254</v>
      </c>
      <c r="BY480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0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80" s="4">
        <f>Base[[#This Row],[Prévalence_prod]]*Base[[#This Row],[Présentéisme]]*Base[[#This Row],['[Prod']Jours_ouvrés]]</f>
        <v>0.56134000000000006</v>
      </c>
      <c r="CB480" s="4">
        <f>Base[[#This Row],[Prévalence_prod]]*(1-Base[[#This Row],[Risque]])*Base[[#This Row],[Présentéisme]]*Base[[#This Row],['[Prod']Jours_ouvrés]]</f>
        <v>0.46051931714916555</v>
      </c>
      <c r="CC480" s="4">
        <f>Base[[#This Row],['[Prod']'[Présentéisme']Jours_avant]]-Base[[#This Row],['[Prod']'[Présentéisme']Jours_après]]</f>
        <v>0.10082068285083451</v>
      </c>
      <c r="CD480" s="4">
        <f>Base[[#This Row],['[Prod']'[Présentéisme']Jours_gagnés]]/Base[[#This Row],['[Prod']Jours_ouvrés]]</f>
        <v>3.9693182224737994E-4</v>
      </c>
      <c r="CE480">
        <v>9.3428413505841454E-2</v>
      </c>
      <c r="CF480">
        <v>2.1038737314955848E-2</v>
      </c>
      <c r="CG480" s="4">
        <v>11</v>
      </c>
      <c r="CH480" s="4">
        <v>0.60922528771817497</v>
      </c>
      <c r="CI480" s="4">
        <v>3.8601807163334179E-3</v>
      </c>
      <c r="CJ480" s="4">
        <f>IF(Base[[#This Row],[Secteur]]&lt;&gt;"Moyenne",Base[[#This Row],['[Prod']'[Turnover']DMC_initiale]]*(1+Base[[#This Row],['[Prod']'[Turnover']Ecart_accidents]]*Base[[#This Row],['[Prod']Impact_motifs_turnover]]),CJ463*CI463+CJ464*CI464+CJ465*CI465+CJ466*CI466+CJ467*CI467+CJ468*CI468+CJ469*CI469+CJ470*CI470+CJ471*CI471+CJ472*CI472+CJ473*CI473+CJ474*CI474+CJ475*CI475+CJ476*CI476+CJ477*CI477+CJ478*CI478+CJ479*CI479)</f>
        <v>11.140990638733241</v>
      </c>
      <c r="CK480" s="4">
        <f>1/Base[[#This Row],['[Prod']'[Turnover']DMC_initiale]]</f>
        <v>9.0909090909090912E-2</v>
      </c>
      <c r="CL480" s="4">
        <f>1/Base[[#This Row],['[Prod']'[Turnover']DMC_finale]]</f>
        <v>8.9758624921859057E-2</v>
      </c>
    </row>
    <row r="481" spans="2:90" x14ac:dyDescent="0.25">
      <c r="B481" s="4" t="s">
        <v>329</v>
      </c>
      <c r="C481">
        <v>30</v>
      </c>
      <c r="D481" t="s">
        <v>85</v>
      </c>
      <c r="E481" t="s">
        <v>3</v>
      </c>
      <c r="F481" s="3">
        <v>0.17960715938795463</v>
      </c>
      <c r="G481" s="3">
        <v>2.5999999999999999E-2</v>
      </c>
      <c r="H481" s="3">
        <v>2.5999999999999999E-2</v>
      </c>
      <c r="I481" s="3">
        <v>8.5000000000000006E-2</v>
      </c>
      <c r="J481" s="3">
        <v>24.289173334126499</v>
      </c>
      <c r="K481" s="3">
        <v>7.0000000000000007E-2</v>
      </c>
      <c r="L481" s="2">
        <f>Base[[#This Row],[Coût]]*Base[[#This Row],[Part_ménages_dépenses_santé]]</f>
        <v>1.7002421333888551</v>
      </c>
      <c r="M481" s="2">
        <v>0.99784170771638514</v>
      </c>
      <c r="N481" s="6">
        <v>27700000</v>
      </c>
      <c r="O481" s="7">
        <f>Base[[#This Row],[Coût_salarié]]*10^9*Base[[#This Row],[Risque]]*Base[[#This Row],[Prévalence]]*Base[[#This Row],[Part_coûts_salarié]]/Base[[#This Row],[Population_emploi]]</f>
        <v>0.28601555299296749</v>
      </c>
      <c r="P481">
        <v>50</v>
      </c>
      <c r="Q481">
        <v>50</v>
      </c>
      <c r="R481" s="2">
        <v>9.9999999999999978E-2</v>
      </c>
      <c r="S481" s="2">
        <v>0.33340000000000003</v>
      </c>
      <c r="T481" s="4">
        <v>2.5999999999999999E-2</v>
      </c>
      <c r="U481" s="4">
        <f>IF(Bases_annexes!$F$5=0,16.6587111018772,0.77*Bases_annexes!$F$5/(IF(OR(ISBLANK('Données_d''entrée'!$E$44),'Données_d''entrée'!$E$44=0),35,'Données_d''entrée'!$E$44)*52))</f>
        <v>16.658711101877199</v>
      </c>
      <c r="V481" s="4">
        <v>22.173118639135399</v>
      </c>
      <c r="W4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81" s="4">
        <v>234.5</v>
      </c>
      <c r="Y481" s="4">
        <f>(Base[[#This Row],['[Maladies']Coûts_évités_par_salarié]]+Base[[#This Row],['[Travail']Coûts_évités_par_salarié]])/Base[[#This Row],[Budget_santé_salarié]]</f>
        <v>1.26385053586783E-2</v>
      </c>
      <c r="Z481" s="4">
        <v>0.8</v>
      </c>
      <c r="AA481" s="4">
        <f>Base[[#This Row],[Coût]]*Base[[#This Row],[Part_société_dépenses_santé]]</f>
        <v>19.431338667301201</v>
      </c>
      <c r="AB481" s="4">
        <v>67635124</v>
      </c>
      <c r="AC481" s="4">
        <v>82.297079063317852</v>
      </c>
      <c r="AD481" s="4">
        <v>2.5999999999999999E-2</v>
      </c>
      <c r="AE481" s="4">
        <f>Base[[#This Row],['[SC']Prévalence_travail]]*Base[[#This Row],[Population_emploi]]</f>
        <v>720200</v>
      </c>
      <c r="AF481" s="4">
        <f>Base[[#This Row],[Risque]]*Base[[#This Row],['[SC']Patients_en_emploi]]</f>
        <v>129353.07619120492</v>
      </c>
      <c r="AG481" s="4">
        <v>1257615774.8399999</v>
      </c>
      <c r="AH481" s="4">
        <f>IFERROR(Base[[#This Row],['[SC']Prestations]]/Base[[#This Row],['[SC']Patients_en_emploi]],0)</f>
        <v>1746.203519633435</v>
      </c>
      <c r="AI481" s="4">
        <v>51.7</v>
      </c>
      <c r="AJ4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81" s="4">
        <f>Base[[#This Row],['[SC']'[Travail']Coûts_évités]]/Base[[#This Row],[Population_emploi]]</f>
        <v>8.1543970007398521</v>
      </c>
      <c r="AL481" s="4">
        <f>Base[[#This Row],[Coût_société]]*10^9*Base[[#This Row],[Risque]]*Base[[#This Row],[Prévalence]]*Base[[#This Row],[Part_coûts_salarié]]/Base[[#This Row],[Population_emploi]]</f>
        <v>3.2687491770624852</v>
      </c>
      <c r="AM481" s="4">
        <f>IF(Base[[#This Row],[Pathologie]]&lt;&gt;"Dépendance",0,14909.24243952)</f>
        <v>0</v>
      </c>
      <c r="AN481" s="4">
        <f>IF(Base[[#This Row],[Pathologie]]&lt;&gt;"Dépendance",0,1316000)</f>
        <v>0</v>
      </c>
      <c r="AO481" s="4">
        <f>IF(Base[[#This Row],[Pathologie]]&lt;&gt;"Dépendance",0,Base[[#This Row],['[SC']Coût_personne_dépendante]]*Base[[#This Row],['[SC']Nb_personnes_dépendantes]])</f>
        <v>0</v>
      </c>
      <c r="AP481" s="4">
        <f>IF(Base[[#This Row],[Pathologie]]&lt;&gt;"Dépendance",0,Base[[#This Row],['[SC']Coût_total_dépendance]]/Base[[#This Row],[Population_totale]])</f>
        <v>0</v>
      </c>
      <c r="AQ481" s="4">
        <f>IF(Base[[#This Row],[Pathologie]]&lt;&gt;"Dépendance",0,4.5)</f>
        <v>0</v>
      </c>
      <c r="AR481" s="4">
        <v>1.0077957276768601</v>
      </c>
      <c r="AS481" s="4">
        <f>Base[[#This Row],[Espérance_vie]]+Base[[#This Row],['[SC']Hausse_esp_de_vie]]-Base[[#This Row],['[SC']Durée_moyenne_dépendance_avt]]+Base[[#This Row],[Risque]]</f>
        <v>83.484481950382673</v>
      </c>
      <c r="AT4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1" s="4">
        <v>62.9</v>
      </c>
      <c r="AW481" s="4">
        <f t="shared" si="12"/>
        <v>336905600000</v>
      </c>
      <c r="AX481" s="4">
        <v>15049171</v>
      </c>
      <c r="AY481" s="4">
        <f>Base[[#This Row],['[SC']Budget_total_retraites]]/Base[[#This Row],['[SC']Nombre_de_retraités]]</f>
        <v>22386.987296509556</v>
      </c>
      <c r="AZ481" s="4">
        <f>Base[[#This Row],['[SC']Budget_par_retraité]]*Base[[#This Row],['[SC']Nb_personnes_dépendantes]]</f>
        <v>0</v>
      </c>
      <c r="BA481" s="4">
        <f>Base[[#This Row],['[SC']'[Dépendance']Coût_retraite_personnes_dépendantes]]/Base[[#This Row],[Population_totale]]</f>
        <v>0</v>
      </c>
      <c r="BB4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1" s="4">
        <f>Base[[#This Row],['[SC']'[Dépendance']Gains]]-Base[[#This Row],['[SC']'[Dépendance']Coûts]]</f>
        <v>0</v>
      </c>
      <c r="BD481" s="4">
        <f>IF(Base[[#This Row],[Pathologie]]&lt;&gt;"Mort prématurée",0,Base[[#This Row],[Risque]]*Base[[#This Row],[Prévalence]]*Base[[#This Row],[Population_totale]])</f>
        <v>0</v>
      </c>
      <c r="BE481" s="4">
        <v>52.74</v>
      </c>
      <c r="BF481" s="4">
        <f>Base[[#This Row],['[SC']Âge_moyen_retraite]]-Base[[#This Row],['[SC']'[Mort_prématurée']Âge_moyen_mort précoce]]</f>
        <v>10.159999999999997</v>
      </c>
      <c r="BG481" s="4">
        <f>Base[[#This Row],[Espérance_vie]]+Base[[#This Row],['[SC']Hausse_esp_de_vie]]-Base[[#This Row],['[SC']Âge_moyen_retraite]]</f>
        <v>20.404874790994718</v>
      </c>
      <c r="BH481" s="4">
        <v>106583.42676924677</v>
      </c>
      <c r="BI481" s="4">
        <v>97601.789429271477</v>
      </c>
      <c r="BJ481" s="4">
        <v>302038.31496633729</v>
      </c>
      <c r="BK481" s="4">
        <v>117293.58934859755</v>
      </c>
      <c r="BL481" s="4">
        <v>1523999.9999999995</v>
      </c>
      <c r="BM4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1" s="4">
        <v>294804.96027377353</v>
      </c>
      <c r="BO4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1" s="4">
        <f>(Base[[#This Row],['[SC']'[Mort_prématurée']Gains]]-Base[[#This Row],['[SC']'[Mort_prématurée']Coûts]])/Base[[#This Row],[Population_totale]]</f>
        <v>0</v>
      </c>
      <c r="BQ481" s="4">
        <f>IF(Base[[#This Row],[Pathologie]]&lt;&gt;"Mort prématurée",0,Base[[#This Row],[Risque]])</f>
        <v>0</v>
      </c>
      <c r="BR481" s="4">
        <v>2680</v>
      </c>
      <c r="BS4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1" s="4">
        <f>Base[[#This Row],[Prévalence_prod]]*(1-Base[[#This Row],[Risque]])*Base[[#This Row],[Durée_arrêt]]*Base[[#This Row],[Population_emploi]]</f>
        <v>13100918.939180605</v>
      </c>
      <c r="BV481" s="4">
        <f>Base[[#This Row],['[Prod']'[Absentéisme']Total_jours_absence_avant]]-Base[[#This Row],['[Prod']'[Absentéisme']Total_jours_absence_après]]</f>
        <v>2868161.1047247089</v>
      </c>
      <c r="BW481" s="4">
        <f>IF(AND(Base[[#This Row],[Pathologie]]&lt;&gt;"Dépendance",Base[[#This Row],[Pathologie]]&lt;&gt;"Mort prématurée",Base[[#This Row],[Pathologie]]&lt;&gt;"Migraine"),0.0619,0)</f>
        <v>6.1899999999999997E-2</v>
      </c>
      <c r="BX481" s="4">
        <v>254</v>
      </c>
      <c r="BY481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1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81" s="4">
        <f>Base[[#This Row],[Prévalence_prod]]*Base[[#This Row],[Présentéisme]]*Base[[#This Row],['[Prod']Jours_ouvrés]]</f>
        <v>0.56134000000000006</v>
      </c>
      <c r="CB481" s="4">
        <f>Base[[#This Row],[Prévalence_prod]]*(1-Base[[#This Row],[Risque]])*Base[[#This Row],[Présentéisme]]*Base[[#This Row],['[Prod']Jours_ouvrés]]</f>
        <v>0.46051931714916555</v>
      </c>
      <c r="CC481" s="4">
        <f>Base[[#This Row],['[Prod']'[Présentéisme']Jours_avant]]-Base[[#This Row],['[Prod']'[Présentéisme']Jours_après]]</f>
        <v>0.10082068285083451</v>
      </c>
      <c r="CD481" s="4">
        <f>Base[[#This Row],['[Prod']'[Présentéisme']Jours_gagnés]]/Base[[#This Row],['[Prod']Jours_ouvrés]]</f>
        <v>3.9693182224737994E-4</v>
      </c>
      <c r="CE481">
        <v>9.3428413505841454E-2</v>
      </c>
      <c r="CF481">
        <v>2.1038737314955848E-2</v>
      </c>
      <c r="CG481" s="4">
        <v>11</v>
      </c>
      <c r="CH481" s="4">
        <v>0.78414927716175975</v>
      </c>
      <c r="CI481" s="4">
        <v>0.12835819090128339</v>
      </c>
      <c r="CJ481" s="4">
        <f>IF(Base[[#This Row],[Secteur]]&lt;&gt;"Moyenne",Base[[#This Row],['[Prod']'[Turnover']DMC_initiale]]*(1+Base[[#This Row],['[Prod']'[Turnover']Ecart_accidents]]*Base[[#This Row],['[Prod']Impact_motifs_turnover]]),CJ464*CI464+CJ465*CI465+CJ466*CI466+CJ467*CI467+CJ468*CI468+CJ469*CI469+CJ470*CI470+CJ471*CI471+CJ472*CI472+CJ473*CI473+CJ474*CI474+CJ475*CI475+CJ476*CI476+CJ477*CI477+CJ478*CI478+CJ479*CI479+CJ480*CI480)</f>
        <v>11.181472617237107</v>
      </c>
      <c r="CK481" s="4">
        <f>1/Base[[#This Row],['[Prod']'[Turnover']DMC_initiale]]</f>
        <v>9.0909090909090912E-2</v>
      </c>
      <c r="CL481" s="4">
        <f>1/Base[[#This Row],['[Prod']'[Turnover']DMC_finale]]</f>
        <v>8.9433658180088235E-2</v>
      </c>
    </row>
    <row r="482" spans="2:90" x14ac:dyDescent="0.25">
      <c r="B482" s="4" t="s">
        <v>330</v>
      </c>
      <c r="C482">
        <v>30</v>
      </c>
      <c r="D482" t="s">
        <v>85</v>
      </c>
      <c r="E482" t="s">
        <v>3</v>
      </c>
      <c r="F482" s="3">
        <v>0.17960715938795463</v>
      </c>
      <c r="G482" s="3">
        <v>2.5999999999999999E-2</v>
      </c>
      <c r="H482" s="3">
        <v>2.5999999999999999E-2</v>
      </c>
      <c r="I482" s="3">
        <v>8.5000000000000006E-2</v>
      </c>
      <c r="J482" s="3">
        <v>24.289173334126499</v>
      </c>
      <c r="K482" s="3">
        <v>7.0000000000000007E-2</v>
      </c>
      <c r="L482" s="2">
        <f>Base[[#This Row],[Coût]]*Base[[#This Row],[Part_ménages_dépenses_santé]]</f>
        <v>1.7002421333888551</v>
      </c>
      <c r="M482" s="2">
        <v>0.99784170771638514</v>
      </c>
      <c r="N482" s="6">
        <v>27700000</v>
      </c>
      <c r="O482" s="7">
        <f>Base[[#This Row],[Coût_salarié]]*10^9*Base[[#This Row],[Risque]]*Base[[#This Row],[Prévalence]]*Base[[#This Row],[Part_coûts_salarié]]/Base[[#This Row],[Population_emploi]]</f>
        <v>0.28601555299296749</v>
      </c>
      <c r="P482">
        <v>50</v>
      </c>
      <c r="Q482">
        <v>50</v>
      </c>
      <c r="R482" s="2">
        <v>9.9999999999999978E-2</v>
      </c>
      <c r="S482" s="2">
        <v>0.33340000000000003</v>
      </c>
      <c r="T482" s="4">
        <v>2.5999999999999999E-2</v>
      </c>
      <c r="U482" s="4">
        <f>IF(Bases_annexes!$F$5=0,16.6587111018772,0.77*Bases_annexes!$F$5/(IF(OR(ISBLANK('Données_d''entrée'!$E$44),'Données_d''entrée'!$E$44=0),35,'Données_d''entrée'!$E$44)*52))</f>
        <v>16.658711101877199</v>
      </c>
      <c r="V482" s="4">
        <v>22.173118639135399</v>
      </c>
      <c r="W4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82" s="4">
        <v>234.5</v>
      </c>
      <c r="Y482" s="4">
        <f>(Base[[#This Row],['[Maladies']Coûts_évités_par_salarié]]+Base[[#This Row],['[Travail']Coûts_évités_par_salarié]])/Base[[#This Row],[Budget_santé_salarié]]</f>
        <v>1.26385053586783E-2</v>
      </c>
      <c r="Z482" s="4">
        <v>0.8</v>
      </c>
      <c r="AA482" s="4">
        <f>Base[[#This Row],[Coût]]*Base[[#This Row],[Part_société_dépenses_santé]]</f>
        <v>19.431338667301201</v>
      </c>
      <c r="AB482" s="4">
        <v>67635124</v>
      </c>
      <c r="AC482" s="4">
        <v>82.297079063317852</v>
      </c>
      <c r="AD482" s="4">
        <v>2.5999999999999999E-2</v>
      </c>
      <c r="AE482" s="4">
        <f>Base[[#This Row],['[SC']Prévalence_travail]]*Base[[#This Row],[Population_emploi]]</f>
        <v>720200</v>
      </c>
      <c r="AF482" s="4">
        <f>Base[[#This Row],[Risque]]*Base[[#This Row],['[SC']Patients_en_emploi]]</f>
        <v>129353.07619120492</v>
      </c>
      <c r="AG482" s="4">
        <v>1257615774.8399999</v>
      </c>
      <c r="AH482" s="4">
        <f>IFERROR(Base[[#This Row],['[SC']Prestations]]/Base[[#This Row],['[SC']Patients_en_emploi]],0)</f>
        <v>1746.203519633435</v>
      </c>
      <c r="AI482" s="4">
        <v>51.7</v>
      </c>
      <c r="AJ4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82" s="4">
        <f>Base[[#This Row],['[SC']'[Travail']Coûts_évités]]/Base[[#This Row],[Population_emploi]]</f>
        <v>8.1543970007398521</v>
      </c>
      <c r="AL482" s="4">
        <f>Base[[#This Row],[Coût_société]]*10^9*Base[[#This Row],[Risque]]*Base[[#This Row],[Prévalence]]*Base[[#This Row],[Part_coûts_salarié]]/Base[[#This Row],[Population_emploi]]</f>
        <v>3.2687491770624852</v>
      </c>
      <c r="AM482" s="4">
        <f>IF(Base[[#This Row],[Pathologie]]&lt;&gt;"Dépendance",0,14909.24243952)</f>
        <v>0</v>
      </c>
      <c r="AN482" s="4">
        <f>IF(Base[[#This Row],[Pathologie]]&lt;&gt;"Dépendance",0,1316000)</f>
        <v>0</v>
      </c>
      <c r="AO482" s="4">
        <f>IF(Base[[#This Row],[Pathologie]]&lt;&gt;"Dépendance",0,Base[[#This Row],['[SC']Coût_personne_dépendante]]*Base[[#This Row],['[SC']Nb_personnes_dépendantes]])</f>
        <v>0</v>
      </c>
      <c r="AP482" s="4">
        <f>IF(Base[[#This Row],[Pathologie]]&lt;&gt;"Dépendance",0,Base[[#This Row],['[SC']Coût_total_dépendance]]/Base[[#This Row],[Population_totale]])</f>
        <v>0</v>
      </c>
      <c r="AQ482" s="4">
        <f>IF(Base[[#This Row],[Pathologie]]&lt;&gt;"Dépendance",0,4.5)</f>
        <v>0</v>
      </c>
      <c r="AR482" s="4">
        <v>1.0077957276768601</v>
      </c>
      <c r="AS482" s="4">
        <f>Base[[#This Row],[Espérance_vie]]+Base[[#This Row],['[SC']Hausse_esp_de_vie]]-Base[[#This Row],['[SC']Durée_moyenne_dépendance_avt]]+Base[[#This Row],[Risque]]</f>
        <v>83.484481950382673</v>
      </c>
      <c r="AT4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2" s="4">
        <v>62.9</v>
      </c>
      <c r="AW482" s="4">
        <f t="shared" si="12"/>
        <v>336905600000</v>
      </c>
      <c r="AX482" s="4">
        <v>15049171</v>
      </c>
      <c r="AY482" s="4">
        <f>Base[[#This Row],['[SC']Budget_total_retraites]]/Base[[#This Row],['[SC']Nombre_de_retraités]]</f>
        <v>22386.987296509556</v>
      </c>
      <c r="AZ482" s="4">
        <f>Base[[#This Row],['[SC']Budget_par_retraité]]*Base[[#This Row],['[SC']Nb_personnes_dépendantes]]</f>
        <v>0</v>
      </c>
      <c r="BA482" s="4">
        <f>Base[[#This Row],['[SC']'[Dépendance']Coût_retraite_personnes_dépendantes]]/Base[[#This Row],[Population_totale]]</f>
        <v>0</v>
      </c>
      <c r="BB4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2" s="4">
        <f>Base[[#This Row],['[SC']'[Dépendance']Gains]]-Base[[#This Row],['[SC']'[Dépendance']Coûts]]</f>
        <v>0</v>
      </c>
      <c r="BD482" s="4">
        <f>IF(Base[[#This Row],[Pathologie]]&lt;&gt;"Mort prématurée",0,Base[[#This Row],[Risque]]*Base[[#This Row],[Prévalence]]*Base[[#This Row],[Population_totale]])</f>
        <v>0</v>
      </c>
      <c r="BE482" s="4">
        <v>52.74</v>
      </c>
      <c r="BF482" s="4">
        <f>Base[[#This Row],['[SC']Âge_moyen_retraite]]-Base[[#This Row],['[SC']'[Mort_prématurée']Âge_moyen_mort précoce]]</f>
        <v>10.159999999999997</v>
      </c>
      <c r="BG482" s="4">
        <f>Base[[#This Row],[Espérance_vie]]+Base[[#This Row],['[SC']Hausse_esp_de_vie]]-Base[[#This Row],['[SC']Âge_moyen_retraite]]</f>
        <v>20.404874790994718</v>
      </c>
      <c r="BH482" s="4">
        <v>106583.42676924677</v>
      </c>
      <c r="BI482" s="4">
        <v>97601.789429271477</v>
      </c>
      <c r="BJ482" s="4">
        <v>302038.31496633729</v>
      </c>
      <c r="BK482" s="4">
        <v>117293.58934859755</v>
      </c>
      <c r="BL482" s="4">
        <v>1523999.9999999995</v>
      </c>
      <c r="BM4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2" s="4">
        <v>294804.96027377353</v>
      </c>
      <c r="BO4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2" s="4">
        <f>(Base[[#This Row],['[SC']'[Mort_prématurée']Gains]]-Base[[#This Row],['[SC']'[Mort_prématurée']Coûts]])/Base[[#This Row],[Population_totale]]</f>
        <v>0</v>
      </c>
      <c r="BQ482" s="4">
        <f>IF(Base[[#This Row],[Pathologie]]&lt;&gt;"Mort prématurée",0,Base[[#This Row],[Risque]])</f>
        <v>0</v>
      </c>
      <c r="BR482" s="4">
        <v>2680</v>
      </c>
      <c r="BS4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2" s="4">
        <f>Base[[#This Row],[Prévalence_prod]]*(1-Base[[#This Row],[Risque]])*Base[[#This Row],[Durée_arrêt]]*Base[[#This Row],[Population_emploi]]</f>
        <v>13100918.939180605</v>
      </c>
      <c r="BV482" s="4">
        <f>Base[[#This Row],['[Prod']'[Absentéisme']Total_jours_absence_avant]]-Base[[#This Row],['[Prod']'[Absentéisme']Total_jours_absence_après]]</f>
        <v>2868161.1047247089</v>
      </c>
      <c r="BW482" s="4">
        <f>IF(AND(Base[[#This Row],[Pathologie]]&lt;&gt;"Dépendance",Base[[#This Row],[Pathologie]]&lt;&gt;"Mort prématurée",Base[[#This Row],[Pathologie]]&lt;&gt;"Migraine"),0.0619,0)</f>
        <v>6.1899999999999997E-2</v>
      </c>
      <c r="BX482" s="4">
        <v>254</v>
      </c>
      <c r="BY482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2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82" s="4">
        <f>Base[[#This Row],[Prévalence_prod]]*Base[[#This Row],[Présentéisme]]*Base[[#This Row],['[Prod']Jours_ouvrés]]</f>
        <v>0.56134000000000006</v>
      </c>
      <c r="CB482" s="4">
        <f>Base[[#This Row],[Prévalence_prod]]*(1-Base[[#This Row],[Risque]])*Base[[#This Row],[Présentéisme]]*Base[[#This Row],['[Prod']Jours_ouvrés]]</f>
        <v>0.46051931714916555</v>
      </c>
      <c r="CC482" s="4">
        <f>Base[[#This Row],['[Prod']'[Présentéisme']Jours_avant]]-Base[[#This Row],['[Prod']'[Présentéisme']Jours_après]]</f>
        <v>0.10082068285083451</v>
      </c>
      <c r="CD482" s="4">
        <f>Base[[#This Row],['[Prod']'[Présentéisme']Jours_gagnés]]/Base[[#This Row],['[Prod']Jours_ouvrés]]</f>
        <v>3.9693182224737994E-4</v>
      </c>
      <c r="CE482">
        <v>9.3428413505841454E-2</v>
      </c>
      <c r="CF482">
        <v>2.1038737314955848E-2</v>
      </c>
      <c r="CG482" s="4">
        <v>11</v>
      </c>
      <c r="CH482" s="4">
        <v>0.99648427619813984</v>
      </c>
      <c r="CI482" s="4">
        <v>0.42377466100567313</v>
      </c>
      <c r="CJ482" s="4">
        <f>IF(Base[[#This Row],[Secteur]]&lt;&gt;"Moyenne",Base[[#This Row],['[Prod']'[Turnover']DMC_initiale]]*(1+Base[[#This Row],['[Prod']'[Turnover']Ecart_accidents]]*Base[[#This Row],['[Prod']Impact_motifs_turnover]]),CJ465*CI465+CJ466*CI466+CJ467*CI467+CJ468*CI468+CJ469*CI469+CJ470*CI470+CJ471*CI471+CJ472*CI472+CJ473*CI473+CJ474*CI474+CJ475*CI475+CJ476*CI476+CJ477*CI477+CJ478*CI478+CJ479*CI479+CJ480*CI480+CJ481*CI481)</f>
        <v>11.230612480179582</v>
      </c>
      <c r="CK482" s="4">
        <f>1/Base[[#This Row],['[Prod']'[Turnover']DMC_initiale]]</f>
        <v>9.0909090909090912E-2</v>
      </c>
      <c r="CL482" s="4">
        <f>1/Base[[#This Row],['[Prod']'[Turnover']DMC_finale]]</f>
        <v>8.9042338676083466E-2</v>
      </c>
    </row>
    <row r="483" spans="2:90" x14ac:dyDescent="0.25">
      <c r="B483" s="4" t="s">
        <v>331</v>
      </c>
      <c r="C483">
        <v>30</v>
      </c>
      <c r="D483" t="s">
        <v>85</v>
      </c>
      <c r="E483" t="s">
        <v>3</v>
      </c>
      <c r="F483" s="3">
        <v>0.17960715938795463</v>
      </c>
      <c r="G483" s="3">
        <v>2.5999999999999999E-2</v>
      </c>
      <c r="H483" s="3">
        <v>2.5999999999999999E-2</v>
      </c>
      <c r="I483" s="3">
        <v>8.5000000000000006E-2</v>
      </c>
      <c r="J483" s="3">
        <v>24.289173334126499</v>
      </c>
      <c r="K483" s="3">
        <v>7.0000000000000007E-2</v>
      </c>
      <c r="L483" s="2">
        <f>Base[[#This Row],[Coût]]*Base[[#This Row],[Part_ménages_dépenses_santé]]</f>
        <v>1.7002421333888551</v>
      </c>
      <c r="M483" s="2">
        <v>0.99784170771638514</v>
      </c>
      <c r="N483" s="6">
        <v>27700000</v>
      </c>
      <c r="O483" s="7">
        <f>Base[[#This Row],[Coût_salarié]]*10^9*Base[[#This Row],[Risque]]*Base[[#This Row],[Prévalence]]*Base[[#This Row],[Part_coûts_salarié]]/Base[[#This Row],[Population_emploi]]</f>
        <v>0.28601555299296749</v>
      </c>
      <c r="P483">
        <v>50</v>
      </c>
      <c r="Q483">
        <v>50</v>
      </c>
      <c r="R483" s="2">
        <v>9.9999999999999978E-2</v>
      </c>
      <c r="S483" s="2">
        <v>0.33340000000000003</v>
      </c>
      <c r="T483" s="4">
        <v>2.5999999999999999E-2</v>
      </c>
      <c r="U483" s="4">
        <f>IF(Bases_annexes!$F$5=0,16.6587111018772,0.77*Bases_annexes!$F$5/(IF(OR(ISBLANK('Données_d''entrée'!$E$44),'Données_d''entrée'!$E$44=0),35,'Données_d''entrée'!$E$44)*52))</f>
        <v>16.658711101877199</v>
      </c>
      <c r="V483" s="4">
        <v>22.173118639135399</v>
      </c>
      <c r="W4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83" s="4">
        <v>234.5</v>
      </c>
      <c r="Y483" s="4">
        <f>(Base[[#This Row],['[Maladies']Coûts_évités_par_salarié]]+Base[[#This Row],['[Travail']Coûts_évités_par_salarié]])/Base[[#This Row],[Budget_santé_salarié]]</f>
        <v>1.26385053586783E-2</v>
      </c>
      <c r="Z483" s="4">
        <v>0.8</v>
      </c>
      <c r="AA483" s="4">
        <f>Base[[#This Row],[Coût]]*Base[[#This Row],[Part_société_dépenses_santé]]</f>
        <v>19.431338667301201</v>
      </c>
      <c r="AB483" s="4">
        <v>67635124</v>
      </c>
      <c r="AC483" s="4">
        <v>82.297079063317852</v>
      </c>
      <c r="AD483" s="4">
        <v>2.5999999999999999E-2</v>
      </c>
      <c r="AE483" s="4">
        <f>Base[[#This Row],['[SC']Prévalence_travail]]*Base[[#This Row],[Population_emploi]]</f>
        <v>720200</v>
      </c>
      <c r="AF483" s="4">
        <f>Base[[#This Row],[Risque]]*Base[[#This Row],['[SC']Patients_en_emploi]]</f>
        <v>129353.07619120492</v>
      </c>
      <c r="AG483" s="4">
        <v>1257615774.8399999</v>
      </c>
      <c r="AH483" s="4">
        <f>IFERROR(Base[[#This Row],['[SC']Prestations]]/Base[[#This Row],['[SC']Patients_en_emploi]],0)</f>
        <v>1746.203519633435</v>
      </c>
      <c r="AI483" s="4">
        <v>51.7</v>
      </c>
      <c r="AJ4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83" s="4">
        <f>Base[[#This Row],['[SC']'[Travail']Coûts_évités]]/Base[[#This Row],[Population_emploi]]</f>
        <v>8.1543970007398521</v>
      </c>
      <c r="AL483" s="4">
        <f>Base[[#This Row],[Coût_société]]*10^9*Base[[#This Row],[Risque]]*Base[[#This Row],[Prévalence]]*Base[[#This Row],[Part_coûts_salarié]]/Base[[#This Row],[Population_emploi]]</f>
        <v>3.2687491770624852</v>
      </c>
      <c r="AM483" s="4">
        <f>IF(Base[[#This Row],[Pathologie]]&lt;&gt;"Dépendance",0,14909.24243952)</f>
        <v>0</v>
      </c>
      <c r="AN483" s="4">
        <f>IF(Base[[#This Row],[Pathologie]]&lt;&gt;"Dépendance",0,1316000)</f>
        <v>0</v>
      </c>
      <c r="AO483" s="4">
        <f>IF(Base[[#This Row],[Pathologie]]&lt;&gt;"Dépendance",0,Base[[#This Row],['[SC']Coût_personne_dépendante]]*Base[[#This Row],['[SC']Nb_personnes_dépendantes]])</f>
        <v>0</v>
      </c>
      <c r="AP483" s="4">
        <f>IF(Base[[#This Row],[Pathologie]]&lt;&gt;"Dépendance",0,Base[[#This Row],['[SC']Coût_total_dépendance]]/Base[[#This Row],[Population_totale]])</f>
        <v>0</v>
      </c>
      <c r="AQ483" s="4">
        <f>IF(Base[[#This Row],[Pathologie]]&lt;&gt;"Dépendance",0,4.5)</f>
        <v>0</v>
      </c>
      <c r="AR483" s="4">
        <v>1.0077957276768601</v>
      </c>
      <c r="AS483" s="4">
        <f>Base[[#This Row],[Espérance_vie]]+Base[[#This Row],['[SC']Hausse_esp_de_vie]]-Base[[#This Row],['[SC']Durée_moyenne_dépendance_avt]]+Base[[#This Row],[Risque]]</f>
        <v>83.484481950382673</v>
      </c>
      <c r="AT4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3" s="4">
        <v>62.9</v>
      </c>
      <c r="AW483" s="4">
        <f t="shared" si="12"/>
        <v>336905600000</v>
      </c>
      <c r="AX483" s="4">
        <v>15049171</v>
      </c>
      <c r="AY483" s="4">
        <f>Base[[#This Row],['[SC']Budget_total_retraites]]/Base[[#This Row],['[SC']Nombre_de_retraités]]</f>
        <v>22386.987296509556</v>
      </c>
      <c r="AZ483" s="4">
        <f>Base[[#This Row],['[SC']Budget_par_retraité]]*Base[[#This Row],['[SC']Nb_personnes_dépendantes]]</f>
        <v>0</v>
      </c>
      <c r="BA483" s="4">
        <f>Base[[#This Row],['[SC']'[Dépendance']Coût_retraite_personnes_dépendantes]]/Base[[#This Row],[Population_totale]]</f>
        <v>0</v>
      </c>
      <c r="BB4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3" s="4">
        <f>Base[[#This Row],['[SC']'[Dépendance']Gains]]-Base[[#This Row],['[SC']'[Dépendance']Coûts]]</f>
        <v>0</v>
      </c>
      <c r="BD483" s="4">
        <f>IF(Base[[#This Row],[Pathologie]]&lt;&gt;"Mort prématurée",0,Base[[#This Row],[Risque]]*Base[[#This Row],[Prévalence]]*Base[[#This Row],[Population_totale]])</f>
        <v>0</v>
      </c>
      <c r="BE483" s="4">
        <v>52.74</v>
      </c>
      <c r="BF483" s="4">
        <f>Base[[#This Row],['[SC']Âge_moyen_retraite]]-Base[[#This Row],['[SC']'[Mort_prématurée']Âge_moyen_mort précoce]]</f>
        <v>10.159999999999997</v>
      </c>
      <c r="BG483" s="4">
        <f>Base[[#This Row],[Espérance_vie]]+Base[[#This Row],['[SC']Hausse_esp_de_vie]]-Base[[#This Row],['[SC']Âge_moyen_retraite]]</f>
        <v>20.404874790994718</v>
      </c>
      <c r="BH483" s="4">
        <v>106583.42676924677</v>
      </c>
      <c r="BI483" s="4">
        <v>97601.789429271477</v>
      </c>
      <c r="BJ483" s="4">
        <v>302038.31496633729</v>
      </c>
      <c r="BK483" s="4">
        <v>117293.58934859755</v>
      </c>
      <c r="BL483" s="4">
        <v>1523999.9999999995</v>
      </c>
      <c r="BM4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3" s="4">
        <v>294804.96027377353</v>
      </c>
      <c r="BO4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3" s="4">
        <f>(Base[[#This Row],['[SC']'[Mort_prématurée']Gains]]-Base[[#This Row],['[SC']'[Mort_prématurée']Coûts]])/Base[[#This Row],[Population_totale]]</f>
        <v>0</v>
      </c>
      <c r="BQ483" s="4">
        <f>IF(Base[[#This Row],[Pathologie]]&lt;&gt;"Mort prématurée",0,Base[[#This Row],[Risque]])</f>
        <v>0</v>
      </c>
      <c r="BR483" s="4">
        <v>2680</v>
      </c>
      <c r="BS4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3" s="4">
        <f>Base[[#This Row],[Prévalence_prod]]*(1-Base[[#This Row],[Risque]])*Base[[#This Row],[Durée_arrêt]]*Base[[#This Row],[Population_emploi]]</f>
        <v>13100918.939180605</v>
      </c>
      <c r="BV483" s="4">
        <f>Base[[#This Row],['[Prod']'[Absentéisme']Total_jours_absence_avant]]-Base[[#This Row],['[Prod']'[Absentéisme']Total_jours_absence_après]]</f>
        <v>2868161.1047247089</v>
      </c>
      <c r="BW483" s="4">
        <f>IF(AND(Base[[#This Row],[Pathologie]]&lt;&gt;"Dépendance",Base[[#This Row],[Pathologie]]&lt;&gt;"Mort prématurée",Base[[#This Row],[Pathologie]]&lt;&gt;"Migraine"),0.0619,0)</f>
        <v>6.1899999999999997E-2</v>
      </c>
      <c r="BX483" s="4">
        <v>254</v>
      </c>
      <c r="BY483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3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83" s="4">
        <f>Base[[#This Row],[Prévalence_prod]]*Base[[#This Row],[Présentéisme]]*Base[[#This Row],['[Prod']Jours_ouvrés]]</f>
        <v>0.56134000000000006</v>
      </c>
      <c r="CB483" s="4">
        <f>Base[[#This Row],[Prévalence_prod]]*(1-Base[[#This Row],[Risque]])*Base[[#This Row],[Présentéisme]]*Base[[#This Row],['[Prod']Jours_ouvrés]]</f>
        <v>0.46051931714916555</v>
      </c>
      <c r="CC483" s="4">
        <f>Base[[#This Row],['[Prod']'[Présentéisme']Jours_avant]]-Base[[#This Row],['[Prod']'[Présentéisme']Jours_après]]</f>
        <v>0.10082068285083451</v>
      </c>
      <c r="CD483" s="4">
        <f>Base[[#This Row],['[Prod']'[Présentéisme']Jours_gagnés]]/Base[[#This Row],['[Prod']Jours_ouvrés]]</f>
        <v>3.9693182224737994E-4</v>
      </c>
      <c r="CE483">
        <v>9.3428413505841454E-2</v>
      </c>
      <c r="CF483">
        <v>2.1038737314955848E-2</v>
      </c>
      <c r="CG483" s="4">
        <v>11</v>
      </c>
      <c r="CH483" s="4">
        <v>1.1593596509901765</v>
      </c>
      <c r="CI483" s="4">
        <v>4.0741311947357597E-2</v>
      </c>
      <c r="CJ483" s="4">
        <f>IF(Base[[#This Row],[Secteur]]&lt;&gt;"Moyenne",Base[[#This Row],['[Prod']'[Turnover']DMC_initiale]]*(1+Base[[#This Row],['[Prod']'[Turnover']Ecart_accidents]]*Base[[#This Row],['[Prod']Impact_motifs_turnover]]),CJ466*CI466+CJ467*CI467+CJ468*CI468+CJ469*CI469+CJ470*CI470+CJ471*CI471+CJ472*CI472+CJ473*CI473+CJ474*CI474+CJ475*CI475+CJ476*CI476+CJ477*CI477+CJ478*CI478+CJ479*CI479+CJ480*CI480+CJ481*CI481+CJ482*CI482)</f>
        <v>11.268306094658152</v>
      </c>
      <c r="CK483" s="4">
        <f>1/Base[[#This Row],['[Prod']'[Turnover']DMC_initiale]]</f>
        <v>9.0909090909090912E-2</v>
      </c>
      <c r="CL483" s="4">
        <f>1/Base[[#This Row],['[Prod']'[Turnover']DMC_finale]]</f>
        <v>8.8744483119256007E-2</v>
      </c>
    </row>
    <row r="484" spans="2:90" x14ac:dyDescent="0.25">
      <c r="B484" s="4" t="s">
        <v>332</v>
      </c>
      <c r="C484">
        <v>30</v>
      </c>
      <c r="D484" t="s">
        <v>85</v>
      </c>
      <c r="E484" t="s">
        <v>3</v>
      </c>
      <c r="F484" s="3">
        <v>0.17960715938795463</v>
      </c>
      <c r="G484" s="3">
        <v>2.5999999999999999E-2</v>
      </c>
      <c r="H484" s="3">
        <v>2.5999999999999999E-2</v>
      </c>
      <c r="I484" s="3">
        <v>8.5000000000000006E-2</v>
      </c>
      <c r="J484" s="3">
        <v>24.289173334126499</v>
      </c>
      <c r="K484" s="3">
        <v>7.0000000000000007E-2</v>
      </c>
      <c r="L484" s="2">
        <f>Base[[#This Row],[Coût]]*Base[[#This Row],[Part_ménages_dépenses_santé]]</f>
        <v>1.7002421333888551</v>
      </c>
      <c r="M484" s="2">
        <v>0.99784170771638514</v>
      </c>
      <c r="N484" s="6">
        <v>27700000</v>
      </c>
      <c r="O484" s="7">
        <f>Base[[#This Row],[Coût_salarié]]*10^9*Base[[#This Row],[Risque]]*Base[[#This Row],[Prévalence]]*Base[[#This Row],[Part_coûts_salarié]]/Base[[#This Row],[Population_emploi]]</f>
        <v>0.28601555299296749</v>
      </c>
      <c r="P484">
        <v>50</v>
      </c>
      <c r="Q484">
        <v>50</v>
      </c>
      <c r="R484" s="2">
        <v>9.9999999999999978E-2</v>
      </c>
      <c r="S484" s="2">
        <v>0.33340000000000003</v>
      </c>
      <c r="T484" s="4">
        <v>2.5999999999999999E-2</v>
      </c>
      <c r="U484" s="4">
        <f>IF(Bases_annexes!$F$5=0,16.6587111018772,0.77*Bases_annexes!$F$5/(IF(OR(ISBLANK('Données_d''entrée'!$E$44),'Données_d''entrée'!$E$44=0),35,'Données_d''entrée'!$E$44)*52))</f>
        <v>16.658711101877199</v>
      </c>
      <c r="V484" s="4">
        <v>22.173118639135399</v>
      </c>
      <c r="W4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2.677713953617094</v>
      </c>
      <c r="X484" s="4">
        <v>234.5</v>
      </c>
      <c r="Y484" s="4">
        <f>(Base[[#This Row],['[Maladies']Coûts_évités_par_salarié]]+Base[[#This Row],['[Travail']Coûts_évités_par_salarié]])/Base[[#This Row],[Budget_santé_salarié]]</f>
        <v>1.26385053586783E-2</v>
      </c>
      <c r="Z484" s="4">
        <v>0.8</v>
      </c>
      <c r="AA484" s="4">
        <f>Base[[#This Row],[Coût]]*Base[[#This Row],[Part_société_dépenses_santé]]</f>
        <v>19.431338667301201</v>
      </c>
      <c r="AB484" s="4">
        <v>67635124</v>
      </c>
      <c r="AC484" s="4">
        <v>82.297079063317852</v>
      </c>
      <c r="AD484" s="4">
        <v>2.5999999999999999E-2</v>
      </c>
      <c r="AE484" s="4">
        <f>Base[[#This Row],['[SC']Prévalence_travail]]*Base[[#This Row],[Population_emploi]]</f>
        <v>720200</v>
      </c>
      <c r="AF484" s="4">
        <f>Base[[#This Row],[Risque]]*Base[[#This Row],['[SC']Patients_en_emploi]]</f>
        <v>129353.07619120492</v>
      </c>
      <c r="AG484" s="4">
        <v>1257615774.8399999</v>
      </c>
      <c r="AH484" s="4">
        <f>IFERROR(Base[[#This Row],['[SC']Prestations]]/Base[[#This Row],['[SC']Patients_en_emploi]],0)</f>
        <v>1746.203519633435</v>
      </c>
      <c r="AI484" s="4">
        <v>51.7</v>
      </c>
      <c r="AJ4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225876796.9204939</v>
      </c>
      <c r="AK484" s="4">
        <f>Base[[#This Row],['[SC']'[Travail']Coûts_évités]]/Base[[#This Row],[Population_emploi]]</f>
        <v>8.1543970007398521</v>
      </c>
      <c r="AL484" s="4">
        <f>Base[[#This Row],[Coût_société]]*10^9*Base[[#This Row],[Risque]]*Base[[#This Row],[Prévalence]]*Base[[#This Row],[Part_coûts_salarié]]/Base[[#This Row],[Population_emploi]]</f>
        <v>3.2687491770624852</v>
      </c>
      <c r="AM484" s="4">
        <f>IF(Base[[#This Row],[Pathologie]]&lt;&gt;"Dépendance",0,14909.24243952)</f>
        <v>0</v>
      </c>
      <c r="AN484" s="4">
        <f>IF(Base[[#This Row],[Pathologie]]&lt;&gt;"Dépendance",0,1316000)</f>
        <v>0</v>
      </c>
      <c r="AO484" s="4">
        <f>IF(Base[[#This Row],[Pathologie]]&lt;&gt;"Dépendance",0,Base[[#This Row],['[SC']Coût_personne_dépendante]]*Base[[#This Row],['[SC']Nb_personnes_dépendantes]])</f>
        <v>0</v>
      </c>
      <c r="AP484" s="4">
        <f>IF(Base[[#This Row],[Pathologie]]&lt;&gt;"Dépendance",0,Base[[#This Row],['[SC']Coût_total_dépendance]]/Base[[#This Row],[Population_totale]])</f>
        <v>0</v>
      </c>
      <c r="AQ484" s="4">
        <f>IF(Base[[#This Row],[Pathologie]]&lt;&gt;"Dépendance",0,4.5)</f>
        <v>0</v>
      </c>
      <c r="AR484" s="4">
        <v>1.0077957276768601</v>
      </c>
      <c r="AS484" s="4">
        <f>Base[[#This Row],[Espérance_vie]]+Base[[#This Row],['[SC']Hausse_esp_de_vie]]-Base[[#This Row],['[SC']Durée_moyenne_dépendance_avt]]+Base[[#This Row],[Risque]]</f>
        <v>83.484481950382673</v>
      </c>
      <c r="AT4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4" s="4">
        <v>62.9</v>
      </c>
      <c r="AW484" s="4">
        <f t="shared" si="12"/>
        <v>336905600000</v>
      </c>
      <c r="AX484" s="4">
        <v>15049171</v>
      </c>
      <c r="AY484" s="4">
        <f>Base[[#This Row],['[SC']Budget_total_retraites]]/Base[[#This Row],['[SC']Nombre_de_retraités]]</f>
        <v>22386.987296509556</v>
      </c>
      <c r="AZ484" s="4">
        <f>Base[[#This Row],['[SC']Budget_par_retraité]]*Base[[#This Row],['[SC']Nb_personnes_dépendantes]]</f>
        <v>0</v>
      </c>
      <c r="BA484" s="4">
        <f>Base[[#This Row],['[SC']'[Dépendance']Coût_retraite_personnes_dépendantes]]/Base[[#This Row],[Population_totale]]</f>
        <v>0</v>
      </c>
      <c r="BB4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4" s="4">
        <f>Base[[#This Row],['[SC']'[Dépendance']Gains]]-Base[[#This Row],['[SC']'[Dépendance']Coûts]]</f>
        <v>0</v>
      </c>
      <c r="BD484" s="4">
        <f>IF(Base[[#This Row],[Pathologie]]&lt;&gt;"Mort prématurée",0,Base[[#This Row],[Risque]]*Base[[#This Row],[Prévalence]]*Base[[#This Row],[Population_totale]])</f>
        <v>0</v>
      </c>
      <c r="BE484" s="4">
        <v>52.74</v>
      </c>
      <c r="BF484" s="4">
        <f>Base[[#This Row],['[SC']Âge_moyen_retraite]]-Base[[#This Row],['[SC']'[Mort_prématurée']Âge_moyen_mort précoce]]</f>
        <v>10.159999999999997</v>
      </c>
      <c r="BG484" s="4">
        <f>Base[[#This Row],[Espérance_vie]]+Base[[#This Row],['[SC']Hausse_esp_de_vie]]-Base[[#This Row],['[SC']Âge_moyen_retraite]]</f>
        <v>20.404874790994718</v>
      </c>
      <c r="BH484" s="4">
        <v>106583.42676924677</v>
      </c>
      <c r="BI484" s="4">
        <v>97601.789429271477</v>
      </c>
      <c r="BJ484" s="4">
        <v>302038.31496633729</v>
      </c>
      <c r="BK484" s="4">
        <v>117293.58934859755</v>
      </c>
      <c r="BL484" s="4">
        <v>1523999.9999999995</v>
      </c>
      <c r="BM4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4" s="4">
        <v>294804.96027377353</v>
      </c>
      <c r="BO4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4" s="4">
        <f>(Base[[#This Row],['[SC']'[Mort_prématurée']Gains]]-Base[[#This Row],['[SC']'[Mort_prématurée']Coûts]])/Base[[#This Row],[Population_totale]]</f>
        <v>0</v>
      </c>
      <c r="BQ484" s="4">
        <f>IF(Base[[#This Row],[Pathologie]]&lt;&gt;"Mort prématurée",0,Base[[#This Row],[Risque]])</f>
        <v>0</v>
      </c>
      <c r="BR484" s="4">
        <v>2680</v>
      </c>
      <c r="BS4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4.2623679767919169E-3</v>
      </c>
      <c r="BT4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15969080.043905314</v>
      </c>
      <c r="BU484" s="4">
        <f>Base[[#This Row],[Prévalence_prod]]*(1-Base[[#This Row],[Risque]])*Base[[#This Row],[Durée_arrêt]]*Base[[#This Row],[Population_emploi]]</f>
        <v>13100918.939180605</v>
      </c>
      <c r="BV484" s="4">
        <f>Base[[#This Row],['[Prod']'[Absentéisme']Total_jours_absence_avant]]-Base[[#This Row],['[Prod']'[Absentéisme']Total_jours_absence_après]]</f>
        <v>2868161.1047247089</v>
      </c>
      <c r="BW484" s="4">
        <f>IF(AND(Base[[#This Row],[Pathologie]]&lt;&gt;"Dépendance",Base[[#This Row],[Pathologie]]&lt;&gt;"Mort prématurée",Base[[#This Row],[Pathologie]]&lt;&gt;"Migraine"),0.0619,0)</f>
        <v>6.1899999999999997E-2</v>
      </c>
      <c r="BX484" s="4">
        <v>254</v>
      </c>
      <c r="BY484" s="4">
        <f>Base[[#This Row],['[Prod']'[Absentéisme']Taux_initial]]*Base[[#This Row],['[Prod']Jours_ouvrés]]*Base[[#This Row],[Population_emploi]]*Base[[#This Row],['[Prod']'[Absentéisme']Total_jours_absence_avant]]/211051099.251489</f>
        <v>32953110.44789074</v>
      </c>
      <c r="BZ484" s="4">
        <f>(Base[[#This Row],['[Prod']'[Absentéisme']Jours_théoriques]]-Base[[#This Row],['[Prod']'[Absentéisme']Total_jours_absence_évités]])/(Base[[#This Row],[Population_emploi]]*Base[[#This Row],['[Prod']Jours_ouvrés]])</f>
        <v>4.2759813160075655E-3</v>
      </c>
      <c r="CA484" s="4">
        <f>Base[[#This Row],[Prévalence_prod]]*Base[[#This Row],[Présentéisme]]*Base[[#This Row],['[Prod']Jours_ouvrés]]</f>
        <v>0.56134000000000006</v>
      </c>
      <c r="CB484" s="4">
        <f>Base[[#This Row],[Prévalence_prod]]*(1-Base[[#This Row],[Risque]])*Base[[#This Row],[Présentéisme]]*Base[[#This Row],['[Prod']Jours_ouvrés]]</f>
        <v>0.46051931714916555</v>
      </c>
      <c r="CC484" s="4">
        <f>Base[[#This Row],['[Prod']'[Présentéisme']Jours_avant]]-Base[[#This Row],['[Prod']'[Présentéisme']Jours_après]]</f>
        <v>0.10082068285083451</v>
      </c>
      <c r="CD484" s="4">
        <f>Base[[#This Row],['[Prod']'[Présentéisme']Jours_gagnés]]/Base[[#This Row],['[Prod']Jours_ouvrés]]</f>
        <v>3.9693182224737994E-4</v>
      </c>
      <c r="CE484">
        <v>9.3428413505841454E-2</v>
      </c>
      <c r="CF484">
        <v>2.1038737314955848E-2</v>
      </c>
      <c r="CG484" s="4">
        <v>11</v>
      </c>
      <c r="CH484" s="4">
        <v>0.85076983926913452</v>
      </c>
      <c r="CI484" s="4">
        <v>0</v>
      </c>
      <c r="CJ484" s="4">
        <f>IF(Base[[#This Row],[Secteur]]&lt;&gt;"Moyenne",Base[[#This Row],['[Prod']'[Turnover']DMC_initiale]]*(1+Base[[#This Row],['[Prod']'[Turnover']Ecart_accidents]]*Base[[#This Row],['[Prod']Impact_motifs_turnover]]),CJ467*CI467+CJ468*CI468+CJ469*CI469+CJ470*CI470+CJ471*CI471+CJ472*CI472+CJ473*CI473+CJ474*CI474+CJ475*CI475+CJ476*CI476+CJ477*CI477+CJ478*CI478+CJ479*CI479+CJ480*CI480+CJ481*CI481+CJ482*CI482+CJ483*CI483)</f>
        <v>11.196890354802576</v>
      </c>
      <c r="CK484" s="4">
        <f>1/Base[[#This Row],['[Prod']'[Turnover']DMC_initiale]]</f>
        <v>9.0909090909090912E-2</v>
      </c>
      <c r="CL484" s="4">
        <f>1/Base[[#This Row],['[Prod']'[Turnover']DMC_finale]]</f>
        <v>8.9310511071592255E-2</v>
      </c>
    </row>
    <row r="485" spans="2:90" x14ac:dyDescent="0.25">
      <c r="B485" s="4" t="s">
        <v>315</v>
      </c>
      <c r="C485">
        <v>30</v>
      </c>
      <c r="D485" t="s">
        <v>85</v>
      </c>
      <c r="E485" t="s">
        <v>4</v>
      </c>
      <c r="F485" s="3">
        <v>0.57873418025007606</v>
      </c>
      <c r="G485" s="3">
        <v>3.6700000000000003E-2</v>
      </c>
      <c r="H485" s="3">
        <v>3.6700000000000003E-2</v>
      </c>
      <c r="I485" s="3">
        <v>0.114</v>
      </c>
      <c r="J485" s="3">
        <v>10.311441509770701</v>
      </c>
      <c r="K485" s="3">
        <v>7.0000000000000007E-2</v>
      </c>
      <c r="L485" s="2">
        <f>Base[[#This Row],[Coût]]*Base[[#This Row],[Part_ménages_dépenses_santé]]</f>
        <v>0.72180090568394906</v>
      </c>
      <c r="M485" s="2">
        <v>0.99731334462301791</v>
      </c>
      <c r="N485" s="6">
        <v>27700000</v>
      </c>
      <c r="O485" s="7">
        <f>Base[[#This Row],[Coût_salarié]]*10^9*Base[[#This Row],[Risque]]*Base[[#This Row],[Prévalence]]*Base[[#This Row],[Part_coûts_salarié]]/Base[[#This Row],[Population_emploi]]</f>
        <v>0.55196873745248154</v>
      </c>
      <c r="P485">
        <v>50</v>
      </c>
      <c r="Q485">
        <v>50</v>
      </c>
      <c r="R485" s="2">
        <v>9.9999999999999978E-2</v>
      </c>
      <c r="S485" s="2">
        <v>0.33340000000000003</v>
      </c>
      <c r="T485" s="4">
        <v>3.6700000000000003E-2</v>
      </c>
      <c r="U485" s="4">
        <f>IF(Bases_annexes!$F$5=0,16.6587111018772,0.77*Bases_annexes!$F$5/(IF(OR(ISBLANK('Données_d''entrée'!$E$44),'Données_d''entrée'!$E$44=0),35,'Données_d''entrée'!$E$44)*52))</f>
        <v>16.658711101877199</v>
      </c>
      <c r="V485" s="4">
        <v>10.42033853287208</v>
      </c>
      <c r="W4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85" s="4">
        <v>234.5</v>
      </c>
      <c r="Y485" s="4">
        <f>(Base[[#This Row],['[Maladies']Coûts_évités_par_salarié]]+Base[[#This Row],['[Travail']Coûts_évités_par_salarié]])/Base[[#This Row],[Budget_santé_salarié]]</f>
        <v>4.187677451329095E-2</v>
      </c>
      <c r="Z485" s="4">
        <v>0.8</v>
      </c>
      <c r="AA485" s="4">
        <f>Base[[#This Row],[Coût]]*Base[[#This Row],[Part_société_dépenses_santé]]</f>
        <v>8.2491532078165601</v>
      </c>
      <c r="AB485" s="4">
        <v>67635124</v>
      </c>
      <c r="AC485" s="4">
        <v>82.297079063317852</v>
      </c>
      <c r="AD485" s="4">
        <v>3.6700000000000003E-2</v>
      </c>
      <c r="AE485" s="4">
        <f>Base[[#This Row],['[SC']Prévalence_travail]]*Base[[#This Row],[Population_emploi]]</f>
        <v>1016590.0000000001</v>
      </c>
      <c r="AF485" s="4">
        <f>Base[[#This Row],[Risque]]*Base[[#This Row],['[SC']Patients_en_emploi]]</f>
        <v>588335.38030042488</v>
      </c>
      <c r="AG485" s="4">
        <v>756671404.20000005</v>
      </c>
      <c r="AH485" s="4">
        <f>IFERROR(Base[[#This Row],['[SC']Prestations]]/Base[[#This Row],['[SC']Patients_en_emploi]],0)</f>
        <v>744.32308423258144</v>
      </c>
      <c r="AI485" s="4">
        <v>51.7</v>
      </c>
      <c r="AJ4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85" s="4">
        <f>Base[[#This Row],['[SC']'[Travail']Coûts_évités]]/Base[[#This Row],[Population_emploi]]</f>
        <v>15.809083206800036</v>
      </c>
      <c r="AL485" s="4">
        <f>Base[[#This Row],[Coût_société]]*10^9*Base[[#This Row],[Risque]]*Base[[#This Row],[Prévalence]]*Base[[#This Row],[Part_coûts_salarié]]/Base[[#This Row],[Population_emploi]]</f>
        <v>6.308214142314073</v>
      </c>
      <c r="AM485" s="4">
        <f>IF(Base[[#This Row],[Pathologie]]&lt;&gt;"Dépendance",0,14909.24243952)</f>
        <v>0</v>
      </c>
      <c r="AN485" s="4">
        <f>IF(Base[[#This Row],[Pathologie]]&lt;&gt;"Dépendance",0,1316000)</f>
        <v>0</v>
      </c>
      <c r="AO485" s="4">
        <f>IF(Base[[#This Row],[Pathologie]]&lt;&gt;"Dépendance",0,Base[[#This Row],['[SC']Coût_personne_dépendante]]*Base[[#This Row],['[SC']Nb_personnes_dépendantes]])</f>
        <v>0</v>
      </c>
      <c r="AP485" s="4">
        <f>IF(Base[[#This Row],[Pathologie]]&lt;&gt;"Dépendance",0,Base[[#This Row],['[SC']Coût_total_dépendance]]/Base[[#This Row],[Population_totale]])</f>
        <v>0</v>
      </c>
      <c r="AQ485" s="4">
        <f>IF(Base[[#This Row],[Pathologie]]&lt;&gt;"Dépendance",0,4.5)</f>
        <v>0</v>
      </c>
      <c r="AR485" s="4">
        <v>1.0077957276768601</v>
      </c>
      <c r="AS485" s="4">
        <f>Base[[#This Row],[Espérance_vie]]+Base[[#This Row],['[SC']Hausse_esp_de_vie]]-Base[[#This Row],['[SC']Durée_moyenne_dépendance_avt]]+Base[[#This Row],[Risque]]</f>
        <v>83.883608971244797</v>
      </c>
      <c r="AT4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5" s="4">
        <v>62.9</v>
      </c>
      <c r="AW485" s="4">
        <f t="shared" si="0"/>
        <v>336905600000</v>
      </c>
      <c r="AX485" s="4">
        <v>15049171</v>
      </c>
      <c r="AY485" s="4">
        <f>Base[[#This Row],['[SC']Budget_total_retraites]]/Base[[#This Row],['[SC']Nombre_de_retraités]]</f>
        <v>22386.987296509556</v>
      </c>
      <c r="AZ485" s="4">
        <f>Base[[#This Row],['[SC']Budget_par_retraité]]*Base[[#This Row],['[SC']Nb_personnes_dépendantes]]</f>
        <v>0</v>
      </c>
      <c r="BA485" s="4">
        <f>Base[[#This Row],['[SC']'[Dépendance']Coût_retraite_personnes_dépendantes]]/Base[[#This Row],[Population_totale]]</f>
        <v>0</v>
      </c>
      <c r="BB4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5" s="4">
        <f>Base[[#This Row],['[SC']'[Dépendance']Gains]]-Base[[#This Row],['[SC']'[Dépendance']Coûts]]</f>
        <v>0</v>
      </c>
      <c r="BD485" s="4">
        <f>IF(Base[[#This Row],[Pathologie]]&lt;&gt;"Mort prématurée",0,Base[[#This Row],[Risque]]*Base[[#This Row],[Prévalence]]*Base[[#This Row],[Population_totale]])</f>
        <v>0</v>
      </c>
      <c r="BE485" s="4">
        <v>52.74</v>
      </c>
      <c r="BF485" s="4">
        <f>Base[[#This Row],['[SC']Âge_moyen_retraite]]-Base[[#This Row],['[SC']'[Mort_prématurée']Âge_moyen_mort précoce]]</f>
        <v>10.159999999999997</v>
      </c>
      <c r="BG485" s="4">
        <f>Base[[#This Row],[Espérance_vie]]+Base[[#This Row],['[SC']Hausse_esp_de_vie]]-Base[[#This Row],['[SC']Âge_moyen_retraite]]</f>
        <v>20.404874790994718</v>
      </c>
      <c r="BH485" s="4">
        <v>106583.42676924677</v>
      </c>
      <c r="BI485" s="4">
        <v>97601.789429271477</v>
      </c>
      <c r="BJ485" s="4">
        <v>302038.31496633729</v>
      </c>
      <c r="BK485" s="4">
        <v>117293.58934859755</v>
      </c>
      <c r="BL485" s="4">
        <v>1523999.9999999995</v>
      </c>
      <c r="BM4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5" s="4">
        <v>294804.96027377353</v>
      </c>
      <c r="BO4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5" s="4">
        <f>(Base[[#This Row],['[SC']'[Mort_prématurée']Gains]]-Base[[#This Row],['[SC']'[Mort_prématurée']Coûts]])/Base[[#This Row],[Population_totale]]</f>
        <v>0</v>
      </c>
      <c r="BQ485" s="4">
        <f>IF(Base[[#This Row],[Pathologie]]&lt;&gt;"Mort prématurée",0,Base[[#This Row],[Risque]])</f>
        <v>0</v>
      </c>
      <c r="BR485" s="4">
        <v>2680</v>
      </c>
      <c r="BS4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85" s="4">
        <f>Base[[#This Row],[Prévalence_prod]]*(1-Base[[#This Row],[Risque]])*Base[[#This Row],[Durée_arrêt]]*Base[[#This Row],[Population_emploi]]</f>
        <v>4462558.1155359624</v>
      </c>
      <c r="BV485" s="4">
        <f>Base[[#This Row],['[Prod']'[Absentéisme']Total_jours_absence_avant]]-Base[[#This Row],['[Prod']'[Absentéisme']Total_jours_absence_après]]</f>
        <v>6130653.833596467</v>
      </c>
      <c r="BW485" s="4">
        <f>IF(AND(Base[[#This Row],[Pathologie]]&lt;&gt;"Dépendance",Base[[#This Row],[Pathologie]]&lt;&gt;"Mort prématurée",Base[[#This Row],[Pathologie]]&lt;&gt;"Migraine"),0.0619,0)</f>
        <v>6.1899999999999997E-2</v>
      </c>
      <c r="BX485" s="4">
        <v>254</v>
      </c>
      <c r="BY48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85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85" s="4">
        <f>Base[[#This Row],[Prévalence_prod]]*Base[[#This Row],[Présentéisme]]*Base[[#This Row],['[Prod']Jours_ouvrés]]</f>
        <v>1.0626852000000002</v>
      </c>
      <c r="CB485" s="4">
        <f>Base[[#This Row],[Prévalence_prod]]*(1-Base[[#This Row],[Risque]])*Base[[#This Row],[Présentéisme]]*Base[[#This Row],['[Prod']Jours_ouvrés]]</f>
        <v>0.44767295191411194</v>
      </c>
      <c r="CC485" s="4">
        <f>Base[[#This Row],['[Prod']'[Présentéisme']Jours_avant]]-Base[[#This Row],['[Prod']'[Présentéisme']Jours_après]]</f>
        <v>0.61501224808588828</v>
      </c>
      <c r="CD485" s="4">
        <f>Base[[#This Row],['[Prod']'[Présentéisme']Jours_gagnés]]/Base[[#This Row],['[Prod']Jours_ouvrés]]</f>
        <v>2.421308063330269E-3</v>
      </c>
      <c r="CE485">
        <v>9.3428413505841454E-2</v>
      </c>
      <c r="CF485">
        <v>2.1038737314955848E-2</v>
      </c>
      <c r="CG485" s="4">
        <v>11</v>
      </c>
      <c r="CH485" s="4">
        <v>1.3966184516047948</v>
      </c>
      <c r="CI485" s="4">
        <v>1.4392894727292521E-2</v>
      </c>
      <c r="CJ485" s="4">
        <f>IF(Base[[#This Row],[Secteur]]&lt;&gt;"Moyenne",Base[[#This Row],['[Prod']'[Turnover']DMC_initiale]]*(1+Base[[#This Row],['[Prod']'[Turnover']Ecart_accidents]]*Base[[#This Row],['[Prod']Impact_motifs_turnover]]),CJ468*CI468+CJ469*CI469+CJ470*CI470+CJ471*CI471+CJ472*CI472+CJ473*CI473+CJ474*CI474+CJ475*CI475+CJ476*CI476+CJ477*CI477+CJ478*CI478+CJ479*CI479+CJ480*CI480+CJ481*CI481+CJ482*CI482+CJ483*CI483+CJ484*CI484)</f>
        <v>11.32321397605787</v>
      </c>
      <c r="CK485" s="4">
        <f>1/Base[[#This Row],['[Prod']'[Turnover']DMC_initiale]]</f>
        <v>9.0909090909090912E-2</v>
      </c>
      <c r="CL485" s="4">
        <f>1/Base[[#This Row],['[Prod']'[Turnover']DMC_finale]]</f>
        <v>8.8314148448879345E-2</v>
      </c>
    </row>
    <row r="486" spans="2:90" x14ac:dyDescent="0.25">
      <c r="B486" s="4" t="s">
        <v>316</v>
      </c>
      <c r="C486">
        <v>30</v>
      </c>
      <c r="D486" t="s">
        <v>85</v>
      </c>
      <c r="E486" t="s">
        <v>4</v>
      </c>
      <c r="F486" s="3">
        <v>0.57873418025007606</v>
      </c>
      <c r="G486" s="3">
        <v>3.6700000000000003E-2</v>
      </c>
      <c r="H486" s="3">
        <v>3.6700000000000003E-2</v>
      </c>
      <c r="I486" s="3">
        <v>0.114</v>
      </c>
      <c r="J486" s="3">
        <v>10.311441509770701</v>
      </c>
      <c r="K486" s="3">
        <v>7.0000000000000007E-2</v>
      </c>
      <c r="L486" s="2">
        <f>Base[[#This Row],[Coût]]*Base[[#This Row],[Part_ménages_dépenses_santé]]</f>
        <v>0.72180090568394906</v>
      </c>
      <c r="M486" s="2">
        <v>0.99731334462301791</v>
      </c>
      <c r="N486" s="6">
        <v>27700000</v>
      </c>
      <c r="O486" s="7">
        <f>Base[[#This Row],[Coût_salarié]]*10^9*Base[[#This Row],[Risque]]*Base[[#This Row],[Prévalence]]*Base[[#This Row],[Part_coûts_salarié]]/Base[[#This Row],[Population_emploi]]</f>
        <v>0.55196873745248154</v>
      </c>
      <c r="P486">
        <v>50</v>
      </c>
      <c r="Q486">
        <v>50</v>
      </c>
      <c r="R486" s="2">
        <v>9.9999999999999978E-2</v>
      </c>
      <c r="S486" s="2">
        <v>0.33340000000000003</v>
      </c>
      <c r="T486" s="4">
        <v>3.6700000000000003E-2</v>
      </c>
      <c r="U486" s="4">
        <f>IF(Bases_annexes!$F$5=0,16.6587111018772,0.77*Bases_annexes!$F$5/(IF(OR(ISBLANK('Données_d''entrée'!$E$44),'Données_d''entrée'!$E$44=0),35,'Données_d''entrée'!$E$44)*52))</f>
        <v>16.658711101877199</v>
      </c>
      <c r="V486" s="4">
        <v>10.42033853287208</v>
      </c>
      <c r="W4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86" s="4">
        <v>234.5</v>
      </c>
      <c r="Y486" s="4">
        <f>(Base[[#This Row],['[Maladies']Coûts_évités_par_salarié]]+Base[[#This Row],['[Travail']Coûts_évités_par_salarié]])/Base[[#This Row],[Budget_santé_salarié]]</f>
        <v>4.187677451329095E-2</v>
      </c>
      <c r="Z486" s="4">
        <v>0.8</v>
      </c>
      <c r="AA486" s="4">
        <f>Base[[#This Row],[Coût]]*Base[[#This Row],[Part_société_dépenses_santé]]</f>
        <v>8.2491532078165601</v>
      </c>
      <c r="AB486" s="4">
        <v>67635124</v>
      </c>
      <c r="AC486" s="4">
        <v>82.297079063317852</v>
      </c>
      <c r="AD486" s="4">
        <v>3.6700000000000003E-2</v>
      </c>
      <c r="AE486" s="4">
        <f>Base[[#This Row],['[SC']Prévalence_travail]]*Base[[#This Row],[Population_emploi]]</f>
        <v>1016590.0000000001</v>
      </c>
      <c r="AF486" s="4">
        <f>Base[[#This Row],[Risque]]*Base[[#This Row],['[SC']Patients_en_emploi]]</f>
        <v>588335.38030042488</v>
      </c>
      <c r="AG486" s="4">
        <v>756671404.20000005</v>
      </c>
      <c r="AH486" s="4">
        <f>IFERROR(Base[[#This Row],['[SC']Prestations]]/Base[[#This Row],['[SC']Patients_en_emploi]],0)</f>
        <v>744.32308423258144</v>
      </c>
      <c r="AI486" s="4">
        <v>51.7</v>
      </c>
      <c r="AJ4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86" s="4">
        <f>Base[[#This Row],['[SC']'[Travail']Coûts_évités]]/Base[[#This Row],[Population_emploi]]</f>
        <v>15.809083206800036</v>
      </c>
      <c r="AL486" s="4">
        <f>Base[[#This Row],[Coût_société]]*10^9*Base[[#This Row],[Risque]]*Base[[#This Row],[Prévalence]]*Base[[#This Row],[Part_coûts_salarié]]/Base[[#This Row],[Population_emploi]]</f>
        <v>6.308214142314073</v>
      </c>
      <c r="AM486" s="4">
        <f>IF(Base[[#This Row],[Pathologie]]&lt;&gt;"Dépendance",0,14909.24243952)</f>
        <v>0</v>
      </c>
      <c r="AN486" s="4">
        <f>IF(Base[[#This Row],[Pathologie]]&lt;&gt;"Dépendance",0,1316000)</f>
        <v>0</v>
      </c>
      <c r="AO486" s="4">
        <f>IF(Base[[#This Row],[Pathologie]]&lt;&gt;"Dépendance",0,Base[[#This Row],['[SC']Coût_personne_dépendante]]*Base[[#This Row],['[SC']Nb_personnes_dépendantes]])</f>
        <v>0</v>
      </c>
      <c r="AP486" s="4">
        <f>IF(Base[[#This Row],[Pathologie]]&lt;&gt;"Dépendance",0,Base[[#This Row],['[SC']Coût_total_dépendance]]/Base[[#This Row],[Population_totale]])</f>
        <v>0</v>
      </c>
      <c r="AQ486" s="4">
        <f>IF(Base[[#This Row],[Pathologie]]&lt;&gt;"Dépendance",0,4.5)</f>
        <v>0</v>
      </c>
      <c r="AR486" s="4">
        <v>1.0077957276768601</v>
      </c>
      <c r="AS486" s="4">
        <f>Base[[#This Row],[Espérance_vie]]+Base[[#This Row],['[SC']Hausse_esp_de_vie]]-Base[[#This Row],['[SC']Durée_moyenne_dépendance_avt]]+Base[[#This Row],[Risque]]</f>
        <v>83.883608971244797</v>
      </c>
      <c r="AT4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6" s="4">
        <v>62.9</v>
      </c>
      <c r="AW486" s="4">
        <f t="shared" ref="AW486:AW502" si="13">336905600000</f>
        <v>336905600000</v>
      </c>
      <c r="AX486" s="4">
        <v>15049171</v>
      </c>
      <c r="AY486" s="4">
        <f>Base[[#This Row],['[SC']Budget_total_retraites]]/Base[[#This Row],['[SC']Nombre_de_retraités]]</f>
        <v>22386.987296509556</v>
      </c>
      <c r="AZ486" s="4">
        <f>Base[[#This Row],['[SC']Budget_par_retraité]]*Base[[#This Row],['[SC']Nb_personnes_dépendantes]]</f>
        <v>0</v>
      </c>
      <c r="BA486" s="4">
        <f>Base[[#This Row],['[SC']'[Dépendance']Coût_retraite_personnes_dépendantes]]/Base[[#This Row],[Population_totale]]</f>
        <v>0</v>
      </c>
      <c r="BB4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6" s="4">
        <f>Base[[#This Row],['[SC']'[Dépendance']Gains]]-Base[[#This Row],['[SC']'[Dépendance']Coûts]]</f>
        <v>0</v>
      </c>
      <c r="BD486" s="4">
        <f>IF(Base[[#This Row],[Pathologie]]&lt;&gt;"Mort prématurée",0,Base[[#This Row],[Risque]]*Base[[#This Row],[Prévalence]]*Base[[#This Row],[Population_totale]])</f>
        <v>0</v>
      </c>
      <c r="BE486" s="4">
        <v>52.74</v>
      </c>
      <c r="BF486" s="4">
        <f>Base[[#This Row],['[SC']Âge_moyen_retraite]]-Base[[#This Row],['[SC']'[Mort_prématurée']Âge_moyen_mort précoce]]</f>
        <v>10.159999999999997</v>
      </c>
      <c r="BG486" s="4">
        <f>Base[[#This Row],[Espérance_vie]]+Base[[#This Row],['[SC']Hausse_esp_de_vie]]-Base[[#This Row],['[SC']Âge_moyen_retraite]]</f>
        <v>20.404874790994718</v>
      </c>
      <c r="BH486" s="4">
        <v>106583.42676924677</v>
      </c>
      <c r="BI486" s="4">
        <v>97601.789429271477</v>
      </c>
      <c r="BJ486" s="4">
        <v>302038.31496633729</v>
      </c>
      <c r="BK486" s="4">
        <v>117293.58934859755</v>
      </c>
      <c r="BL486" s="4">
        <v>1523999.9999999995</v>
      </c>
      <c r="BM4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6" s="4">
        <v>294804.96027377353</v>
      </c>
      <c r="BO4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6" s="4">
        <f>(Base[[#This Row],['[SC']'[Mort_prématurée']Gains]]-Base[[#This Row],['[SC']'[Mort_prématurée']Coûts]])/Base[[#This Row],[Population_totale]]</f>
        <v>0</v>
      </c>
      <c r="BQ486" s="4">
        <f>IF(Base[[#This Row],[Pathologie]]&lt;&gt;"Mort prématurée",0,Base[[#This Row],[Risque]])</f>
        <v>0</v>
      </c>
      <c r="BR486" s="4">
        <v>2680</v>
      </c>
      <c r="BS4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86" s="4">
        <f>Base[[#This Row],[Prévalence_prod]]*(1-Base[[#This Row],[Risque]])*Base[[#This Row],[Durée_arrêt]]*Base[[#This Row],[Population_emploi]]</f>
        <v>4462558.1155359624</v>
      </c>
      <c r="BV486" s="4">
        <f>Base[[#This Row],['[Prod']'[Absentéisme']Total_jours_absence_avant]]-Base[[#This Row],['[Prod']'[Absentéisme']Total_jours_absence_après]]</f>
        <v>6130653.833596467</v>
      </c>
      <c r="BW486" s="4">
        <f>IF(AND(Base[[#This Row],[Pathologie]]&lt;&gt;"Dépendance",Base[[#This Row],[Pathologie]]&lt;&gt;"Mort prématurée",Base[[#This Row],[Pathologie]]&lt;&gt;"Migraine"),0.0619,0)</f>
        <v>6.1899999999999997E-2</v>
      </c>
      <c r="BX486" s="4">
        <v>254</v>
      </c>
      <c r="BY48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86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86" s="4">
        <f>Base[[#This Row],[Prévalence_prod]]*Base[[#This Row],[Présentéisme]]*Base[[#This Row],['[Prod']Jours_ouvrés]]</f>
        <v>1.0626852000000002</v>
      </c>
      <c r="CB486" s="4">
        <f>Base[[#This Row],[Prévalence_prod]]*(1-Base[[#This Row],[Risque]])*Base[[#This Row],[Présentéisme]]*Base[[#This Row],['[Prod']Jours_ouvrés]]</f>
        <v>0.44767295191411194</v>
      </c>
      <c r="CC486" s="4">
        <f>Base[[#This Row],['[Prod']'[Présentéisme']Jours_avant]]-Base[[#This Row],['[Prod']'[Présentéisme']Jours_après]]</f>
        <v>0.61501224808588828</v>
      </c>
      <c r="CD486" s="4">
        <f>Base[[#This Row],['[Prod']'[Présentéisme']Jours_gagnés]]/Base[[#This Row],['[Prod']Jours_ouvrés]]</f>
        <v>2.421308063330269E-3</v>
      </c>
      <c r="CE486">
        <v>9.3428413505841454E-2</v>
      </c>
      <c r="CF486">
        <v>2.1038737314955848E-2</v>
      </c>
      <c r="CG486" s="4">
        <v>11</v>
      </c>
      <c r="CH486" s="4">
        <v>0.68054183762612652</v>
      </c>
      <c r="CI486" s="4">
        <v>1.2135452577082654E-2</v>
      </c>
      <c r="CJ486" s="4">
        <f>IF(Base[[#This Row],[Secteur]]&lt;&gt;"Moyenne",Base[[#This Row],['[Prod']'[Turnover']DMC_initiale]]*(1+Base[[#This Row],['[Prod']'[Turnover']Ecart_accidents]]*Base[[#This Row],['[Prod']Impact_motifs_turnover]]),CJ469*CI469+CJ470*CI470+CJ471*CI471+CJ472*CI472+CJ473*CI473+CJ474*CI474+CJ475*CI475+CJ476*CI476+CJ477*CI477+CJ478*CI478+CJ479*CI479+CJ480*CI480+CJ481*CI481+CJ482*CI482+CJ483*CI483+CJ484*CI484+CJ485*CI485)</f>
        <v>11.157495150490188</v>
      </c>
      <c r="CK486" s="4">
        <f>1/Base[[#This Row],['[Prod']'[Turnover']DMC_initiale]]</f>
        <v>9.0909090909090912E-2</v>
      </c>
      <c r="CL486" s="4">
        <f>1/Base[[#This Row],['[Prod']'[Turnover']DMC_finale]]</f>
        <v>8.9625851189015879E-2</v>
      </c>
    </row>
    <row r="487" spans="2:90" x14ac:dyDescent="0.25">
      <c r="B487" s="4" t="s">
        <v>317</v>
      </c>
      <c r="C487">
        <v>30</v>
      </c>
      <c r="D487" t="s">
        <v>85</v>
      </c>
      <c r="E487" t="s">
        <v>4</v>
      </c>
      <c r="F487" s="3">
        <v>0.57873418025007606</v>
      </c>
      <c r="G487" s="3">
        <v>3.6700000000000003E-2</v>
      </c>
      <c r="H487" s="3">
        <v>3.6700000000000003E-2</v>
      </c>
      <c r="I487" s="3">
        <v>0.114</v>
      </c>
      <c r="J487" s="3">
        <v>10.311441509770701</v>
      </c>
      <c r="K487" s="3">
        <v>7.0000000000000007E-2</v>
      </c>
      <c r="L487" s="2">
        <f>Base[[#This Row],[Coût]]*Base[[#This Row],[Part_ménages_dépenses_santé]]</f>
        <v>0.72180090568394906</v>
      </c>
      <c r="M487" s="2">
        <v>0.99731334462301791</v>
      </c>
      <c r="N487" s="6">
        <v>27700000</v>
      </c>
      <c r="O487" s="7">
        <f>Base[[#This Row],[Coût_salarié]]*10^9*Base[[#This Row],[Risque]]*Base[[#This Row],[Prévalence]]*Base[[#This Row],[Part_coûts_salarié]]/Base[[#This Row],[Population_emploi]]</f>
        <v>0.55196873745248154</v>
      </c>
      <c r="P487">
        <v>50</v>
      </c>
      <c r="Q487">
        <v>50</v>
      </c>
      <c r="R487" s="2">
        <v>9.9999999999999978E-2</v>
      </c>
      <c r="S487" s="2">
        <v>0.33340000000000003</v>
      </c>
      <c r="T487" s="4">
        <v>3.6700000000000003E-2</v>
      </c>
      <c r="U487" s="4">
        <f>IF(Bases_annexes!$F$5=0,16.6587111018772,0.77*Bases_annexes!$F$5/(IF(OR(ISBLANK('Données_d''entrée'!$E$44),'Données_d''entrée'!$E$44=0),35,'Données_d''entrée'!$E$44)*52))</f>
        <v>16.658711101877199</v>
      </c>
      <c r="V487" s="4">
        <v>10.42033853287208</v>
      </c>
      <c r="W4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87" s="4">
        <v>234.5</v>
      </c>
      <c r="Y487" s="4">
        <f>(Base[[#This Row],['[Maladies']Coûts_évités_par_salarié]]+Base[[#This Row],['[Travail']Coûts_évités_par_salarié]])/Base[[#This Row],[Budget_santé_salarié]]</f>
        <v>4.187677451329095E-2</v>
      </c>
      <c r="Z487" s="4">
        <v>0.8</v>
      </c>
      <c r="AA487" s="4">
        <f>Base[[#This Row],[Coût]]*Base[[#This Row],[Part_société_dépenses_santé]]</f>
        <v>8.2491532078165601</v>
      </c>
      <c r="AB487" s="4">
        <v>67635124</v>
      </c>
      <c r="AC487" s="4">
        <v>82.297079063317852</v>
      </c>
      <c r="AD487" s="4">
        <v>3.6700000000000003E-2</v>
      </c>
      <c r="AE487" s="4">
        <f>Base[[#This Row],['[SC']Prévalence_travail]]*Base[[#This Row],[Population_emploi]]</f>
        <v>1016590.0000000001</v>
      </c>
      <c r="AF487" s="4">
        <f>Base[[#This Row],[Risque]]*Base[[#This Row],['[SC']Patients_en_emploi]]</f>
        <v>588335.38030042488</v>
      </c>
      <c r="AG487" s="4">
        <v>756671404.20000005</v>
      </c>
      <c r="AH487" s="4">
        <f>IFERROR(Base[[#This Row],['[SC']Prestations]]/Base[[#This Row],['[SC']Patients_en_emploi]],0)</f>
        <v>744.32308423258144</v>
      </c>
      <c r="AI487" s="4">
        <v>51.7</v>
      </c>
      <c r="AJ4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87" s="4">
        <f>Base[[#This Row],['[SC']'[Travail']Coûts_évités]]/Base[[#This Row],[Population_emploi]]</f>
        <v>15.809083206800036</v>
      </c>
      <c r="AL487" s="4">
        <f>Base[[#This Row],[Coût_société]]*10^9*Base[[#This Row],[Risque]]*Base[[#This Row],[Prévalence]]*Base[[#This Row],[Part_coûts_salarié]]/Base[[#This Row],[Population_emploi]]</f>
        <v>6.308214142314073</v>
      </c>
      <c r="AM487" s="4">
        <f>IF(Base[[#This Row],[Pathologie]]&lt;&gt;"Dépendance",0,14909.24243952)</f>
        <v>0</v>
      </c>
      <c r="AN487" s="4">
        <f>IF(Base[[#This Row],[Pathologie]]&lt;&gt;"Dépendance",0,1316000)</f>
        <v>0</v>
      </c>
      <c r="AO487" s="4">
        <f>IF(Base[[#This Row],[Pathologie]]&lt;&gt;"Dépendance",0,Base[[#This Row],['[SC']Coût_personne_dépendante]]*Base[[#This Row],['[SC']Nb_personnes_dépendantes]])</f>
        <v>0</v>
      </c>
      <c r="AP487" s="4">
        <f>IF(Base[[#This Row],[Pathologie]]&lt;&gt;"Dépendance",0,Base[[#This Row],['[SC']Coût_total_dépendance]]/Base[[#This Row],[Population_totale]])</f>
        <v>0</v>
      </c>
      <c r="AQ487" s="4">
        <f>IF(Base[[#This Row],[Pathologie]]&lt;&gt;"Dépendance",0,4.5)</f>
        <v>0</v>
      </c>
      <c r="AR487" s="4">
        <v>1.0077957276768601</v>
      </c>
      <c r="AS487" s="4">
        <f>Base[[#This Row],[Espérance_vie]]+Base[[#This Row],['[SC']Hausse_esp_de_vie]]-Base[[#This Row],['[SC']Durée_moyenne_dépendance_avt]]+Base[[#This Row],[Risque]]</f>
        <v>83.883608971244797</v>
      </c>
      <c r="AT4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7" s="4">
        <v>62.9</v>
      </c>
      <c r="AW487" s="4">
        <f t="shared" si="13"/>
        <v>336905600000</v>
      </c>
      <c r="AX487" s="4">
        <v>15049171</v>
      </c>
      <c r="AY487" s="4">
        <f>Base[[#This Row],['[SC']Budget_total_retraites]]/Base[[#This Row],['[SC']Nombre_de_retraités]]</f>
        <v>22386.987296509556</v>
      </c>
      <c r="AZ487" s="4">
        <f>Base[[#This Row],['[SC']Budget_par_retraité]]*Base[[#This Row],['[SC']Nb_personnes_dépendantes]]</f>
        <v>0</v>
      </c>
      <c r="BA487" s="4">
        <f>Base[[#This Row],['[SC']'[Dépendance']Coût_retraite_personnes_dépendantes]]/Base[[#This Row],[Population_totale]]</f>
        <v>0</v>
      </c>
      <c r="BB4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7" s="4">
        <f>Base[[#This Row],['[SC']'[Dépendance']Gains]]-Base[[#This Row],['[SC']'[Dépendance']Coûts]]</f>
        <v>0</v>
      </c>
      <c r="BD487" s="4">
        <f>IF(Base[[#This Row],[Pathologie]]&lt;&gt;"Mort prématurée",0,Base[[#This Row],[Risque]]*Base[[#This Row],[Prévalence]]*Base[[#This Row],[Population_totale]])</f>
        <v>0</v>
      </c>
      <c r="BE487" s="4">
        <v>52.74</v>
      </c>
      <c r="BF487" s="4">
        <f>Base[[#This Row],['[SC']Âge_moyen_retraite]]-Base[[#This Row],['[SC']'[Mort_prématurée']Âge_moyen_mort précoce]]</f>
        <v>10.159999999999997</v>
      </c>
      <c r="BG487" s="4">
        <f>Base[[#This Row],[Espérance_vie]]+Base[[#This Row],['[SC']Hausse_esp_de_vie]]-Base[[#This Row],['[SC']Âge_moyen_retraite]]</f>
        <v>20.404874790994718</v>
      </c>
      <c r="BH487" s="4">
        <v>106583.42676924677</v>
      </c>
      <c r="BI487" s="4">
        <v>97601.789429271477</v>
      </c>
      <c r="BJ487" s="4">
        <v>302038.31496633729</v>
      </c>
      <c r="BK487" s="4">
        <v>117293.58934859755</v>
      </c>
      <c r="BL487" s="4">
        <v>1523999.9999999995</v>
      </c>
      <c r="BM4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7" s="4">
        <v>294804.96027377353</v>
      </c>
      <c r="BO4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7" s="4">
        <f>(Base[[#This Row],['[SC']'[Mort_prématurée']Gains]]-Base[[#This Row],['[SC']'[Mort_prématurée']Coûts]])/Base[[#This Row],[Population_totale]]</f>
        <v>0</v>
      </c>
      <c r="BQ487" s="4">
        <f>IF(Base[[#This Row],[Pathologie]]&lt;&gt;"Mort prématurée",0,Base[[#This Row],[Risque]])</f>
        <v>0</v>
      </c>
      <c r="BR487" s="4">
        <v>2680</v>
      </c>
      <c r="BS4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87" s="4">
        <f>Base[[#This Row],[Prévalence_prod]]*(1-Base[[#This Row],[Risque]])*Base[[#This Row],[Durée_arrêt]]*Base[[#This Row],[Population_emploi]]</f>
        <v>4462558.1155359624</v>
      </c>
      <c r="BV487" s="4">
        <f>Base[[#This Row],['[Prod']'[Absentéisme']Total_jours_absence_avant]]-Base[[#This Row],['[Prod']'[Absentéisme']Total_jours_absence_après]]</f>
        <v>6130653.833596467</v>
      </c>
      <c r="BW487" s="4">
        <f>IF(AND(Base[[#This Row],[Pathologie]]&lt;&gt;"Dépendance",Base[[#This Row],[Pathologie]]&lt;&gt;"Mort prématurée",Base[[#This Row],[Pathologie]]&lt;&gt;"Migraine"),0.0619,0)</f>
        <v>6.1899999999999997E-2</v>
      </c>
      <c r="BX487" s="4">
        <v>254</v>
      </c>
      <c r="BY487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87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87" s="4">
        <f>Base[[#This Row],[Prévalence_prod]]*Base[[#This Row],[Présentéisme]]*Base[[#This Row],['[Prod']Jours_ouvrés]]</f>
        <v>1.0626852000000002</v>
      </c>
      <c r="CB487" s="4">
        <f>Base[[#This Row],[Prévalence_prod]]*(1-Base[[#This Row],[Risque]])*Base[[#This Row],[Présentéisme]]*Base[[#This Row],['[Prod']Jours_ouvrés]]</f>
        <v>0.44767295191411194</v>
      </c>
      <c r="CC487" s="4">
        <f>Base[[#This Row],['[Prod']'[Présentéisme']Jours_avant]]-Base[[#This Row],['[Prod']'[Présentéisme']Jours_après]]</f>
        <v>0.61501224808588828</v>
      </c>
      <c r="CD487" s="4">
        <f>Base[[#This Row],['[Prod']'[Présentéisme']Jours_gagnés]]/Base[[#This Row],['[Prod']Jours_ouvrés]]</f>
        <v>2.421308063330269E-3</v>
      </c>
      <c r="CE487">
        <v>9.3428413505841454E-2</v>
      </c>
      <c r="CF487">
        <v>2.1038737314955848E-2</v>
      </c>
      <c r="CG487" s="4">
        <v>11</v>
      </c>
      <c r="CH487" s="4">
        <v>0.31563677172153043</v>
      </c>
      <c r="CI487" s="4">
        <v>1.3003350630813707E-4</v>
      </c>
      <c r="CJ487" s="4">
        <f>IF(Base[[#This Row],[Secteur]]&lt;&gt;"Moyenne",Base[[#This Row],['[Prod']'[Turnover']DMC_initiale]]*(1+Base[[#This Row],['[Prod']'[Turnover']Ecart_accidents]]*Base[[#This Row],['[Prod']Impact_motifs_turnover]]),CJ470*CI470+CJ471*CI471+CJ472*CI472+CJ473*CI473+CJ474*CI474+CJ475*CI475+CJ476*CI476+CJ477*CI477+CJ478*CI478+CJ479*CI479+CJ480*CI480+CJ481*CI481+CJ482*CI482+CJ483*CI483+CJ484*CI484+CJ485*CI485+CJ486*CI486)</f>
        <v>11.073046590399091</v>
      </c>
      <c r="CK487" s="4">
        <f>1/Base[[#This Row],['[Prod']'[Turnover']DMC_initiale]]</f>
        <v>9.0909090909090912E-2</v>
      </c>
      <c r="CL487" s="4">
        <f>1/Base[[#This Row],['[Prod']'[Turnover']DMC_finale]]</f>
        <v>9.030938250246795E-2</v>
      </c>
    </row>
    <row r="488" spans="2:90" x14ac:dyDescent="0.25">
      <c r="B488" s="4" t="s">
        <v>318</v>
      </c>
      <c r="C488">
        <v>30</v>
      </c>
      <c r="D488" t="s">
        <v>85</v>
      </c>
      <c r="E488" t="s">
        <v>4</v>
      </c>
      <c r="F488" s="3">
        <v>0.57873418025007606</v>
      </c>
      <c r="G488" s="3">
        <v>3.6700000000000003E-2</v>
      </c>
      <c r="H488" s="3">
        <v>3.6700000000000003E-2</v>
      </c>
      <c r="I488" s="3">
        <v>0.114</v>
      </c>
      <c r="J488" s="3">
        <v>10.311441509770701</v>
      </c>
      <c r="K488" s="3">
        <v>7.0000000000000007E-2</v>
      </c>
      <c r="L488" s="2">
        <f>Base[[#This Row],[Coût]]*Base[[#This Row],[Part_ménages_dépenses_santé]]</f>
        <v>0.72180090568394906</v>
      </c>
      <c r="M488" s="2">
        <v>0.99731334462301791</v>
      </c>
      <c r="N488" s="6">
        <v>27700000</v>
      </c>
      <c r="O488" s="7">
        <f>Base[[#This Row],[Coût_salarié]]*10^9*Base[[#This Row],[Risque]]*Base[[#This Row],[Prévalence]]*Base[[#This Row],[Part_coûts_salarié]]/Base[[#This Row],[Population_emploi]]</f>
        <v>0.55196873745248154</v>
      </c>
      <c r="P488">
        <v>50</v>
      </c>
      <c r="Q488">
        <v>50</v>
      </c>
      <c r="R488" s="2">
        <v>9.9999999999999978E-2</v>
      </c>
      <c r="S488" s="2">
        <v>0.33340000000000003</v>
      </c>
      <c r="T488" s="4">
        <v>3.6700000000000003E-2</v>
      </c>
      <c r="U488" s="4">
        <f>IF(Bases_annexes!$F$5=0,16.6587111018772,0.77*Bases_annexes!$F$5/(IF(OR(ISBLANK('Données_d''entrée'!$E$44),'Données_d''entrée'!$E$44=0),35,'Données_d''entrée'!$E$44)*52))</f>
        <v>16.658711101877199</v>
      </c>
      <c r="V488" s="4">
        <v>10.42033853287208</v>
      </c>
      <c r="W4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88" s="4">
        <v>234.5</v>
      </c>
      <c r="Y488" s="4">
        <f>(Base[[#This Row],['[Maladies']Coûts_évités_par_salarié]]+Base[[#This Row],['[Travail']Coûts_évités_par_salarié]])/Base[[#This Row],[Budget_santé_salarié]]</f>
        <v>4.187677451329095E-2</v>
      </c>
      <c r="Z488" s="4">
        <v>0.8</v>
      </c>
      <c r="AA488" s="4">
        <f>Base[[#This Row],[Coût]]*Base[[#This Row],[Part_société_dépenses_santé]]</f>
        <v>8.2491532078165601</v>
      </c>
      <c r="AB488" s="4">
        <v>67635124</v>
      </c>
      <c r="AC488" s="4">
        <v>82.297079063317852</v>
      </c>
      <c r="AD488" s="4">
        <v>3.6700000000000003E-2</v>
      </c>
      <c r="AE488" s="4">
        <f>Base[[#This Row],['[SC']Prévalence_travail]]*Base[[#This Row],[Population_emploi]]</f>
        <v>1016590.0000000001</v>
      </c>
      <c r="AF488" s="4">
        <f>Base[[#This Row],[Risque]]*Base[[#This Row],['[SC']Patients_en_emploi]]</f>
        <v>588335.38030042488</v>
      </c>
      <c r="AG488" s="4">
        <v>756671404.20000005</v>
      </c>
      <c r="AH488" s="4">
        <f>IFERROR(Base[[#This Row],['[SC']Prestations]]/Base[[#This Row],['[SC']Patients_en_emploi]],0)</f>
        <v>744.32308423258144</v>
      </c>
      <c r="AI488" s="4">
        <v>51.7</v>
      </c>
      <c r="AJ4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88" s="4">
        <f>Base[[#This Row],['[SC']'[Travail']Coûts_évités]]/Base[[#This Row],[Population_emploi]]</f>
        <v>15.809083206800036</v>
      </c>
      <c r="AL488" s="4">
        <f>Base[[#This Row],[Coût_société]]*10^9*Base[[#This Row],[Risque]]*Base[[#This Row],[Prévalence]]*Base[[#This Row],[Part_coûts_salarié]]/Base[[#This Row],[Population_emploi]]</f>
        <v>6.308214142314073</v>
      </c>
      <c r="AM488" s="4">
        <f>IF(Base[[#This Row],[Pathologie]]&lt;&gt;"Dépendance",0,14909.24243952)</f>
        <v>0</v>
      </c>
      <c r="AN488" s="4">
        <f>IF(Base[[#This Row],[Pathologie]]&lt;&gt;"Dépendance",0,1316000)</f>
        <v>0</v>
      </c>
      <c r="AO488" s="4">
        <f>IF(Base[[#This Row],[Pathologie]]&lt;&gt;"Dépendance",0,Base[[#This Row],['[SC']Coût_personne_dépendante]]*Base[[#This Row],['[SC']Nb_personnes_dépendantes]])</f>
        <v>0</v>
      </c>
      <c r="AP488" s="4">
        <f>IF(Base[[#This Row],[Pathologie]]&lt;&gt;"Dépendance",0,Base[[#This Row],['[SC']Coût_total_dépendance]]/Base[[#This Row],[Population_totale]])</f>
        <v>0</v>
      </c>
      <c r="AQ488" s="4">
        <f>IF(Base[[#This Row],[Pathologie]]&lt;&gt;"Dépendance",0,4.5)</f>
        <v>0</v>
      </c>
      <c r="AR488" s="4">
        <v>1.0077957276768601</v>
      </c>
      <c r="AS488" s="4">
        <f>Base[[#This Row],[Espérance_vie]]+Base[[#This Row],['[SC']Hausse_esp_de_vie]]-Base[[#This Row],['[SC']Durée_moyenne_dépendance_avt]]+Base[[#This Row],[Risque]]</f>
        <v>83.883608971244797</v>
      </c>
      <c r="AT4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8" s="4">
        <v>62.9</v>
      </c>
      <c r="AW488" s="4">
        <f t="shared" si="13"/>
        <v>336905600000</v>
      </c>
      <c r="AX488" s="4">
        <v>15049171</v>
      </c>
      <c r="AY488" s="4">
        <f>Base[[#This Row],['[SC']Budget_total_retraites]]/Base[[#This Row],['[SC']Nombre_de_retraités]]</f>
        <v>22386.987296509556</v>
      </c>
      <c r="AZ488" s="4">
        <f>Base[[#This Row],['[SC']Budget_par_retraité]]*Base[[#This Row],['[SC']Nb_personnes_dépendantes]]</f>
        <v>0</v>
      </c>
      <c r="BA488" s="4">
        <f>Base[[#This Row],['[SC']'[Dépendance']Coût_retraite_personnes_dépendantes]]/Base[[#This Row],[Population_totale]]</f>
        <v>0</v>
      </c>
      <c r="BB4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8" s="4">
        <f>Base[[#This Row],['[SC']'[Dépendance']Gains]]-Base[[#This Row],['[SC']'[Dépendance']Coûts]]</f>
        <v>0</v>
      </c>
      <c r="BD488" s="4">
        <f>IF(Base[[#This Row],[Pathologie]]&lt;&gt;"Mort prématurée",0,Base[[#This Row],[Risque]]*Base[[#This Row],[Prévalence]]*Base[[#This Row],[Population_totale]])</f>
        <v>0</v>
      </c>
      <c r="BE488" s="4">
        <v>52.74</v>
      </c>
      <c r="BF488" s="4">
        <f>Base[[#This Row],['[SC']Âge_moyen_retraite]]-Base[[#This Row],['[SC']'[Mort_prématurée']Âge_moyen_mort précoce]]</f>
        <v>10.159999999999997</v>
      </c>
      <c r="BG488" s="4">
        <f>Base[[#This Row],[Espérance_vie]]+Base[[#This Row],['[SC']Hausse_esp_de_vie]]-Base[[#This Row],['[SC']Âge_moyen_retraite]]</f>
        <v>20.404874790994718</v>
      </c>
      <c r="BH488" s="4">
        <v>106583.42676924677</v>
      </c>
      <c r="BI488" s="4">
        <v>97601.789429271477</v>
      </c>
      <c r="BJ488" s="4">
        <v>302038.31496633729</v>
      </c>
      <c r="BK488" s="4">
        <v>117293.58934859755</v>
      </c>
      <c r="BL488" s="4">
        <v>1523999.9999999995</v>
      </c>
      <c r="BM4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8" s="4">
        <v>294804.96027377353</v>
      </c>
      <c r="BO4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8" s="4">
        <f>(Base[[#This Row],['[SC']'[Mort_prématurée']Gains]]-Base[[#This Row],['[SC']'[Mort_prématurée']Coûts]])/Base[[#This Row],[Population_totale]]</f>
        <v>0</v>
      </c>
      <c r="BQ488" s="4">
        <f>IF(Base[[#This Row],[Pathologie]]&lt;&gt;"Mort prématurée",0,Base[[#This Row],[Risque]])</f>
        <v>0</v>
      </c>
      <c r="BR488" s="4">
        <v>2680</v>
      </c>
      <c r="BS4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88" s="4">
        <f>Base[[#This Row],[Prévalence_prod]]*(1-Base[[#This Row],[Risque]])*Base[[#This Row],[Durée_arrêt]]*Base[[#This Row],[Population_emploi]]</f>
        <v>4462558.1155359624</v>
      </c>
      <c r="BV488" s="4">
        <f>Base[[#This Row],['[Prod']'[Absentéisme']Total_jours_absence_avant]]-Base[[#This Row],['[Prod']'[Absentéisme']Total_jours_absence_après]]</f>
        <v>6130653.833596467</v>
      </c>
      <c r="BW488" s="4">
        <f>IF(AND(Base[[#This Row],[Pathologie]]&lt;&gt;"Dépendance",Base[[#This Row],[Pathologie]]&lt;&gt;"Mort prématurée",Base[[#This Row],[Pathologie]]&lt;&gt;"Migraine"),0.0619,0)</f>
        <v>6.1899999999999997E-2</v>
      </c>
      <c r="BX488" s="4">
        <v>254</v>
      </c>
      <c r="BY488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88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88" s="4">
        <f>Base[[#This Row],[Prévalence_prod]]*Base[[#This Row],[Présentéisme]]*Base[[#This Row],['[Prod']Jours_ouvrés]]</f>
        <v>1.0626852000000002</v>
      </c>
      <c r="CB488" s="4">
        <f>Base[[#This Row],[Prévalence_prod]]*(1-Base[[#This Row],[Risque]])*Base[[#This Row],[Présentéisme]]*Base[[#This Row],['[Prod']Jours_ouvrés]]</f>
        <v>0.44767295191411194</v>
      </c>
      <c r="CC488" s="4">
        <f>Base[[#This Row],['[Prod']'[Présentéisme']Jours_avant]]-Base[[#This Row],['[Prod']'[Présentéisme']Jours_après]]</f>
        <v>0.61501224808588828</v>
      </c>
      <c r="CD488" s="4">
        <f>Base[[#This Row],['[Prod']'[Présentéisme']Jours_gagnés]]/Base[[#This Row],['[Prod']Jours_ouvrés]]</f>
        <v>2.421308063330269E-3</v>
      </c>
      <c r="CE488">
        <v>9.3428413505841454E-2</v>
      </c>
      <c r="CF488">
        <v>2.1038737314955848E-2</v>
      </c>
      <c r="CG488" s="4">
        <v>11</v>
      </c>
      <c r="CH488" s="4">
        <v>1.1688035738877327</v>
      </c>
      <c r="CI488" s="4">
        <v>9.6557438521367826E-3</v>
      </c>
      <c r="CJ488" s="4">
        <f>IF(Base[[#This Row],[Secteur]]&lt;&gt;"Moyenne",Base[[#This Row],['[Prod']'[Turnover']DMC_initiale]]*(1+Base[[#This Row],['[Prod']'[Turnover']Ecart_accidents]]*Base[[#This Row],['[Prod']Impact_motifs_turnover]]),CJ471*CI471+CJ472*CI472+CJ473*CI473+CJ474*CI474+CJ475*CI475+CJ476*CI476+CJ477*CI477+CJ478*CI478+CJ479*CI479+CJ480*CI480+CJ481*CI481+CJ482*CI482+CJ483*CI483+CJ484*CI484+CJ485*CI485+CJ486*CI486+CJ487*CI487)</f>
        <v>11.270491665001861</v>
      </c>
      <c r="CK488" s="4">
        <f>1/Base[[#This Row],['[Prod']'[Turnover']DMC_initiale]]</f>
        <v>9.0909090909090912E-2</v>
      </c>
      <c r="CL488" s="4">
        <f>1/Base[[#This Row],['[Prod']'[Turnover']DMC_finale]]</f>
        <v>8.8727273815861069E-2</v>
      </c>
    </row>
    <row r="489" spans="2:90" x14ac:dyDescent="0.25">
      <c r="B489" s="4" t="s">
        <v>319</v>
      </c>
      <c r="C489">
        <v>30</v>
      </c>
      <c r="D489" t="s">
        <v>85</v>
      </c>
      <c r="E489" t="s">
        <v>4</v>
      </c>
      <c r="F489" s="3">
        <v>0.57873418025007606</v>
      </c>
      <c r="G489" s="3">
        <v>3.6700000000000003E-2</v>
      </c>
      <c r="H489" s="3">
        <v>3.6700000000000003E-2</v>
      </c>
      <c r="I489" s="3">
        <v>0.114</v>
      </c>
      <c r="J489" s="3">
        <v>10.311441509770701</v>
      </c>
      <c r="K489" s="3">
        <v>7.0000000000000007E-2</v>
      </c>
      <c r="L489" s="2">
        <f>Base[[#This Row],[Coût]]*Base[[#This Row],[Part_ménages_dépenses_santé]]</f>
        <v>0.72180090568394906</v>
      </c>
      <c r="M489" s="2">
        <v>0.99731334462301791</v>
      </c>
      <c r="N489" s="6">
        <v>27700000</v>
      </c>
      <c r="O489" s="7">
        <f>Base[[#This Row],[Coût_salarié]]*10^9*Base[[#This Row],[Risque]]*Base[[#This Row],[Prévalence]]*Base[[#This Row],[Part_coûts_salarié]]/Base[[#This Row],[Population_emploi]]</f>
        <v>0.55196873745248154</v>
      </c>
      <c r="P489">
        <v>50</v>
      </c>
      <c r="Q489">
        <v>50</v>
      </c>
      <c r="R489" s="2">
        <v>9.9999999999999978E-2</v>
      </c>
      <c r="S489" s="2">
        <v>0.33340000000000003</v>
      </c>
      <c r="T489" s="4">
        <v>3.6700000000000003E-2</v>
      </c>
      <c r="U489" s="4">
        <f>IF(Bases_annexes!$F$5=0,16.6587111018772,0.77*Bases_annexes!$F$5/(IF(OR(ISBLANK('Données_d''entrée'!$E$44),'Données_d''entrée'!$E$44=0),35,'Données_d''entrée'!$E$44)*52))</f>
        <v>16.658711101877199</v>
      </c>
      <c r="V489" s="4">
        <v>10.42033853287208</v>
      </c>
      <c r="W4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89" s="4">
        <v>234.5</v>
      </c>
      <c r="Y489" s="4">
        <f>(Base[[#This Row],['[Maladies']Coûts_évités_par_salarié]]+Base[[#This Row],['[Travail']Coûts_évités_par_salarié]])/Base[[#This Row],[Budget_santé_salarié]]</f>
        <v>4.187677451329095E-2</v>
      </c>
      <c r="Z489" s="4">
        <v>0.8</v>
      </c>
      <c r="AA489" s="4">
        <f>Base[[#This Row],[Coût]]*Base[[#This Row],[Part_société_dépenses_santé]]</f>
        <v>8.2491532078165601</v>
      </c>
      <c r="AB489" s="4">
        <v>67635124</v>
      </c>
      <c r="AC489" s="4">
        <v>82.297079063317852</v>
      </c>
      <c r="AD489" s="4">
        <v>3.6700000000000003E-2</v>
      </c>
      <c r="AE489" s="4">
        <f>Base[[#This Row],['[SC']Prévalence_travail]]*Base[[#This Row],[Population_emploi]]</f>
        <v>1016590.0000000001</v>
      </c>
      <c r="AF489" s="4">
        <f>Base[[#This Row],[Risque]]*Base[[#This Row],['[SC']Patients_en_emploi]]</f>
        <v>588335.38030042488</v>
      </c>
      <c r="AG489" s="4">
        <v>756671404.20000005</v>
      </c>
      <c r="AH489" s="4">
        <f>IFERROR(Base[[#This Row],['[SC']Prestations]]/Base[[#This Row],['[SC']Patients_en_emploi]],0)</f>
        <v>744.32308423258144</v>
      </c>
      <c r="AI489" s="4">
        <v>51.7</v>
      </c>
      <c r="AJ4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89" s="4">
        <f>Base[[#This Row],['[SC']'[Travail']Coûts_évités]]/Base[[#This Row],[Population_emploi]]</f>
        <v>15.809083206800036</v>
      </c>
      <c r="AL489" s="4">
        <f>Base[[#This Row],[Coût_société]]*10^9*Base[[#This Row],[Risque]]*Base[[#This Row],[Prévalence]]*Base[[#This Row],[Part_coûts_salarié]]/Base[[#This Row],[Population_emploi]]</f>
        <v>6.308214142314073</v>
      </c>
      <c r="AM489" s="4">
        <f>IF(Base[[#This Row],[Pathologie]]&lt;&gt;"Dépendance",0,14909.24243952)</f>
        <v>0</v>
      </c>
      <c r="AN489" s="4">
        <f>IF(Base[[#This Row],[Pathologie]]&lt;&gt;"Dépendance",0,1316000)</f>
        <v>0</v>
      </c>
      <c r="AO489" s="4">
        <f>IF(Base[[#This Row],[Pathologie]]&lt;&gt;"Dépendance",0,Base[[#This Row],['[SC']Coût_personne_dépendante]]*Base[[#This Row],['[SC']Nb_personnes_dépendantes]])</f>
        <v>0</v>
      </c>
      <c r="AP489" s="4">
        <f>IF(Base[[#This Row],[Pathologie]]&lt;&gt;"Dépendance",0,Base[[#This Row],['[SC']Coût_total_dépendance]]/Base[[#This Row],[Population_totale]])</f>
        <v>0</v>
      </c>
      <c r="AQ489" s="4">
        <f>IF(Base[[#This Row],[Pathologie]]&lt;&gt;"Dépendance",0,4.5)</f>
        <v>0</v>
      </c>
      <c r="AR489" s="4">
        <v>1.0077957276768601</v>
      </c>
      <c r="AS489" s="4">
        <f>Base[[#This Row],[Espérance_vie]]+Base[[#This Row],['[SC']Hausse_esp_de_vie]]-Base[[#This Row],['[SC']Durée_moyenne_dépendance_avt]]+Base[[#This Row],[Risque]]</f>
        <v>83.883608971244797</v>
      </c>
      <c r="AT4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89" s="4">
        <v>62.9</v>
      </c>
      <c r="AW489" s="4">
        <f t="shared" si="13"/>
        <v>336905600000</v>
      </c>
      <c r="AX489" s="4">
        <v>15049171</v>
      </c>
      <c r="AY489" s="4">
        <f>Base[[#This Row],['[SC']Budget_total_retraites]]/Base[[#This Row],['[SC']Nombre_de_retraités]]</f>
        <v>22386.987296509556</v>
      </c>
      <c r="AZ489" s="4">
        <f>Base[[#This Row],['[SC']Budget_par_retraité]]*Base[[#This Row],['[SC']Nb_personnes_dépendantes]]</f>
        <v>0</v>
      </c>
      <c r="BA489" s="4">
        <f>Base[[#This Row],['[SC']'[Dépendance']Coût_retraite_personnes_dépendantes]]/Base[[#This Row],[Population_totale]]</f>
        <v>0</v>
      </c>
      <c r="BB4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89" s="4">
        <f>Base[[#This Row],['[SC']'[Dépendance']Gains]]-Base[[#This Row],['[SC']'[Dépendance']Coûts]]</f>
        <v>0</v>
      </c>
      <c r="BD489" s="4">
        <f>IF(Base[[#This Row],[Pathologie]]&lt;&gt;"Mort prématurée",0,Base[[#This Row],[Risque]]*Base[[#This Row],[Prévalence]]*Base[[#This Row],[Population_totale]])</f>
        <v>0</v>
      </c>
      <c r="BE489" s="4">
        <v>52.74</v>
      </c>
      <c r="BF489" s="4">
        <f>Base[[#This Row],['[SC']Âge_moyen_retraite]]-Base[[#This Row],['[SC']'[Mort_prématurée']Âge_moyen_mort précoce]]</f>
        <v>10.159999999999997</v>
      </c>
      <c r="BG489" s="4">
        <f>Base[[#This Row],[Espérance_vie]]+Base[[#This Row],['[SC']Hausse_esp_de_vie]]-Base[[#This Row],['[SC']Âge_moyen_retraite]]</f>
        <v>20.404874790994718</v>
      </c>
      <c r="BH489" s="4">
        <v>106583.42676924677</v>
      </c>
      <c r="BI489" s="4">
        <v>97601.789429271477</v>
      </c>
      <c r="BJ489" s="4">
        <v>302038.31496633729</v>
      </c>
      <c r="BK489" s="4">
        <v>117293.58934859755</v>
      </c>
      <c r="BL489" s="4">
        <v>1523999.9999999995</v>
      </c>
      <c r="BM4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89" s="4">
        <v>294804.96027377353</v>
      </c>
      <c r="BO4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89" s="4">
        <f>(Base[[#This Row],['[SC']'[Mort_prématurée']Gains]]-Base[[#This Row],['[SC']'[Mort_prématurée']Coûts]])/Base[[#This Row],[Population_totale]]</f>
        <v>0</v>
      </c>
      <c r="BQ489" s="4">
        <f>IF(Base[[#This Row],[Pathologie]]&lt;&gt;"Mort prématurée",0,Base[[#This Row],[Risque]])</f>
        <v>0</v>
      </c>
      <c r="BR489" s="4">
        <v>2680</v>
      </c>
      <c r="BS4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89" s="4">
        <f>Base[[#This Row],[Prévalence_prod]]*(1-Base[[#This Row],[Risque]])*Base[[#This Row],[Durée_arrêt]]*Base[[#This Row],[Population_emploi]]</f>
        <v>4462558.1155359624</v>
      </c>
      <c r="BV489" s="4">
        <f>Base[[#This Row],['[Prod']'[Absentéisme']Total_jours_absence_avant]]-Base[[#This Row],['[Prod']'[Absentéisme']Total_jours_absence_après]]</f>
        <v>6130653.833596467</v>
      </c>
      <c r="BW489" s="4">
        <f>IF(AND(Base[[#This Row],[Pathologie]]&lt;&gt;"Dépendance",Base[[#This Row],[Pathologie]]&lt;&gt;"Mort prématurée",Base[[#This Row],[Pathologie]]&lt;&gt;"Migraine"),0.0619,0)</f>
        <v>6.1899999999999997E-2</v>
      </c>
      <c r="BX489" s="4">
        <v>254</v>
      </c>
      <c r="BY48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89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89" s="4">
        <f>Base[[#This Row],[Prévalence_prod]]*Base[[#This Row],[Présentéisme]]*Base[[#This Row],['[Prod']Jours_ouvrés]]</f>
        <v>1.0626852000000002</v>
      </c>
      <c r="CB489" s="4">
        <f>Base[[#This Row],[Prévalence_prod]]*(1-Base[[#This Row],[Risque]])*Base[[#This Row],[Présentéisme]]*Base[[#This Row],['[Prod']Jours_ouvrés]]</f>
        <v>0.44767295191411194</v>
      </c>
      <c r="CC489" s="4">
        <f>Base[[#This Row],['[Prod']'[Présentéisme']Jours_avant]]-Base[[#This Row],['[Prod']'[Présentéisme']Jours_après]]</f>
        <v>0.61501224808588828</v>
      </c>
      <c r="CD489" s="4">
        <f>Base[[#This Row],['[Prod']'[Présentéisme']Jours_gagnés]]/Base[[#This Row],['[Prod']Jours_ouvrés]]</f>
        <v>2.421308063330269E-3</v>
      </c>
      <c r="CE489">
        <v>9.3428413505841454E-2</v>
      </c>
      <c r="CF489">
        <v>2.1038737314955848E-2</v>
      </c>
      <c r="CG489" s="4">
        <v>11</v>
      </c>
      <c r="CH489" s="4">
        <v>0.52204401140486179</v>
      </c>
      <c r="CI489" s="4">
        <v>1.2443904150185675E-2</v>
      </c>
      <c r="CJ489" s="4">
        <f>IF(Base[[#This Row],[Secteur]]&lt;&gt;"Moyenne",Base[[#This Row],['[Prod']'[Turnover']DMC_initiale]]*(1+Base[[#This Row],['[Prod']'[Turnover']Ecart_accidents]]*Base[[#This Row],['[Prod']Impact_motifs_turnover]]),CJ472*CI472+CJ473*CI473+CJ474*CI474+CJ475*CI475+CJ476*CI476+CJ477*CI477+CJ478*CI478+CJ479*CI479+CJ480*CI480+CJ481*CI481+CJ482*CI482+CJ483*CI483+CJ484*CI484+CJ485*CI485+CJ486*CI486+CJ487*CI487+CJ488*CI488)</f>
        <v>11.120814615050721</v>
      </c>
      <c r="CK489" s="4">
        <f>1/Base[[#This Row],['[Prod']'[Turnover']DMC_initiale]]</f>
        <v>9.0909090909090912E-2</v>
      </c>
      <c r="CL489" s="4">
        <f>1/Base[[#This Row],['[Prod']'[Turnover']DMC_finale]]</f>
        <v>8.9921470199369843E-2</v>
      </c>
    </row>
    <row r="490" spans="2:90" x14ac:dyDescent="0.25">
      <c r="B490" s="4" t="s">
        <v>320</v>
      </c>
      <c r="C490">
        <v>30</v>
      </c>
      <c r="D490" t="s">
        <v>85</v>
      </c>
      <c r="E490" t="s">
        <v>4</v>
      </c>
      <c r="F490" s="3">
        <v>0.57873418025007606</v>
      </c>
      <c r="G490" s="3">
        <v>3.6700000000000003E-2</v>
      </c>
      <c r="H490" s="3">
        <v>3.6700000000000003E-2</v>
      </c>
      <c r="I490" s="3">
        <v>0.114</v>
      </c>
      <c r="J490" s="3">
        <v>10.311441509770701</v>
      </c>
      <c r="K490" s="3">
        <v>7.0000000000000007E-2</v>
      </c>
      <c r="L490" s="2">
        <f>Base[[#This Row],[Coût]]*Base[[#This Row],[Part_ménages_dépenses_santé]]</f>
        <v>0.72180090568394906</v>
      </c>
      <c r="M490" s="2">
        <v>0.99731334462301791</v>
      </c>
      <c r="N490" s="6">
        <v>27700000</v>
      </c>
      <c r="O490" s="7">
        <f>Base[[#This Row],[Coût_salarié]]*10^9*Base[[#This Row],[Risque]]*Base[[#This Row],[Prévalence]]*Base[[#This Row],[Part_coûts_salarié]]/Base[[#This Row],[Population_emploi]]</f>
        <v>0.55196873745248154</v>
      </c>
      <c r="P490">
        <v>50</v>
      </c>
      <c r="Q490">
        <v>50</v>
      </c>
      <c r="R490" s="2">
        <v>9.9999999999999978E-2</v>
      </c>
      <c r="S490" s="2">
        <v>0.33340000000000003</v>
      </c>
      <c r="T490" s="4">
        <v>3.6700000000000003E-2</v>
      </c>
      <c r="U490" s="4">
        <f>IF(Bases_annexes!$F$5=0,16.6587111018772,0.77*Bases_annexes!$F$5/(IF(OR(ISBLANK('Données_d''entrée'!$E$44),'Données_d''entrée'!$E$44=0),35,'Données_d''entrée'!$E$44)*52))</f>
        <v>16.658711101877199</v>
      </c>
      <c r="V490" s="4">
        <v>10.42033853287208</v>
      </c>
      <c r="W4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0" s="4">
        <v>234.5</v>
      </c>
      <c r="Y490" s="4">
        <f>(Base[[#This Row],['[Maladies']Coûts_évités_par_salarié]]+Base[[#This Row],['[Travail']Coûts_évités_par_salarié]])/Base[[#This Row],[Budget_santé_salarié]]</f>
        <v>4.187677451329095E-2</v>
      </c>
      <c r="Z490" s="4">
        <v>0.8</v>
      </c>
      <c r="AA490" s="4">
        <f>Base[[#This Row],[Coût]]*Base[[#This Row],[Part_société_dépenses_santé]]</f>
        <v>8.2491532078165601</v>
      </c>
      <c r="AB490" s="4">
        <v>67635124</v>
      </c>
      <c r="AC490" s="4">
        <v>82.297079063317852</v>
      </c>
      <c r="AD490" s="4">
        <v>3.6700000000000003E-2</v>
      </c>
      <c r="AE490" s="4">
        <f>Base[[#This Row],['[SC']Prévalence_travail]]*Base[[#This Row],[Population_emploi]]</f>
        <v>1016590.0000000001</v>
      </c>
      <c r="AF490" s="4">
        <f>Base[[#This Row],[Risque]]*Base[[#This Row],['[SC']Patients_en_emploi]]</f>
        <v>588335.38030042488</v>
      </c>
      <c r="AG490" s="4">
        <v>756671404.20000005</v>
      </c>
      <c r="AH490" s="4">
        <f>IFERROR(Base[[#This Row],['[SC']Prestations]]/Base[[#This Row],['[SC']Patients_en_emploi]],0)</f>
        <v>744.32308423258144</v>
      </c>
      <c r="AI490" s="4">
        <v>51.7</v>
      </c>
      <c r="AJ4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0" s="4">
        <f>Base[[#This Row],['[SC']'[Travail']Coûts_évités]]/Base[[#This Row],[Population_emploi]]</f>
        <v>15.809083206800036</v>
      </c>
      <c r="AL490" s="4">
        <f>Base[[#This Row],[Coût_société]]*10^9*Base[[#This Row],[Risque]]*Base[[#This Row],[Prévalence]]*Base[[#This Row],[Part_coûts_salarié]]/Base[[#This Row],[Population_emploi]]</f>
        <v>6.308214142314073</v>
      </c>
      <c r="AM490" s="4">
        <f>IF(Base[[#This Row],[Pathologie]]&lt;&gt;"Dépendance",0,14909.24243952)</f>
        <v>0</v>
      </c>
      <c r="AN490" s="4">
        <f>IF(Base[[#This Row],[Pathologie]]&lt;&gt;"Dépendance",0,1316000)</f>
        <v>0</v>
      </c>
      <c r="AO490" s="4">
        <f>IF(Base[[#This Row],[Pathologie]]&lt;&gt;"Dépendance",0,Base[[#This Row],['[SC']Coût_personne_dépendante]]*Base[[#This Row],['[SC']Nb_personnes_dépendantes]])</f>
        <v>0</v>
      </c>
      <c r="AP490" s="4">
        <f>IF(Base[[#This Row],[Pathologie]]&lt;&gt;"Dépendance",0,Base[[#This Row],['[SC']Coût_total_dépendance]]/Base[[#This Row],[Population_totale]])</f>
        <v>0</v>
      </c>
      <c r="AQ490" s="4">
        <f>IF(Base[[#This Row],[Pathologie]]&lt;&gt;"Dépendance",0,4.5)</f>
        <v>0</v>
      </c>
      <c r="AR490" s="4">
        <v>1.0077957276768601</v>
      </c>
      <c r="AS490" s="4">
        <f>Base[[#This Row],[Espérance_vie]]+Base[[#This Row],['[SC']Hausse_esp_de_vie]]-Base[[#This Row],['[SC']Durée_moyenne_dépendance_avt]]+Base[[#This Row],[Risque]]</f>
        <v>83.883608971244797</v>
      </c>
      <c r="AT4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0" s="4">
        <v>62.9</v>
      </c>
      <c r="AW490" s="4">
        <f t="shared" si="13"/>
        <v>336905600000</v>
      </c>
      <c r="AX490" s="4">
        <v>15049171</v>
      </c>
      <c r="AY490" s="4">
        <f>Base[[#This Row],['[SC']Budget_total_retraites]]/Base[[#This Row],['[SC']Nombre_de_retraités]]</f>
        <v>22386.987296509556</v>
      </c>
      <c r="AZ490" s="4">
        <f>Base[[#This Row],['[SC']Budget_par_retraité]]*Base[[#This Row],['[SC']Nb_personnes_dépendantes]]</f>
        <v>0</v>
      </c>
      <c r="BA490" s="4">
        <f>Base[[#This Row],['[SC']'[Dépendance']Coût_retraite_personnes_dépendantes]]/Base[[#This Row],[Population_totale]]</f>
        <v>0</v>
      </c>
      <c r="BB4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0" s="4">
        <f>Base[[#This Row],['[SC']'[Dépendance']Gains]]-Base[[#This Row],['[SC']'[Dépendance']Coûts]]</f>
        <v>0</v>
      </c>
      <c r="BD490" s="4">
        <f>IF(Base[[#This Row],[Pathologie]]&lt;&gt;"Mort prématurée",0,Base[[#This Row],[Risque]]*Base[[#This Row],[Prévalence]]*Base[[#This Row],[Population_totale]])</f>
        <v>0</v>
      </c>
      <c r="BE490" s="4">
        <v>52.74</v>
      </c>
      <c r="BF490" s="4">
        <f>Base[[#This Row],['[SC']Âge_moyen_retraite]]-Base[[#This Row],['[SC']'[Mort_prématurée']Âge_moyen_mort précoce]]</f>
        <v>10.159999999999997</v>
      </c>
      <c r="BG490" s="4">
        <f>Base[[#This Row],[Espérance_vie]]+Base[[#This Row],['[SC']Hausse_esp_de_vie]]-Base[[#This Row],['[SC']Âge_moyen_retraite]]</f>
        <v>20.404874790994718</v>
      </c>
      <c r="BH490" s="4">
        <v>106583.42676924677</v>
      </c>
      <c r="BI490" s="4">
        <v>97601.789429271477</v>
      </c>
      <c r="BJ490" s="4">
        <v>302038.31496633729</v>
      </c>
      <c r="BK490" s="4">
        <v>117293.58934859755</v>
      </c>
      <c r="BL490" s="4">
        <v>1523999.9999999995</v>
      </c>
      <c r="BM4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0" s="4">
        <v>294804.96027377353</v>
      </c>
      <c r="BO4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0" s="4">
        <f>(Base[[#This Row],['[SC']'[Mort_prématurée']Gains]]-Base[[#This Row],['[SC']'[Mort_prématurée']Coûts]])/Base[[#This Row],[Population_totale]]</f>
        <v>0</v>
      </c>
      <c r="BQ490" s="4">
        <f>IF(Base[[#This Row],[Pathologie]]&lt;&gt;"Mort prématurée",0,Base[[#This Row],[Risque]])</f>
        <v>0</v>
      </c>
      <c r="BR490" s="4">
        <v>2680</v>
      </c>
      <c r="BS4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0" s="4">
        <f>Base[[#This Row],[Prévalence_prod]]*(1-Base[[#This Row],[Risque]])*Base[[#This Row],[Durée_arrêt]]*Base[[#This Row],[Population_emploi]]</f>
        <v>4462558.1155359624</v>
      </c>
      <c r="BV490" s="4">
        <f>Base[[#This Row],['[Prod']'[Absentéisme']Total_jours_absence_avant]]-Base[[#This Row],['[Prod']'[Absentéisme']Total_jours_absence_après]]</f>
        <v>6130653.833596467</v>
      </c>
      <c r="BW490" s="4">
        <f>IF(AND(Base[[#This Row],[Pathologie]]&lt;&gt;"Dépendance",Base[[#This Row],[Pathologie]]&lt;&gt;"Mort prématurée",Base[[#This Row],[Pathologie]]&lt;&gt;"Migraine"),0.0619,0)</f>
        <v>6.1899999999999997E-2</v>
      </c>
      <c r="BX490" s="4">
        <v>254</v>
      </c>
      <c r="BY49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0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0" s="4">
        <f>Base[[#This Row],[Prévalence_prod]]*Base[[#This Row],[Présentéisme]]*Base[[#This Row],['[Prod']Jours_ouvrés]]</f>
        <v>1.0626852000000002</v>
      </c>
      <c r="CB490" s="4">
        <f>Base[[#This Row],[Prévalence_prod]]*(1-Base[[#This Row],[Risque]])*Base[[#This Row],[Présentéisme]]*Base[[#This Row],['[Prod']Jours_ouvrés]]</f>
        <v>0.44767295191411194</v>
      </c>
      <c r="CC490" s="4">
        <f>Base[[#This Row],['[Prod']'[Présentéisme']Jours_avant]]-Base[[#This Row],['[Prod']'[Présentéisme']Jours_après]]</f>
        <v>0.61501224808588828</v>
      </c>
      <c r="CD490" s="4">
        <f>Base[[#This Row],['[Prod']'[Présentéisme']Jours_gagnés]]/Base[[#This Row],['[Prod']Jours_ouvrés]]</f>
        <v>2.421308063330269E-3</v>
      </c>
      <c r="CE490">
        <v>9.3428413505841454E-2</v>
      </c>
      <c r="CF490">
        <v>2.1038737314955848E-2</v>
      </c>
      <c r="CG490" s="4">
        <v>11</v>
      </c>
      <c r="CH490" s="4">
        <v>0.49446424657188709</v>
      </c>
      <c r="CI490" s="4">
        <v>1.0795805058605798E-2</v>
      </c>
      <c r="CJ490" s="4">
        <f>IF(Base[[#This Row],[Secteur]]&lt;&gt;"Moyenne",Base[[#This Row],['[Prod']'[Turnover']DMC_initiale]]*(1+Base[[#This Row],['[Prod']'[Turnover']Ecart_accidents]]*Base[[#This Row],['[Prod']Impact_motifs_turnover]]),CJ473*CI473+CJ474*CI474+CJ475*CI475+CJ476*CI476+CJ477*CI477+CJ478*CI478+CJ479*CI479+CJ480*CI480+CJ481*CI481+CJ482*CI482+CJ483*CI483+CJ484*CI484+CJ485*CI485+CJ486*CI486+CJ487*CI487+CJ488*CI488+CJ489*CI489)</f>
        <v>11.114431937347899</v>
      </c>
      <c r="CK490" s="4">
        <f>1/Base[[#This Row],['[Prod']'[Turnover']DMC_initiale]]</f>
        <v>9.0909090909090912E-2</v>
      </c>
      <c r="CL490" s="4">
        <f>1/Base[[#This Row],['[Prod']'[Turnover']DMC_finale]]</f>
        <v>8.9973109344409538E-2</v>
      </c>
    </row>
    <row r="491" spans="2:90" x14ac:dyDescent="0.25">
      <c r="B491" s="4" t="s">
        <v>321</v>
      </c>
      <c r="C491">
        <v>30</v>
      </c>
      <c r="D491" t="s">
        <v>85</v>
      </c>
      <c r="E491" t="s">
        <v>4</v>
      </c>
      <c r="F491" s="3">
        <v>0.57873418025007606</v>
      </c>
      <c r="G491" s="3">
        <v>3.6700000000000003E-2</v>
      </c>
      <c r="H491" s="3">
        <v>3.6700000000000003E-2</v>
      </c>
      <c r="I491" s="3">
        <v>0.114</v>
      </c>
      <c r="J491" s="3">
        <v>10.311441509770701</v>
      </c>
      <c r="K491" s="3">
        <v>7.0000000000000007E-2</v>
      </c>
      <c r="L491" s="2">
        <f>Base[[#This Row],[Coût]]*Base[[#This Row],[Part_ménages_dépenses_santé]]</f>
        <v>0.72180090568394906</v>
      </c>
      <c r="M491" s="2">
        <v>0.99731334462301791</v>
      </c>
      <c r="N491" s="6">
        <v>27700000</v>
      </c>
      <c r="O491" s="7">
        <f>Base[[#This Row],[Coût_salarié]]*10^9*Base[[#This Row],[Risque]]*Base[[#This Row],[Prévalence]]*Base[[#This Row],[Part_coûts_salarié]]/Base[[#This Row],[Population_emploi]]</f>
        <v>0.55196873745248154</v>
      </c>
      <c r="P491">
        <v>50</v>
      </c>
      <c r="Q491">
        <v>50</v>
      </c>
      <c r="R491" s="2">
        <v>9.9999999999999978E-2</v>
      </c>
      <c r="S491" s="2">
        <v>0.33340000000000003</v>
      </c>
      <c r="T491" s="4">
        <v>3.6700000000000003E-2</v>
      </c>
      <c r="U491" s="4">
        <f>IF(Bases_annexes!$F$5=0,16.6587111018772,0.77*Bases_annexes!$F$5/(IF(OR(ISBLANK('Données_d''entrée'!$E$44),'Données_d''entrée'!$E$44=0),35,'Données_d''entrée'!$E$44)*52))</f>
        <v>16.658711101877199</v>
      </c>
      <c r="V491" s="4">
        <v>10.42033853287208</v>
      </c>
      <c r="W4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1" s="4">
        <v>234.5</v>
      </c>
      <c r="Y491" s="4">
        <f>(Base[[#This Row],['[Maladies']Coûts_évités_par_salarié]]+Base[[#This Row],['[Travail']Coûts_évités_par_salarié]])/Base[[#This Row],[Budget_santé_salarié]]</f>
        <v>4.187677451329095E-2</v>
      </c>
      <c r="Z491" s="4">
        <v>0.8</v>
      </c>
      <c r="AA491" s="4">
        <f>Base[[#This Row],[Coût]]*Base[[#This Row],[Part_société_dépenses_santé]]</f>
        <v>8.2491532078165601</v>
      </c>
      <c r="AB491" s="4">
        <v>67635124</v>
      </c>
      <c r="AC491" s="4">
        <v>82.297079063317852</v>
      </c>
      <c r="AD491" s="4">
        <v>3.6700000000000003E-2</v>
      </c>
      <c r="AE491" s="4">
        <f>Base[[#This Row],['[SC']Prévalence_travail]]*Base[[#This Row],[Population_emploi]]</f>
        <v>1016590.0000000001</v>
      </c>
      <c r="AF491" s="4">
        <f>Base[[#This Row],[Risque]]*Base[[#This Row],['[SC']Patients_en_emploi]]</f>
        <v>588335.38030042488</v>
      </c>
      <c r="AG491" s="4">
        <v>756671404.20000005</v>
      </c>
      <c r="AH491" s="4">
        <f>IFERROR(Base[[#This Row],['[SC']Prestations]]/Base[[#This Row],['[SC']Patients_en_emploi]],0)</f>
        <v>744.32308423258144</v>
      </c>
      <c r="AI491" s="4">
        <v>51.7</v>
      </c>
      <c r="AJ4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1" s="4">
        <f>Base[[#This Row],['[SC']'[Travail']Coûts_évités]]/Base[[#This Row],[Population_emploi]]</f>
        <v>15.809083206800036</v>
      </c>
      <c r="AL491" s="4">
        <f>Base[[#This Row],[Coût_société]]*10^9*Base[[#This Row],[Risque]]*Base[[#This Row],[Prévalence]]*Base[[#This Row],[Part_coûts_salarié]]/Base[[#This Row],[Population_emploi]]</f>
        <v>6.308214142314073</v>
      </c>
      <c r="AM491" s="4">
        <f>IF(Base[[#This Row],[Pathologie]]&lt;&gt;"Dépendance",0,14909.24243952)</f>
        <v>0</v>
      </c>
      <c r="AN491" s="4">
        <f>IF(Base[[#This Row],[Pathologie]]&lt;&gt;"Dépendance",0,1316000)</f>
        <v>0</v>
      </c>
      <c r="AO491" s="4">
        <f>IF(Base[[#This Row],[Pathologie]]&lt;&gt;"Dépendance",0,Base[[#This Row],['[SC']Coût_personne_dépendante]]*Base[[#This Row],['[SC']Nb_personnes_dépendantes]])</f>
        <v>0</v>
      </c>
      <c r="AP491" s="4">
        <f>IF(Base[[#This Row],[Pathologie]]&lt;&gt;"Dépendance",0,Base[[#This Row],['[SC']Coût_total_dépendance]]/Base[[#This Row],[Population_totale]])</f>
        <v>0</v>
      </c>
      <c r="AQ491" s="4">
        <f>IF(Base[[#This Row],[Pathologie]]&lt;&gt;"Dépendance",0,4.5)</f>
        <v>0</v>
      </c>
      <c r="AR491" s="4">
        <v>1.0077957276768601</v>
      </c>
      <c r="AS491" s="4">
        <f>Base[[#This Row],[Espérance_vie]]+Base[[#This Row],['[SC']Hausse_esp_de_vie]]-Base[[#This Row],['[SC']Durée_moyenne_dépendance_avt]]+Base[[#This Row],[Risque]]</f>
        <v>83.883608971244797</v>
      </c>
      <c r="AT4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1" s="4">
        <v>62.9</v>
      </c>
      <c r="AW491" s="4">
        <f t="shared" si="13"/>
        <v>336905600000</v>
      </c>
      <c r="AX491" s="4">
        <v>15049171</v>
      </c>
      <c r="AY491" s="4">
        <f>Base[[#This Row],['[SC']Budget_total_retraites]]/Base[[#This Row],['[SC']Nombre_de_retraités]]</f>
        <v>22386.987296509556</v>
      </c>
      <c r="AZ491" s="4">
        <f>Base[[#This Row],['[SC']Budget_par_retraité]]*Base[[#This Row],['[SC']Nb_personnes_dépendantes]]</f>
        <v>0</v>
      </c>
      <c r="BA491" s="4">
        <f>Base[[#This Row],['[SC']'[Dépendance']Coût_retraite_personnes_dépendantes]]/Base[[#This Row],[Population_totale]]</f>
        <v>0</v>
      </c>
      <c r="BB4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1" s="4">
        <f>Base[[#This Row],['[SC']'[Dépendance']Gains]]-Base[[#This Row],['[SC']'[Dépendance']Coûts]]</f>
        <v>0</v>
      </c>
      <c r="BD491" s="4">
        <f>IF(Base[[#This Row],[Pathologie]]&lt;&gt;"Mort prématurée",0,Base[[#This Row],[Risque]]*Base[[#This Row],[Prévalence]]*Base[[#This Row],[Population_totale]])</f>
        <v>0</v>
      </c>
      <c r="BE491" s="4">
        <v>52.74</v>
      </c>
      <c r="BF491" s="4">
        <f>Base[[#This Row],['[SC']Âge_moyen_retraite]]-Base[[#This Row],['[SC']'[Mort_prématurée']Âge_moyen_mort précoce]]</f>
        <v>10.159999999999997</v>
      </c>
      <c r="BG491" s="4">
        <f>Base[[#This Row],[Espérance_vie]]+Base[[#This Row],['[SC']Hausse_esp_de_vie]]-Base[[#This Row],['[SC']Âge_moyen_retraite]]</f>
        <v>20.404874790994718</v>
      </c>
      <c r="BH491" s="4">
        <v>106583.42676924677</v>
      </c>
      <c r="BI491" s="4">
        <v>97601.789429271477</v>
      </c>
      <c r="BJ491" s="4">
        <v>302038.31496633729</v>
      </c>
      <c r="BK491" s="4">
        <v>117293.58934859755</v>
      </c>
      <c r="BL491" s="4">
        <v>1523999.9999999995</v>
      </c>
      <c r="BM4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1" s="4">
        <v>294804.96027377353</v>
      </c>
      <c r="BO4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1" s="4">
        <f>(Base[[#This Row],['[SC']'[Mort_prématurée']Gains]]-Base[[#This Row],['[SC']'[Mort_prématurée']Coûts]])/Base[[#This Row],[Population_totale]]</f>
        <v>0</v>
      </c>
      <c r="BQ491" s="4">
        <f>IF(Base[[#This Row],[Pathologie]]&lt;&gt;"Mort prématurée",0,Base[[#This Row],[Risque]])</f>
        <v>0</v>
      </c>
      <c r="BR491" s="4">
        <v>2680</v>
      </c>
      <c r="BS4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1" s="4">
        <f>Base[[#This Row],[Prévalence_prod]]*(1-Base[[#This Row],[Risque]])*Base[[#This Row],[Durée_arrêt]]*Base[[#This Row],[Population_emploi]]</f>
        <v>4462558.1155359624</v>
      </c>
      <c r="BV491" s="4">
        <f>Base[[#This Row],['[Prod']'[Absentéisme']Total_jours_absence_avant]]-Base[[#This Row],['[Prod']'[Absentéisme']Total_jours_absence_après]]</f>
        <v>6130653.833596467</v>
      </c>
      <c r="BW491" s="4">
        <f>IF(AND(Base[[#This Row],[Pathologie]]&lt;&gt;"Dépendance",Base[[#This Row],[Pathologie]]&lt;&gt;"Mort prématurée",Base[[#This Row],[Pathologie]]&lt;&gt;"Migraine"),0.0619,0)</f>
        <v>6.1899999999999997E-2</v>
      </c>
      <c r="BX491" s="4">
        <v>254</v>
      </c>
      <c r="BY491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1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1" s="4">
        <f>Base[[#This Row],[Prévalence_prod]]*Base[[#This Row],[Présentéisme]]*Base[[#This Row],['[Prod']Jours_ouvrés]]</f>
        <v>1.0626852000000002</v>
      </c>
      <c r="CB491" s="4">
        <f>Base[[#This Row],[Prévalence_prod]]*(1-Base[[#This Row],[Risque]])*Base[[#This Row],[Présentéisme]]*Base[[#This Row],['[Prod']Jours_ouvrés]]</f>
        <v>0.44767295191411194</v>
      </c>
      <c r="CC491" s="4">
        <f>Base[[#This Row],['[Prod']'[Présentéisme']Jours_avant]]-Base[[#This Row],['[Prod']'[Présentéisme']Jours_après]]</f>
        <v>0.61501224808588828</v>
      </c>
      <c r="CD491" s="4">
        <f>Base[[#This Row],['[Prod']'[Présentéisme']Jours_gagnés]]/Base[[#This Row],['[Prod']Jours_ouvrés]]</f>
        <v>2.421308063330269E-3</v>
      </c>
      <c r="CE491">
        <v>9.3428413505841454E-2</v>
      </c>
      <c r="CF491">
        <v>2.1038737314955848E-2</v>
      </c>
      <c r="CG491" s="4">
        <v>11</v>
      </c>
      <c r="CH491" s="4">
        <v>0.85274500894619554</v>
      </c>
      <c r="CI491" s="4">
        <v>4.2903496994109176E-2</v>
      </c>
      <c r="CJ491" s="4">
        <f>IF(Base[[#This Row],[Secteur]]&lt;&gt;"Moyenne",Base[[#This Row],['[Prod']'[Turnover']DMC_initiale]]*(1+Base[[#This Row],['[Prod']'[Turnover']Ecart_accidents]]*Base[[#This Row],['[Prod']Impact_motifs_turnover]]),CJ474*CI474+CJ475*CI475+CJ476*CI476+CJ477*CI477+CJ478*CI478+CJ479*CI479+CJ480*CI480+CJ481*CI481+CJ482*CI482+CJ483*CI483+CJ484*CI484+CJ485*CI485+CJ486*CI486+CJ487*CI487+CJ488*CI488+CJ489*CI489+CJ490*CI490)</f>
        <v>11.197347460638447</v>
      </c>
      <c r="CK491" s="4">
        <f>1/Base[[#This Row],['[Prod']'[Turnover']DMC_initiale]]</f>
        <v>9.0909090909090912E-2</v>
      </c>
      <c r="CL491" s="4">
        <f>1/Base[[#This Row],['[Prod']'[Turnover']DMC_finale]]</f>
        <v>8.930686517635153E-2</v>
      </c>
    </row>
    <row r="492" spans="2:90" x14ac:dyDescent="0.25">
      <c r="B492" s="4" t="s">
        <v>322</v>
      </c>
      <c r="C492">
        <v>30</v>
      </c>
      <c r="D492" t="s">
        <v>85</v>
      </c>
      <c r="E492" t="s">
        <v>4</v>
      </c>
      <c r="F492" s="3">
        <v>0.57873418025007606</v>
      </c>
      <c r="G492" s="3">
        <v>3.6700000000000003E-2</v>
      </c>
      <c r="H492" s="3">
        <v>3.6700000000000003E-2</v>
      </c>
      <c r="I492" s="3">
        <v>0.114</v>
      </c>
      <c r="J492" s="3">
        <v>10.311441509770701</v>
      </c>
      <c r="K492" s="3">
        <v>7.0000000000000007E-2</v>
      </c>
      <c r="L492" s="2">
        <f>Base[[#This Row],[Coût]]*Base[[#This Row],[Part_ménages_dépenses_santé]]</f>
        <v>0.72180090568394906</v>
      </c>
      <c r="M492" s="2">
        <v>0.99731334462301791</v>
      </c>
      <c r="N492" s="6">
        <v>27700000</v>
      </c>
      <c r="O492" s="7">
        <f>Base[[#This Row],[Coût_salarié]]*10^9*Base[[#This Row],[Risque]]*Base[[#This Row],[Prévalence]]*Base[[#This Row],[Part_coûts_salarié]]/Base[[#This Row],[Population_emploi]]</f>
        <v>0.55196873745248154</v>
      </c>
      <c r="P492">
        <v>50</v>
      </c>
      <c r="Q492">
        <v>50</v>
      </c>
      <c r="R492" s="2">
        <v>9.9999999999999978E-2</v>
      </c>
      <c r="S492" s="2">
        <v>0.33340000000000003</v>
      </c>
      <c r="T492" s="4">
        <v>3.6700000000000003E-2</v>
      </c>
      <c r="U492" s="4">
        <f>IF(Bases_annexes!$F$5=0,16.6587111018772,0.77*Bases_annexes!$F$5/(IF(OR(ISBLANK('Données_d''entrée'!$E$44),'Données_d''entrée'!$E$44=0),35,'Données_d''entrée'!$E$44)*52))</f>
        <v>16.658711101877199</v>
      </c>
      <c r="V492" s="4">
        <v>10.42033853287208</v>
      </c>
      <c r="W4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2" s="4">
        <v>234.5</v>
      </c>
      <c r="Y492" s="4">
        <f>(Base[[#This Row],['[Maladies']Coûts_évités_par_salarié]]+Base[[#This Row],['[Travail']Coûts_évités_par_salarié]])/Base[[#This Row],[Budget_santé_salarié]]</f>
        <v>4.187677451329095E-2</v>
      </c>
      <c r="Z492" s="4">
        <v>0.8</v>
      </c>
      <c r="AA492" s="4">
        <f>Base[[#This Row],[Coût]]*Base[[#This Row],[Part_société_dépenses_santé]]</f>
        <v>8.2491532078165601</v>
      </c>
      <c r="AB492" s="4">
        <v>67635124</v>
      </c>
      <c r="AC492" s="4">
        <v>82.297079063317852</v>
      </c>
      <c r="AD492" s="4">
        <v>3.6700000000000003E-2</v>
      </c>
      <c r="AE492" s="4">
        <f>Base[[#This Row],['[SC']Prévalence_travail]]*Base[[#This Row],[Population_emploi]]</f>
        <v>1016590.0000000001</v>
      </c>
      <c r="AF492" s="4">
        <f>Base[[#This Row],[Risque]]*Base[[#This Row],['[SC']Patients_en_emploi]]</f>
        <v>588335.38030042488</v>
      </c>
      <c r="AG492" s="4">
        <v>756671404.20000005</v>
      </c>
      <c r="AH492" s="4">
        <f>IFERROR(Base[[#This Row],['[SC']Prestations]]/Base[[#This Row],['[SC']Patients_en_emploi]],0)</f>
        <v>744.32308423258144</v>
      </c>
      <c r="AI492" s="4">
        <v>51.7</v>
      </c>
      <c r="AJ4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2" s="4">
        <f>Base[[#This Row],['[SC']'[Travail']Coûts_évités]]/Base[[#This Row],[Population_emploi]]</f>
        <v>15.809083206800036</v>
      </c>
      <c r="AL492" s="4">
        <f>Base[[#This Row],[Coût_société]]*10^9*Base[[#This Row],[Risque]]*Base[[#This Row],[Prévalence]]*Base[[#This Row],[Part_coûts_salarié]]/Base[[#This Row],[Population_emploi]]</f>
        <v>6.308214142314073</v>
      </c>
      <c r="AM492" s="4">
        <f>IF(Base[[#This Row],[Pathologie]]&lt;&gt;"Dépendance",0,14909.24243952)</f>
        <v>0</v>
      </c>
      <c r="AN492" s="4">
        <f>IF(Base[[#This Row],[Pathologie]]&lt;&gt;"Dépendance",0,1316000)</f>
        <v>0</v>
      </c>
      <c r="AO492" s="4">
        <f>IF(Base[[#This Row],[Pathologie]]&lt;&gt;"Dépendance",0,Base[[#This Row],['[SC']Coût_personne_dépendante]]*Base[[#This Row],['[SC']Nb_personnes_dépendantes]])</f>
        <v>0</v>
      </c>
      <c r="AP492" s="4">
        <f>IF(Base[[#This Row],[Pathologie]]&lt;&gt;"Dépendance",0,Base[[#This Row],['[SC']Coût_total_dépendance]]/Base[[#This Row],[Population_totale]])</f>
        <v>0</v>
      </c>
      <c r="AQ492" s="4">
        <f>IF(Base[[#This Row],[Pathologie]]&lt;&gt;"Dépendance",0,4.5)</f>
        <v>0</v>
      </c>
      <c r="AR492" s="4">
        <v>1.0077957276768601</v>
      </c>
      <c r="AS492" s="4">
        <f>Base[[#This Row],[Espérance_vie]]+Base[[#This Row],['[SC']Hausse_esp_de_vie]]-Base[[#This Row],['[SC']Durée_moyenne_dépendance_avt]]+Base[[#This Row],[Risque]]</f>
        <v>83.883608971244797</v>
      </c>
      <c r="AT4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2" s="4">
        <v>62.9</v>
      </c>
      <c r="AW492" s="4">
        <f t="shared" si="13"/>
        <v>336905600000</v>
      </c>
      <c r="AX492" s="4">
        <v>15049171</v>
      </c>
      <c r="AY492" s="4">
        <f>Base[[#This Row],['[SC']Budget_total_retraites]]/Base[[#This Row],['[SC']Nombre_de_retraités]]</f>
        <v>22386.987296509556</v>
      </c>
      <c r="AZ492" s="4">
        <f>Base[[#This Row],['[SC']Budget_par_retraité]]*Base[[#This Row],['[SC']Nb_personnes_dépendantes]]</f>
        <v>0</v>
      </c>
      <c r="BA492" s="4">
        <f>Base[[#This Row],['[SC']'[Dépendance']Coût_retraite_personnes_dépendantes]]/Base[[#This Row],[Population_totale]]</f>
        <v>0</v>
      </c>
      <c r="BB4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2" s="4">
        <f>Base[[#This Row],['[SC']'[Dépendance']Gains]]-Base[[#This Row],['[SC']'[Dépendance']Coûts]]</f>
        <v>0</v>
      </c>
      <c r="BD492" s="4">
        <f>IF(Base[[#This Row],[Pathologie]]&lt;&gt;"Mort prématurée",0,Base[[#This Row],[Risque]]*Base[[#This Row],[Prévalence]]*Base[[#This Row],[Population_totale]])</f>
        <v>0</v>
      </c>
      <c r="BE492" s="4">
        <v>52.74</v>
      </c>
      <c r="BF492" s="4">
        <f>Base[[#This Row],['[SC']Âge_moyen_retraite]]-Base[[#This Row],['[SC']'[Mort_prématurée']Âge_moyen_mort précoce]]</f>
        <v>10.159999999999997</v>
      </c>
      <c r="BG492" s="4">
        <f>Base[[#This Row],[Espérance_vie]]+Base[[#This Row],['[SC']Hausse_esp_de_vie]]-Base[[#This Row],['[SC']Âge_moyen_retraite]]</f>
        <v>20.404874790994718</v>
      </c>
      <c r="BH492" s="4">
        <v>106583.42676924677</v>
      </c>
      <c r="BI492" s="4">
        <v>97601.789429271477</v>
      </c>
      <c r="BJ492" s="4">
        <v>302038.31496633729</v>
      </c>
      <c r="BK492" s="4">
        <v>117293.58934859755</v>
      </c>
      <c r="BL492" s="4">
        <v>1523999.9999999995</v>
      </c>
      <c r="BM4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2" s="4">
        <v>294804.96027377353</v>
      </c>
      <c r="BO4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2" s="4">
        <f>(Base[[#This Row],['[SC']'[Mort_prématurée']Gains]]-Base[[#This Row],['[SC']'[Mort_prématurée']Coûts]])/Base[[#This Row],[Population_totale]]</f>
        <v>0</v>
      </c>
      <c r="BQ492" s="4">
        <f>IF(Base[[#This Row],[Pathologie]]&lt;&gt;"Mort prématurée",0,Base[[#This Row],[Risque]])</f>
        <v>0</v>
      </c>
      <c r="BR492" s="4">
        <v>2680</v>
      </c>
      <c r="BS4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2" s="4">
        <f>Base[[#This Row],[Prévalence_prod]]*(1-Base[[#This Row],[Risque]])*Base[[#This Row],[Durée_arrêt]]*Base[[#This Row],[Population_emploi]]</f>
        <v>4462558.1155359624</v>
      </c>
      <c r="BV492" s="4">
        <f>Base[[#This Row],['[Prod']'[Absentéisme']Total_jours_absence_avant]]-Base[[#This Row],['[Prod']'[Absentéisme']Total_jours_absence_après]]</f>
        <v>6130653.833596467</v>
      </c>
      <c r="BW492" s="4">
        <f>IF(AND(Base[[#This Row],[Pathologie]]&lt;&gt;"Dépendance",Base[[#This Row],[Pathologie]]&lt;&gt;"Mort prématurée",Base[[#This Row],[Pathologie]]&lt;&gt;"Migraine"),0.0619,0)</f>
        <v>6.1899999999999997E-2</v>
      </c>
      <c r="BX492" s="4">
        <v>254</v>
      </c>
      <c r="BY492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2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2" s="4">
        <f>Base[[#This Row],[Prévalence_prod]]*Base[[#This Row],[Présentéisme]]*Base[[#This Row],['[Prod']Jours_ouvrés]]</f>
        <v>1.0626852000000002</v>
      </c>
      <c r="CB492" s="4">
        <f>Base[[#This Row],[Prévalence_prod]]*(1-Base[[#This Row],[Risque]])*Base[[#This Row],[Présentéisme]]*Base[[#This Row],['[Prod']Jours_ouvrés]]</f>
        <v>0.44767295191411194</v>
      </c>
      <c r="CC492" s="4">
        <f>Base[[#This Row],['[Prod']'[Présentéisme']Jours_avant]]-Base[[#This Row],['[Prod']'[Présentéisme']Jours_après]]</f>
        <v>0.61501224808588828</v>
      </c>
      <c r="CD492" s="4">
        <f>Base[[#This Row],['[Prod']'[Présentéisme']Jours_gagnés]]/Base[[#This Row],['[Prod']Jours_ouvrés]]</f>
        <v>2.421308063330269E-3</v>
      </c>
      <c r="CE492">
        <v>9.3428413505841454E-2</v>
      </c>
      <c r="CF492">
        <v>2.1038737314955848E-2</v>
      </c>
      <c r="CG492" s="4">
        <v>11</v>
      </c>
      <c r="CH492" s="4">
        <v>1.6219398392978641</v>
      </c>
      <c r="CI492" s="4">
        <v>9.628527536862988E-2</v>
      </c>
      <c r="CJ492" s="4">
        <f>IF(Base[[#This Row],[Secteur]]&lt;&gt;"Moyenne",Base[[#This Row],['[Prod']'[Turnover']DMC_initiale]]*(1+Base[[#This Row],['[Prod']'[Turnover']Ecart_accidents]]*Base[[#This Row],['[Prod']Impact_motifs_turnover]]),CJ475*CI475+CJ476*CI476+CJ477*CI477+CJ478*CI478+CJ479*CI479+CJ480*CI480+CJ481*CI481+CJ482*CI482+CJ483*CI483+CJ484*CI484+CJ485*CI485+CJ486*CI486+CJ487*CI487+CJ488*CI488+CJ489*CI489+CJ490*CI490+CJ491*CI491)</f>
        <v>11.375359228416144</v>
      </c>
      <c r="CK492" s="4">
        <f>1/Base[[#This Row],['[Prod']'[Turnover']DMC_initiale]]</f>
        <v>9.0909090909090912E-2</v>
      </c>
      <c r="CL492" s="4">
        <f>1/Base[[#This Row],['[Prod']'[Turnover']DMC_finale]]</f>
        <v>8.7909311690303041E-2</v>
      </c>
    </row>
    <row r="493" spans="2:90" x14ac:dyDescent="0.25">
      <c r="B493" s="4" t="s">
        <v>323</v>
      </c>
      <c r="C493">
        <v>30</v>
      </c>
      <c r="D493" t="s">
        <v>85</v>
      </c>
      <c r="E493" t="s">
        <v>4</v>
      </c>
      <c r="F493" s="3">
        <v>0.57873418025007606</v>
      </c>
      <c r="G493" s="3">
        <v>3.6700000000000003E-2</v>
      </c>
      <c r="H493" s="3">
        <v>3.6700000000000003E-2</v>
      </c>
      <c r="I493" s="3">
        <v>0.114</v>
      </c>
      <c r="J493" s="3">
        <v>10.311441509770701</v>
      </c>
      <c r="K493" s="3">
        <v>7.0000000000000007E-2</v>
      </c>
      <c r="L493" s="2">
        <f>Base[[#This Row],[Coût]]*Base[[#This Row],[Part_ménages_dépenses_santé]]</f>
        <v>0.72180090568394906</v>
      </c>
      <c r="M493" s="2">
        <v>0.99731334462301791</v>
      </c>
      <c r="N493" s="6">
        <v>27700000</v>
      </c>
      <c r="O493" s="7">
        <f>Base[[#This Row],[Coût_salarié]]*10^9*Base[[#This Row],[Risque]]*Base[[#This Row],[Prévalence]]*Base[[#This Row],[Part_coûts_salarié]]/Base[[#This Row],[Population_emploi]]</f>
        <v>0.55196873745248154</v>
      </c>
      <c r="P493">
        <v>50</v>
      </c>
      <c r="Q493">
        <v>50</v>
      </c>
      <c r="R493" s="2">
        <v>9.9999999999999978E-2</v>
      </c>
      <c r="S493" s="2">
        <v>0.33340000000000003</v>
      </c>
      <c r="T493" s="4">
        <v>3.6700000000000003E-2</v>
      </c>
      <c r="U493" s="4">
        <f>IF(Bases_annexes!$F$5=0,16.6587111018772,0.77*Bases_annexes!$F$5/(IF(OR(ISBLANK('Données_d''entrée'!$E$44),'Données_d''entrée'!$E$44=0),35,'Données_d''entrée'!$E$44)*52))</f>
        <v>16.658711101877199</v>
      </c>
      <c r="V493" s="4">
        <v>10.42033853287208</v>
      </c>
      <c r="W4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3" s="4">
        <v>234.5</v>
      </c>
      <c r="Y493" s="4">
        <f>(Base[[#This Row],['[Maladies']Coûts_évités_par_salarié]]+Base[[#This Row],['[Travail']Coûts_évités_par_salarié]])/Base[[#This Row],[Budget_santé_salarié]]</f>
        <v>4.187677451329095E-2</v>
      </c>
      <c r="Z493" s="4">
        <v>0.8</v>
      </c>
      <c r="AA493" s="4">
        <f>Base[[#This Row],[Coût]]*Base[[#This Row],[Part_société_dépenses_santé]]</f>
        <v>8.2491532078165601</v>
      </c>
      <c r="AB493" s="4">
        <v>67635124</v>
      </c>
      <c r="AC493" s="4">
        <v>82.297079063317852</v>
      </c>
      <c r="AD493" s="4">
        <v>3.6700000000000003E-2</v>
      </c>
      <c r="AE493" s="4">
        <f>Base[[#This Row],['[SC']Prévalence_travail]]*Base[[#This Row],[Population_emploi]]</f>
        <v>1016590.0000000001</v>
      </c>
      <c r="AF493" s="4">
        <f>Base[[#This Row],[Risque]]*Base[[#This Row],['[SC']Patients_en_emploi]]</f>
        <v>588335.38030042488</v>
      </c>
      <c r="AG493" s="4">
        <v>756671404.20000005</v>
      </c>
      <c r="AH493" s="4">
        <f>IFERROR(Base[[#This Row],['[SC']Prestations]]/Base[[#This Row],['[SC']Patients_en_emploi]],0)</f>
        <v>744.32308423258144</v>
      </c>
      <c r="AI493" s="4">
        <v>51.7</v>
      </c>
      <c r="AJ4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3" s="4">
        <f>Base[[#This Row],['[SC']'[Travail']Coûts_évités]]/Base[[#This Row],[Population_emploi]]</f>
        <v>15.809083206800036</v>
      </c>
      <c r="AL493" s="4">
        <f>Base[[#This Row],[Coût_société]]*10^9*Base[[#This Row],[Risque]]*Base[[#This Row],[Prévalence]]*Base[[#This Row],[Part_coûts_salarié]]/Base[[#This Row],[Population_emploi]]</f>
        <v>6.308214142314073</v>
      </c>
      <c r="AM493" s="4">
        <f>IF(Base[[#This Row],[Pathologie]]&lt;&gt;"Dépendance",0,14909.24243952)</f>
        <v>0</v>
      </c>
      <c r="AN493" s="4">
        <f>IF(Base[[#This Row],[Pathologie]]&lt;&gt;"Dépendance",0,1316000)</f>
        <v>0</v>
      </c>
      <c r="AO493" s="4">
        <f>IF(Base[[#This Row],[Pathologie]]&lt;&gt;"Dépendance",0,Base[[#This Row],['[SC']Coût_personne_dépendante]]*Base[[#This Row],['[SC']Nb_personnes_dépendantes]])</f>
        <v>0</v>
      </c>
      <c r="AP493" s="4">
        <f>IF(Base[[#This Row],[Pathologie]]&lt;&gt;"Dépendance",0,Base[[#This Row],['[SC']Coût_total_dépendance]]/Base[[#This Row],[Population_totale]])</f>
        <v>0</v>
      </c>
      <c r="AQ493" s="4">
        <f>IF(Base[[#This Row],[Pathologie]]&lt;&gt;"Dépendance",0,4.5)</f>
        <v>0</v>
      </c>
      <c r="AR493" s="4">
        <v>1.0077957276768601</v>
      </c>
      <c r="AS493" s="4">
        <f>Base[[#This Row],[Espérance_vie]]+Base[[#This Row],['[SC']Hausse_esp_de_vie]]-Base[[#This Row],['[SC']Durée_moyenne_dépendance_avt]]+Base[[#This Row],[Risque]]</f>
        <v>83.883608971244797</v>
      </c>
      <c r="AT4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3" s="4">
        <v>62.9</v>
      </c>
      <c r="AW493" s="4">
        <f t="shared" si="13"/>
        <v>336905600000</v>
      </c>
      <c r="AX493" s="4">
        <v>15049171</v>
      </c>
      <c r="AY493" s="4">
        <f>Base[[#This Row],['[SC']Budget_total_retraites]]/Base[[#This Row],['[SC']Nombre_de_retraités]]</f>
        <v>22386.987296509556</v>
      </c>
      <c r="AZ493" s="4">
        <f>Base[[#This Row],['[SC']Budget_par_retraité]]*Base[[#This Row],['[SC']Nb_personnes_dépendantes]]</f>
        <v>0</v>
      </c>
      <c r="BA493" s="4">
        <f>Base[[#This Row],['[SC']'[Dépendance']Coût_retraite_personnes_dépendantes]]/Base[[#This Row],[Population_totale]]</f>
        <v>0</v>
      </c>
      <c r="BB4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3" s="4">
        <f>Base[[#This Row],['[SC']'[Dépendance']Gains]]-Base[[#This Row],['[SC']'[Dépendance']Coûts]]</f>
        <v>0</v>
      </c>
      <c r="BD493" s="4">
        <f>IF(Base[[#This Row],[Pathologie]]&lt;&gt;"Mort prématurée",0,Base[[#This Row],[Risque]]*Base[[#This Row],[Prévalence]]*Base[[#This Row],[Population_totale]])</f>
        <v>0</v>
      </c>
      <c r="BE493" s="4">
        <v>52.74</v>
      </c>
      <c r="BF493" s="4">
        <f>Base[[#This Row],['[SC']Âge_moyen_retraite]]-Base[[#This Row],['[SC']'[Mort_prématurée']Âge_moyen_mort précoce]]</f>
        <v>10.159999999999997</v>
      </c>
      <c r="BG493" s="4">
        <f>Base[[#This Row],[Espérance_vie]]+Base[[#This Row],['[SC']Hausse_esp_de_vie]]-Base[[#This Row],['[SC']Âge_moyen_retraite]]</f>
        <v>20.404874790994718</v>
      </c>
      <c r="BH493" s="4">
        <v>106583.42676924677</v>
      </c>
      <c r="BI493" s="4">
        <v>97601.789429271477</v>
      </c>
      <c r="BJ493" s="4">
        <v>302038.31496633729</v>
      </c>
      <c r="BK493" s="4">
        <v>117293.58934859755</v>
      </c>
      <c r="BL493" s="4">
        <v>1523999.9999999995</v>
      </c>
      <c r="BM4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3" s="4">
        <v>294804.96027377353</v>
      </c>
      <c r="BO4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3" s="4">
        <f>(Base[[#This Row],['[SC']'[Mort_prématurée']Gains]]-Base[[#This Row],['[SC']'[Mort_prématurée']Coûts]])/Base[[#This Row],[Population_totale]]</f>
        <v>0</v>
      </c>
      <c r="BQ493" s="4">
        <f>IF(Base[[#This Row],[Pathologie]]&lt;&gt;"Mort prématurée",0,Base[[#This Row],[Risque]])</f>
        <v>0</v>
      </c>
      <c r="BR493" s="4">
        <v>2680</v>
      </c>
      <c r="BS4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3" s="4">
        <f>Base[[#This Row],[Prévalence_prod]]*(1-Base[[#This Row],[Risque]])*Base[[#This Row],[Durée_arrêt]]*Base[[#This Row],[Population_emploi]]</f>
        <v>4462558.1155359624</v>
      </c>
      <c r="BV493" s="4">
        <f>Base[[#This Row],['[Prod']'[Absentéisme']Total_jours_absence_avant]]-Base[[#This Row],['[Prod']'[Absentéisme']Total_jours_absence_après]]</f>
        <v>6130653.833596467</v>
      </c>
      <c r="BW493" s="4">
        <f>IF(AND(Base[[#This Row],[Pathologie]]&lt;&gt;"Dépendance",Base[[#This Row],[Pathologie]]&lt;&gt;"Mort prématurée",Base[[#This Row],[Pathologie]]&lt;&gt;"Migraine"),0.0619,0)</f>
        <v>6.1899999999999997E-2</v>
      </c>
      <c r="BX493" s="4">
        <v>254</v>
      </c>
      <c r="BY493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3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3" s="4">
        <f>Base[[#This Row],[Prévalence_prod]]*Base[[#This Row],[Présentéisme]]*Base[[#This Row],['[Prod']Jours_ouvrés]]</f>
        <v>1.0626852000000002</v>
      </c>
      <c r="CB493" s="4">
        <f>Base[[#This Row],[Prévalence_prod]]*(1-Base[[#This Row],[Risque]])*Base[[#This Row],[Présentéisme]]*Base[[#This Row],['[Prod']Jours_ouvrés]]</f>
        <v>0.44767295191411194</v>
      </c>
      <c r="CC493" s="4">
        <f>Base[[#This Row],['[Prod']'[Présentéisme']Jours_avant]]-Base[[#This Row],['[Prod']'[Présentéisme']Jours_après]]</f>
        <v>0.61501224808588828</v>
      </c>
      <c r="CD493" s="4">
        <f>Base[[#This Row],['[Prod']'[Présentéisme']Jours_gagnés]]/Base[[#This Row],['[Prod']Jours_ouvrés]]</f>
        <v>2.421308063330269E-3</v>
      </c>
      <c r="CE493">
        <v>9.3428413505841454E-2</v>
      </c>
      <c r="CF493">
        <v>2.1038737314955848E-2</v>
      </c>
      <c r="CG493" s="4">
        <v>11</v>
      </c>
      <c r="CH493" s="4">
        <v>0.96913802401210614</v>
      </c>
      <c r="CI493" s="4">
        <v>0.10293966445307301</v>
      </c>
      <c r="CJ493" s="4">
        <f>IF(Base[[#This Row],[Secteur]]&lt;&gt;"Moyenne",Base[[#This Row],['[Prod']'[Turnover']DMC_initiale]]*(1+Base[[#This Row],['[Prod']'[Turnover']Ecart_accidents]]*Base[[#This Row],['[Prod']Impact_motifs_turnover]]),CJ476*CI476+CJ477*CI477+CJ478*CI478+CJ479*CI479+CJ480*CI480+CJ481*CI481+CJ482*CI482+CJ483*CI483+CJ484*CI484+CJ485*CI485+CJ486*CI486+CJ487*CI487+CJ488*CI488+CJ489*CI489+CJ490*CI490+CJ491*CI491+CJ492*CI492)</f>
        <v>11.224283843400386</v>
      </c>
      <c r="CK493" s="4">
        <f>1/Base[[#This Row],['[Prod']'[Turnover']DMC_initiale]]</f>
        <v>9.0909090909090912E-2</v>
      </c>
      <c r="CL493" s="4">
        <f>1/Base[[#This Row],['[Prod']'[Turnover']DMC_finale]]</f>
        <v>8.9092543805186858E-2</v>
      </c>
    </row>
    <row r="494" spans="2:90" x14ac:dyDescent="0.25">
      <c r="B494" s="4" t="s">
        <v>324</v>
      </c>
      <c r="C494">
        <v>30</v>
      </c>
      <c r="D494" t="s">
        <v>85</v>
      </c>
      <c r="E494" t="s">
        <v>4</v>
      </c>
      <c r="F494" s="3">
        <v>0.57873418025007606</v>
      </c>
      <c r="G494" s="3">
        <v>3.6700000000000003E-2</v>
      </c>
      <c r="H494" s="3">
        <v>3.6700000000000003E-2</v>
      </c>
      <c r="I494" s="3">
        <v>0.114</v>
      </c>
      <c r="J494" s="3">
        <v>10.311441509770701</v>
      </c>
      <c r="K494" s="3">
        <v>7.0000000000000007E-2</v>
      </c>
      <c r="L494" s="2">
        <f>Base[[#This Row],[Coût]]*Base[[#This Row],[Part_ménages_dépenses_santé]]</f>
        <v>0.72180090568394906</v>
      </c>
      <c r="M494" s="2">
        <v>0.99731334462301791</v>
      </c>
      <c r="N494" s="6">
        <v>27700000</v>
      </c>
      <c r="O494" s="7">
        <f>Base[[#This Row],[Coût_salarié]]*10^9*Base[[#This Row],[Risque]]*Base[[#This Row],[Prévalence]]*Base[[#This Row],[Part_coûts_salarié]]/Base[[#This Row],[Population_emploi]]</f>
        <v>0.55196873745248154</v>
      </c>
      <c r="P494">
        <v>50</v>
      </c>
      <c r="Q494">
        <v>50</v>
      </c>
      <c r="R494" s="2">
        <v>9.9999999999999978E-2</v>
      </c>
      <c r="S494" s="2">
        <v>0.33340000000000003</v>
      </c>
      <c r="T494" s="4">
        <v>3.6700000000000003E-2</v>
      </c>
      <c r="U494" s="4">
        <f>IF(Bases_annexes!$F$5=0,16.6587111018772,0.77*Bases_annexes!$F$5/(IF(OR(ISBLANK('Données_d''entrée'!$E$44),'Données_d''entrée'!$E$44=0),35,'Données_d''entrée'!$E$44)*52))</f>
        <v>16.658711101877199</v>
      </c>
      <c r="V494" s="4">
        <v>10.42033853287208</v>
      </c>
      <c r="W4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4" s="4">
        <v>234.5</v>
      </c>
      <c r="Y494" s="4">
        <f>(Base[[#This Row],['[Maladies']Coûts_évités_par_salarié]]+Base[[#This Row],['[Travail']Coûts_évités_par_salarié]])/Base[[#This Row],[Budget_santé_salarié]]</f>
        <v>4.187677451329095E-2</v>
      </c>
      <c r="Z494" s="4">
        <v>0.8</v>
      </c>
      <c r="AA494" s="4">
        <f>Base[[#This Row],[Coût]]*Base[[#This Row],[Part_société_dépenses_santé]]</f>
        <v>8.2491532078165601</v>
      </c>
      <c r="AB494" s="4">
        <v>67635124</v>
      </c>
      <c r="AC494" s="4">
        <v>82.297079063317852</v>
      </c>
      <c r="AD494" s="4">
        <v>3.6700000000000003E-2</v>
      </c>
      <c r="AE494" s="4">
        <f>Base[[#This Row],['[SC']Prévalence_travail]]*Base[[#This Row],[Population_emploi]]</f>
        <v>1016590.0000000001</v>
      </c>
      <c r="AF494" s="4">
        <f>Base[[#This Row],[Risque]]*Base[[#This Row],['[SC']Patients_en_emploi]]</f>
        <v>588335.38030042488</v>
      </c>
      <c r="AG494" s="4">
        <v>756671404.20000005</v>
      </c>
      <c r="AH494" s="4">
        <f>IFERROR(Base[[#This Row],['[SC']Prestations]]/Base[[#This Row],['[SC']Patients_en_emploi]],0)</f>
        <v>744.32308423258144</v>
      </c>
      <c r="AI494" s="4">
        <v>51.7</v>
      </c>
      <c r="AJ4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4" s="4">
        <f>Base[[#This Row],['[SC']'[Travail']Coûts_évités]]/Base[[#This Row],[Population_emploi]]</f>
        <v>15.809083206800036</v>
      </c>
      <c r="AL494" s="4">
        <f>Base[[#This Row],[Coût_société]]*10^9*Base[[#This Row],[Risque]]*Base[[#This Row],[Prévalence]]*Base[[#This Row],[Part_coûts_salarié]]/Base[[#This Row],[Population_emploi]]</f>
        <v>6.308214142314073</v>
      </c>
      <c r="AM494" s="4">
        <f>IF(Base[[#This Row],[Pathologie]]&lt;&gt;"Dépendance",0,14909.24243952)</f>
        <v>0</v>
      </c>
      <c r="AN494" s="4">
        <f>IF(Base[[#This Row],[Pathologie]]&lt;&gt;"Dépendance",0,1316000)</f>
        <v>0</v>
      </c>
      <c r="AO494" s="4">
        <f>IF(Base[[#This Row],[Pathologie]]&lt;&gt;"Dépendance",0,Base[[#This Row],['[SC']Coût_personne_dépendante]]*Base[[#This Row],['[SC']Nb_personnes_dépendantes]])</f>
        <v>0</v>
      </c>
      <c r="AP494" s="4">
        <f>IF(Base[[#This Row],[Pathologie]]&lt;&gt;"Dépendance",0,Base[[#This Row],['[SC']Coût_total_dépendance]]/Base[[#This Row],[Population_totale]])</f>
        <v>0</v>
      </c>
      <c r="AQ494" s="4">
        <f>IF(Base[[#This Row],[Pathologie]]&lt;&gt;"Dépendance",0,4.5)</f>
        <v>0</v>
      </c>
      <c r="AR494" s="4">
        <v>1.0077957276768601</v>
      </c>
      <c r="AS494" s="4">
        <f>Base[[#This Row],[Espérance_vie]]+Base[[#This Row],['[SC']Hausse_esp_de_vie]]-Base[[#This Row],['[SC']Durée_moyenne_dépendance_avt]]+Base[[#This Row],[Risque]]</f>
        <v>83.883608971244797</v>
      </c>
      <c r="AT4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4" s="4">
        <v>62.9</v>
      </c>
      <c r="AW494" s="4">
        <f t="shared" si="13"/>
        <v>336905600000</v>
      </c>
      <c r="AX494" s="4">
        <v>15049171</v>
      </c>
      <c r="AY494" s="4">
        <f>Base[[#This Row],['[SC']Budget_total_retraites]]/Base[[#This Row],['[SC']Nombre_de_retraités]]</f>
        <v>22386.987296509556</v>
      </c>
      <c r="AZ494" s="4">
        <f>Base[[#This Row],['[SC']Budget_par_retraité]]*Base[[#This Row],['[SC']Nb_personnes_dépendantes]]</f>
        <v>0</v>
      </c>
      <c r="BA494" s="4">
        <f>Base[[#This Row],['[SC']'[Dépendance']Coût_retraite_personnes_dépendantes]]/Base[[#This Row],[Population_totale]]</f>
        <v>0</v>
      </c>
      <c r="BB4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4" s="4">
        <f>Base[[#This Row],['[SC']'[Dépendance']Gains]]-Base[[#This Row],['[SC']'[Dépendance']Coûts]]</f>
        <v>0</v>
      </c>
      <c r="BD494" s="4">
        <f>IF(Base[[#This Row],[Pathologie]]&lt;&gt;"Mort prématurée",0,Base[[#This Row],[Risque]]*Base[[#This Row],[Prévalence]]*Base[[#This Row],[Population_totale]])</f>
        <v>0</v>
      </c>
      <c r="BE494" s="4">
        <v>52.74</v>
      </c>
      <c r="BF494" s="4">
        <f>Base[[#This Row],['[SC']Âge_moyen_retraite]]-Base[[#This Row],['[SC']'[Mort_prématurée']Âge_moyen_mort précoce]]</f>
        <v>10.159999999999997</v>
      </c>
      <c r="BG494" s="4">
        <f>Base[[#This Row],[Espérance_vie]]+Base[[#This Row],['[SC']Hausse_esp_de_vie]]-Base[[#This Row],['[SC']Âge_moyen_retraite]]</f>
        <v>20.404874790994718</v>
      </c>
      <c r="BH494" s="4">
        <v>106583.42676924677</v>
      </c>
      <c r="BI494" s="4">
        <v>97601.789429271477</v>
      </c>
      <c r="BJ494" s="4">
        <v>302038.31496633729</v>
      </c>
      <c r="BK494" s="4">
        <v>117293.58934859755</v>
      </c>
      <c r="BL494" s="4">
        <v>1523999.9999999995</v>
      </c>
      <c r="BM4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4" s="4">
        <v>294804.96027377353</v>
      </c>
      <c r="BO4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4" s="4">
        <f>(Base[[#This Row],['[SC']'[Mort_prématurée']Gains]]-Base[[#This Row],['[SC']'[Mort_prématurée']Coûts]])/Base[[#This Row],[Population_totale]]</f>
        <v>0</v>
      </c>
      <c r="BQ494" s="4">
        <f>IF(Base[[#This Row],[Pathologie]]&lt;&gt;"Mort prématurée",0,Base[[#This Row],[Risque]])</f>
        <v>0</v>
      </c>
      <c r="BR494" s="4">
        <v>2680</v>
      </c>
      <c r="BS4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4" s="4">
        <f>Base[[#This Row],[Prévalence_prod]]*(1-Base[[#This Row],[Risque]])*Base[[#This Row],[Durée_arrêt]]*Base[[#This Row],[Population_emploi]]</f>
        <v>4462558.1155359624</v>
      </c>
      <c r="BV494" s="4">
        <f>Base[[#This Row],['[Prod']'[Absentéisme']Total_jours_absence_avant]]-Base[[#This Row],['[Prod']'[Absentéisme']Total_jours_absence_après]]</f>
        <v>6130653.833596467</v>
      </c>
      <c r="BW494" s="4">
        <f>IF(AND(Base[[#This Row],[Pathologie]]&lt;&gt;"Dépendance",Base[[#This Row],[Pathologie]]&lt;&gt;"Mort prématurée",Base[[#This Row],[Pathologie]]&lt;&gt;"Migraine"),0.0619,0)</f>
        <v>6.1899999999999997E-2</v>
      </c>
      <c r="BX494" s="4">
        <v>254</v>
      </c>
      <c r="BY494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4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4" s="4">
        <f>Base[[#This Row],[Prévalence_prod]]*Base[[#This Row],[Présentéisme]]*Base[[#This Row],['[Prod']Jours_ouvrés]]</f>
        <v>1.0626852000000002</v>
      </c>
      <c r="CB494" s="4">
        <f>Base[[#This Row],[Prévalence_prod]]*(1-Base[[#This Row],[Risque]])*Base[[#This Row],[Présentéisme]]*Base[[#This Row],['[Prod']Jours_ouvrés]]</f>
        <v>0.44767295191411194</v>
      </c>
      <c r="CC494" s="4">
        <f>Base[[#This Row],['[Prod']'[Présentéisme']Jours_avant]]-Base[[#This Row],['[Prod']'[Présentéisme']Jours_après]]</f>
        <v>0.61501224808588828</v>
      </c>
      <c r="CD494" s="4">
        <f>Base[[#This Row],['[Prod']'[Présentéisme']Jours_gagnés]]/Base[[#This Row],['[Prod']Jours_ouvrés]]</f>
        <v>2.421308063330269E-3</v>
      </c>
      <c r="CE494">
        <v>9.3428413505841454E-2</v>
      </c>
      <c r="CF494">
        <v>2.1038737314955848E-2</v>
      </c>
      <c r="CG494" s="4">
        <v>11</v>
      </c>
      <c r="CH494" s="4">
        <v>1.3987208237662601</v>
      </c>
      <c r="CI494" s="4">
        <v>2.1768516166491274E-2</v>
      </c>
      <c r="CJ494" s="4">
        <f>IF(Base[[#This Row],[Secteur]]&lt;&gt;"Moyenne",Base[[#This Row],['[Prod']'[Turnover']DMC_initiale]]*(1+Base[[#This Row],['[Prod']'[Turnover']Ecart_accidents]]*Base[[#This Row],['[Prod']Impact_motifs_turnover]]),CJ477*CI477+CJ478*CI478+CJ479*CI479+CJ480*CI480+CJ481*CI481+CJ482*CI482+CJ483*CI483+CJ484*CI484+CJ485*CI485+CJ486*CI486+CJ487*CI487+CJ488*CI488+CJ489*CI489+CJ490*CI490+CJ491*CI491+CJ492*CI492+CJ493*CI493)</f>
        <v>11.323700519869947</v>
      </c>
      <c r="CK494" s="4">
        <f>1/Base[[#This Row],['[Prod']'[Turnover']DMC_initiale]]</f>
        <v>9.0909090909090912E-2</v>
      </c>
      <c r="CL494" s="4">
        <f>1/Base[[#This Row],['[Prod']'[Turnover']DMC_finale]]</f>
        <v>8.8310353867561045E-2</v>
      </c>
    </row>
    <row r="495" spans="2:90" x14ac:dyDescent="0.25">
      <c r="B495" s="4" t="s">
        <v>325</v>
      </c>
      <c r="C495">
        <v>30</v>
      </c>
      <c r="D495" t="s">
        <v>85</v>
      </c>
      <c r="E495" t="s">
        <v>4</v>
      </c>
      <c r="F495" s="3">
        <v>0.57873418025007606</v>
      </c>
      <c r="G495" s="3">
        <v>3.6700000000000003E-2</v>
      </c>
      <c r="H495" s="3">
        <v>3.6700000000000003E-2</v>
      </c>
      <c r="I495" s="3">
        <v>0.114</v>
      </c>
      <c r="J495" s="3">
        <v>10.311441509770701</v>
      </c>
      <c r="K495" s="3">
        <v>7.0000000000000007E-2</v>
      </c>
      <c r="L495" s="2">
        <f>Base[[#This Row],[Coût]]*Base[[#This Row],[Part_ménages_dépenses_santé]]</f>
        <v>0.72180090568394906</v>
      </c>
      <c r="M495" s="2">
        <v>0.99731334462301791</v>
      </c>
      <c r="N495" s="6">
        <v>27700000</v>
      </c>
      <c r="O495" s="7">
        <f>Base[[#This Row],[Coût_salarié]]*10^9*Base[[#This Row],[Risque]]*Base[[#This Row],[Prévalence]]*Base[[#This Row],[Part_coûts_salarié]]/Base[[#This Row],[Population_emploi]]</f>
        <v>0.55196873745248154</v>
      </c>
      <c r="P495">
        <v>50</v>
      </c>
      <c r="Q495">
        <v>50</v>
      </c>
      <c r="R495" s="2">
        <v>9.9999999999999978E-2</v>
      </c>
      <c r="S495" s="2">
        <v>0.33340000000000003</v>
      </c>
      <c r="T495" s="4">
        <v>3.6700000000000003E-2</v>
      </c>
      <c r="U495" s="4">
        <f>IF(Bases_annexes!$F$5=0,16.6587111018772,0.77*Bases_annexes!$F$5/(IF(OR(ISBLANK('Données_d''entrée'!$E$44),'Données_d''entrée'!$E$44=0),35,'Données_d''entrée'!$E$44)*52))</f>
        <v>16.658711101877199</v>
      </c>
      <c r="V495" s="4">
        <v>10.42033853287208</v>
      </c>
      <c r="W4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5" s="4">
        <v>234.5</v>
      </c>
      <c r="Y495" s="4">
        <f>(Base[[#This Row],['[Maladies']Coûts_évités_par_salarié]]+Base[[#This Row],['[Travail']Coûts_évités_par_salarié]])/Base[[#This Row],[Budget_santé_salarié]]</f>
        <v>4.187677451329095E-2</v>
      </c>
      <c r="Z495" s="4">
        <v>0.8</v>
      </c>
      <c r="AA495" s="4">
        <f>Base[[#This Row],[Coût]]*Base[[#This Row],[Part_société_dépenses_santé]]</f>
        <v>8.2491532078165601</v>
      </c>
      <c r="AB495" s="4">
        <v>67635124</v>
      </c>
      <c r="AC495" s="4">
        <v>82.297079063317852</v>
      </c>
      <c r="AD495" s="4">
        <v>3.6700000000000003E-2</v>
      </c>
      <c r="AE495" s="4">
        <f>Base[[#This Row],['[SC']Prévalence_travail]]*Base[[#This Row],[Population_emploi]]</f>
        <v>1016590.0000000001</v>
      </c>
      <c r="AF495" s="4">
        <f>Base[[#This Row],[Risque]]*Base[[#This Row],['[SC']Patients_en_emploi]]</f>
        <v>588335.38030042488</v>
      </c>
      <c r="AG495" s="4">
        <v>756671404.20000005</v>
      </c>
      <c r="AH495" s="4">
        <f>IFERROR(Base[[#This Row],['[SC']Prestations]]/Base[[#This Row],['[SC']Patients_en_emploi]],0)</f>
        <v>744.32308423258144</v>
      </c>
      <c r="AI495" s="4">
        <v>51.7</v>
      </c>
      <c r="AJ4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5" s="4">
        <f>Base[[#This Row],['[SC']'[Travail']Coûts_évités]]/Base[[#This Row],[Population_emploi]]</f>
        <v>15.809083206800036</v>
      </c>
      <c r="AL495" s="4">
        <f>Base[[#This Row],[Coût_société]]*10^9*Base[[#This Row],[Risque]]*Base[[#This Row],[Prévalence]]*Base[[#This Row],[Part_coûts_salarié]]/Base[[#This Row],[Population_emploi]]</f>
        <v>6.308214142314073</v>
      </c>
      <c r="AM495" s="4">
        <f>IF(Base[[#This Row],[Pathologie]]&lt;&gt;"Dépendance",0,14909.24243952)</f>
        <v>0</v>
      </c>
      <c r="AN495" s="4">
        <f>IF(Base[[#This Row],[Pathologie]]&lt;&gt;"Dépendance",0,1316000)</f>
        <v>0</v>
      </c>
      <c r="AO495" s="4">
        <f>IF(Base[[#This Row],[Pathologie]]&lt;&gt;"Dépendance",0,Base[[#This Row],['[SC']Coût_personne_dépendante]]*Base[[#This Row],['[SC']Nb_personnes_dépendantes]])</f>
        <v>0</v>
      </c>
      <c r="AP495" s="4">
        <f>IF(Base[[#This Row],[Pathologie]]&lt;&gt;"Dépendance",0,Base[[#This Row],['[SC']Coût_total_dépendance]]/Base[[#This Row],[Population_totale]])</f>
        <v>0</v>
      </c>
      <c r="AQ495" s="4">
        <f>IF(Base[[#This Row],[Pathologie]]&lt;&gt;"Dépendance",0,4.5)</f>
        <v>0</v>
      </c>
      <c r="AR495" s="4">
        <v>1.0077957276768601</v>
      </c>
      <c r="AS495" s="4">
        <f>Base[[#This Row],[Espérance_vie]]+Base[[#This Row],['[SC']Hausse_esp_de_vie]]-Base[[#This Row],['[SC']Durée_moyenne_dépendance_avt]]+Base[[#This Row],[Risque]]</f>
        <v>83.883608971244797</v>
      </c>
      <c r="AT4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5" s="4">
        <v>62.9</v>
      </c>
      <c r="AW495" s="4">
        <f t="shared" si="13"/>
        <v>336905600000</v>
      </c>
      <c r="AX495" s="4">
        <v>15049171</v>
      </c>
      <c r="AY495" s="4">
        <f>Base[[#This Row],['[SC']Budget_total_retraites]]/Base[[#This Row],['[SC']Nombre_de_retraités]]</f>
        <v>22386.987296509556</v>
      </c>
      <c r="AZ495" s="4">
        <f>Base[[#This Row],['[SC']Budget_par_retraité]]*Base[[#This Row],['[SC']Nb_personnes_dépendantes]]</f>
        <v>0</v>
      </c>
      <c r="BA495" s="4">
        <f>Base[[#This Row],['[SC']'[Dépendance']Coût_retraite_personnes_dépendantes]]/Base[[#This Row],[Population_totale]]</f>
        <v>0</v>
      </c>
      <c r="BB4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5" s="4">
        <f>Base[[#This Row],['[SC']'[Dépendance']Gains]]-Base[[#This Row],['[SC']'[Dépendance']Coûts]]</f>
        <v>0</v>
      </c>
      <c r="BD495" s="4">
        <f>IF(Base[[#This Row],[Pathologie]]&lt;&gt;"Mort prématurée",0,Base[[#This Row],[Risque]]*Base[[#This Row],[Prévalence]]*Base[[#This Row],[Population_totale]])</f>
        <v>0</v>
      </c>
      <c r="BE495" s="4">
        <v>52.74</v>
      </c>
      <c r="BF495" s="4">
        <f>Base[[#This Row],['[SC']Âge_moyen_retraite]]-Base[[#This Row],['[SC']'[Mort_prématurée']Âge_moyen_mort précoce]]</f>
        <v>10.159999999999997</v>
      </c>
      <c r="BG495" s="4">
        <f>Base[[#This Row],[Espérance_vie]]+Base[[#This Row],['[SC']Hausse_esp_de_vie]]-Base[[#This Row],['[SC']Âge_moyen_retraite]]</f>
        <v>20.404874790994718</v>
      </c>
      <c r="BH495" s="4">
        <v>106583.42676924677</v>
      </c>
      <c r="BI495" s="4">
        <v>97601.789429271477</v>
      </c>
      <c r="BJ495" s="4">
        <v>302038.31496633729</v>
      </c>
      <c r="BK495" s="4">
        <v>117293.58934859755</v>
      </c>
      <c r="BL495" s="4">
        <v>1523999.9999999995</v>
      </c>
      <c r="BM4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5" s="4">
        <v>294804.96027377353</v>
      </c>
      <c r="BO4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5" s="4">
        <f>(Base[[#This Row],['[SC']'[Mort_prématurée']Gains]]-Base[[#This Row],['[SC']'[Mort_prématurée']Coûts]])/Base[[#This Row],[Population_totale]]</f>
        <v>0</v>
      </c>
      <c r="BQ495" s="4">
        <f>IF(Base[[#This Row],[Pathologie]]&lt;&gt;"Mort prématurée",0,Base[[#This Row],[Risque]])</f>
        <v>0</v>
      </c>
      <c r="BR495" s="4">
        <v>2680</v>
      </c>
      <c r="BS4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5" s="4">
        <f>Base[[#This Row],[Prévalence_prod]]*(1-Base[[#This Row],[Risque]])*Base[[#This Row],[Durée_arrêt]]*Base[[#This Row],[Population_emploi]]</f>
        <v>4462558.1155359624</v>
      </c>
      <c r="BV495" s="4">
        <f>Base[[#This Row],['[Prod']'[Absentéisme']Total_jours_absence_avant]]-Base[[#This Row],['[Prod']'[Absentéisme']Total_jours_absence_après]]</f>
        <v>6130653.833596467</v>
      </c>
      <c r="BW495" s="4">
        <f>IF(AND(Base[[#This Row],[Pathologie]]&lt;&gt;"Dépendance",Base[[#This Row],[Pathologie]]&lt;&gt;"Mort prématurée",Base[[#This Row],[Pathologie]]&lt;&gt;"Migraine"),0.0619,0)</f>
        <v>6.1899999999999997E-2</v>
      </c>
      <c r="BX495" s="4">
        <v>254</v>
      </c>
      <c r="BY495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5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5" s="4">
        <f>Base[[#This Row],[Prévalence_prod]]*Base[[#This Row],[Présentéisme]]*Base[[#This Row],['[Prod']Jours_ouvrés]]</f>
        <v>1.0626852000000002</v>
      </c>
      <c r="CB495" s="4">
        <f>Base[[#This Row],[Prévalence_prod]]*(1-Base[[#This Row],[Risque]])*Base[[#This Row],[Présentéisme]]*Base[[#This Row],['[Prod']Jours_ouvrés]]</f>
        <v>0.44767295191411194</v>
      </c>
      <c r="CC495" s="4">
        <f>Base[[#This Row],['[Prod']'[Présentéisme']Jours_avant]]-Base[[#This Row],['[Prod']'[Présentéisme']Jours_après]]</f>
        <v>0.61501224808588828</v>
      </c>
      <c r="CD495" s="4">
        <f>Base[[#This Row],['[Prod']'[Présentéisme']Jours_gagnés]]/Base[[#This Row],['[Prod']Jours_ouvrés]]</f>
        <v>2.421308063330269E-3</v>
      </c>
      <c r="CE495">
        <v>9.3428413505841454E-2</v>
      </c>
      <c r="CF495">
        <v>2.1038737314955848E-2</v>
      </c>
      <c r="CG495" s="4">
        <v>11</v>
      </c>
      <c r="CH495" s="4">
        <v>1.1624525375985588</v>
      </c>
      <c r="CI495" s="4">
        <v>3.7953151649308701E-2</v>
      </c>
      <c r="CJ495" s="4">
        <f>IF(Base[[#This Row],[Secteur]]&lt;&gt;"Moyenne",Base[[#This Row],['[Prod']'[Turnover']DMC_initiale]]*(1+Base[[#This Row],['[Prod']'[Turnover']Ecart_accidents]]*Base[[#This Row],['[Prod']Impact_motifs_turnover]]),CJ478*CI478+CJ479*CI479+CJ480*CI480+CJ481*CI481+CJ482*CI482+CJ483*CI483+CJ484*CI484+CJ485*CI485+CJ486*CI486+CJ487*CI487+CJ488*CI488+CJ489*CI489+CJ490*CI490+CJ491*CI491+CJ492*CI492+CJ493*CI493+CJ494*CI494)</f>
        <v>11.269021869376038</v>
      </c>
      <c r="CK495" s="4">
        <f>1/Base[[#This Row],['[Prod']'[Turnover']DMC_initiale]]</f>
        <v>9.0909090909090912E-2</v>
      </c>
      <c r="CL495" s="4">
        <f>1/Base[[#This Row],['[Prod']'[Turnover']DMC_finale]]</f>
        <v>8.8738846333907204E-2</v>
      </c>
    </row>
    <row r="496" spans="2:90" x14ac:dyDescent="0.25">
      <c r="B496" s="4" t="s">
        <v>326</v>
      </c>
      <c r="C496">
        <v>30</v>
      </c>
      <c r="D496" t="s">
        <v>85</v>
      </c>
      <c r="E496" t="s">
        <v>4</v>
      </c>
      <c r="F496" s="3">
        <v>0.57873418025007606</v>
      </c>
      <c r="G496" s="3">
        <v>3.6700000000000003E-2</v>
      </c>
      <c r="H496" s="3">
        <v>3.6700000000000003E-2</v>
      </c>
      <c r="I496" s="3">
        <v>0.114</v>
      </c>
      <c r="J496" s="3">
        <v>10.311441509770701</v>
      </c>
      <c r="K496" s="3">
        <v>7.0000000000000007E-2</v>
      </c>
      <c r="L496" s="2">
        <f>Base[[#This Row],[Coût]]*Base[[#This Row],[Part_ménages_dépenses_santé]]</f>
        <v>0.72180090568394906</v>
      </c>
      <c r="M496" s="2">
        <v>0.99731334462301791</v>
      </c>
      <c r="N496" s="6">
        <v>27700000</v>
      </c>
      <c r="O496" s="7">
        <f>Base[[#This Row],[Coût_salarié]]*10^9*Base[[#This Row],[Risque]]*Base[[#This Row],[Prévalence]]*Base[[#This Row],[Part_coûts_salarié]]/Base[[#This Row],[Population_emploi]]</f>
        <v>0.55196873745248154</v>
      </c>
      <c r="P496">
        <v>50</v>
      </c>
      <c r="Q496">
        <v>50</v>
      </c>
      <c r="R496" s="2">
        <v>9.9999999999999978E-2</v>
      </c>
      <c r="S496" s="2">
        <v>0.33340000000000003</v>
      </c>
      <c r="T496" s="4">
        <v>3.6700000000000003E-2</v>
      </c>
      <c r="U496" s="4">
        <f>IF(Bases_annexes!$F$5=0,16.6587111018772,0.77*Bases_annexes!$F$5/(IF(OR(ISBLANK('Données_d''entrée'!$E$44),'Données_d''entrée'!$E$44=0),35,'Données_d''entrée'!$E$44)*52))</f>
        <v>16.658711101877199</v>
      </c>
      <c r="V496" s="4">
        <v>10.42033853287208</v>
      </c>
      <c r="W4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6" s="4">
        <v>234.5</v>
      </c>
      <c r="Y496" s="4">
        <f>(Base[[#This Row],['[Maladies']Coûts_évités_par_salarié]]+Base[[#This Row],['[Travail']Coûts_évités_par_salarié]])/Base[[#This Row],[Budget_santé_salarié]]</f>
        <v>4.187677451329095E-2</v>
      </c>
      <c r="Z496" s="4">
        <v>0.8</v>
      </c>
      <c r="AA496" s="4">
        <f>Base[[#This Row],[Coût]]*Base[[#This Row],[Part_société_dépenses_santé]]</f>
        <v>8.2491532078165601</v>
      </c>
      <c r="AB496" s="4">
        <v>67635124</v>
      </c>
      <c r="AC496" s="4">
        <v>82.297079063317852</v>
      </c>
      <c r="AD496" s="4">
        <v>3.6700000000000003E-2</v>
      </c>
      <c r="AE496" s="4">
        <f>Base[[#This Row],['[SC']Prévalence_travail]]*Base[[#This Row],[Population_emploi]]</f>
        <v>1016590.0000000001</v>
      </c>
      <c r="AF496" s="4">
        <f>Base[[#This Row],[Risque]]*Base[[#This Row],['[SC']Patients_en_emploi]]</f>
        <v>588335.38030042488</v>
      </c>
      <c r="AG496" s="4">
        <v>756671404.20000005</v>
      </c>
      <c r="AH496" s="4">
        <f>IFERROR(Base[[#This Row],['[SC']Prestations]]/Base[[#This Row],['[SC']Patients_en_emploi]],0)</f>
        <v>744.32308423258144</v>
      </c>
      <c r="AI496" s="4">
        <v>51.7</v>
      </c>
      <c r="AJ4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6" s="4">
        <f>Base[[#This Row],['[SC']'[Travail']Coûts_évités]]/Base[[#This Row],[Population_emploi]]</f>
        <v>15.809083206800036</v>
      </c>
      <c r="AL496" s="4">
        <f>Base[[#This Row],[Coût_société]]*10^9*Base[[#This Row],[Risque]]*Base[[#This Row],[Prévalence]]*Base[[#This Row],[Part_coûts_salarié]]/Base[[#This Row],[Population_emploi]]</f>
        <v>6.308214142314073</v>
      </c>
      <c r="AM496" s="4">
        <f>IF(Base[[#This Row],[Pathologie]]&lt;&gt;"Dépendance",0,14909.24243952)</f>
        <v>0</v>
      </c>
      <c r="AN496" s="4">
        <f>IF(Base[[#This Row],[Pathologie]]&lt;&gt;"Dépendance",0,1316000)</f>
        <v>0</v>
      </c>
      <c r="AO496" s="4">
        <f>IF(Base[[#This Row],[Pathologie]]&lt;&gt;"Dépendance",0,Base[[#This Row],['[SC']Coût_personne_dépendante]]*Base[[#This Row],['[SC']Nb_personnes_dépendantes]])</f>
        <v>0</v>
      </c>
      <c r="AP496" s="4">
        <f>IF(Base[[#This Row],[Pathologie]]&lt;&gt;"Dépendance",0,Base[[#This Row],['[SC']Coût_total_dépendance]]/Base[[#This Row],[Population_totale]])</f>
        <v>0</v>
      </c>
      <c r="AQ496" s="4">
        <f>IF(Base[[#This Row],[Pathologie]]&lt;&gt;"Dépendance",0,4.5)</f>
        <v>0</v>
      </c>
      <c r="AR496" s="4">
        <v>1.0077957276768601</v>
      </c>
      <c r="AS496" s="4">
        <f>Base[[#This Row],[Espérance_vie]]+Base[[#This Row],['[SC']Hausse_esp_de_vie]]-Base[[#This Row],['[SC']Durée_moyenne_dépendance_avt]]+Base[[#This Row],[Risque]]</f>
        <v>83.883608971244797</v>
      </c>
      <c r="AT4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6" s="4">
        <v>62.9</v>
      </c>
      <c r="AW496" s="4">
        <f t="shared" si="13"/>
        <v>336905600000</v>
      </c>
      <c r="AX496" s="4">
        <v>15049171</v>
      </c>
      <c r="AY496" s="4">
        <f>Base[[#This Row],['[SC']Budget_total_retraites]]/Base[[#This Row],['[SC']Nombre_de_retraités]]</f>
        <v>22386.987296509556</v>
      </c>
      <c r="AZ496" s="4">
        <f>Base[[#This Row],['[SC']Budget_par_retraité]]*Base[[#This Row],['[SC']Nb_personnes_dépendantes]]</f>
        <v>0</v>
      </c>
      <c r="BA496" s="4">
        <f>Base[[#This Row],['[SC']'[Dépendance']Coût_retraite_personnes_dépendantes]]/Base[[#This Row],[Population_totale]]</f>
        <v>0</v>
      </c>
      <c r="BB4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6" s="4">
        <f>Base[[#This Row],['[SC']'[Dépendance']Gains]]-Base[[#This Row],['[SC']'[Dépendance']Coûts]]</f>
        <v>0</v>
      </c>
      <c r="BD496" s="4">
        <f>IF(Base[[#This Row],[Pathologie]]&lt;&gt;"Mort prématurée",0,Base[[#This Row],[Risque]]*Base[[#This Row],[Prévalence]]*Base[[#This Row],[Population_totale]])</f>
        <v>0</v>
      </c>
      <c r="BE496" s="4">
        <v>52.74</v>
      </c>
      <c r="BF496" s="4">
        <f>Base[[#This Row],['[SC']Âge_moyen_retraite]]-Base[[#This Row],['[SC']'[Mort_prématurée']Âge_moyen_mort précoce]]</f>
        <v>10.159999999999997</v>
      </c>
      <c r="BG496" s="4">
        <f>Base[[#This Row],[Espérance_vie]]+Base[[#This Row],['[SC']Hausse_esp_de_vie]]-Base[[#This Row],['[SC']Âge_moyen_retraite]]</f>
        <v>20.404874790994718</v>
      </c>
      <c r="BH496" s="4">
        <v>106583.42676924677</v>
      </c>
      <c r="BI496" s="4">
        <v>97601.789429271477</v>
      </c>
      <c r="BJ496" s="4">
        <v>302038.31496633729</v>
      </c>
      <c r="BK496" s="4">
        <v>117293.58934859755</v>
      </c>
      <c r="BL496" s="4">
        <v>1523999.9999999995</v>
      </c>
      <c r="BM4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6" s="4">
        <v>294804.96027377353</v>
      </c>
      <c r="BO4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6" s="4">
        <f>(Base[[#This Row],['[SC']'[Mort_prématurée']Gains]]-Base[[#This Row],['[SC']'[Mort_prématurée']Coûts]])/Base[[#This Row],[Population_totale]]</f>
        <v>0</v>
      </c>
      <c r="BQ496" s="4">
        <f>IF(Base[[#This Row],[Pathologie]]&lt;&gt;"Mort prématurée",0,Base[[#This Row],[Risque]])</f>
        <v>0</v>
      </c>
      <c r="BR496" s="4">
        <v>2680</v>
      </c>
      <c r="BS4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6" s="4">
        <f>Base[[#This Row],[Prévalence_prod]]*(1-Base[[#This Row],[Risque]])*Base[[#This Row],[Durée_arrêt]]*Base[[#This Row],[Population_emploi]]</f>
        <v>4462558.1155359624</v>
      </c>
      <c r="BV496" s="4">
        <f>Base[[#This Row],['[Prod']'[Absentéisme']Total_jours_absence_avant]]-Base[[#This Row],['[Prod']'[Absentéisme']Total_jours_absence_après]]</f>
        <v>6130653.833596467</v>
      </c>
      <c r="BW496" s="4">
        <f>IF(AND(Base[[#This Row],[Pathologie]]&lt;&gt;"Dépendance",Base[[#This Row],[Pathologie]]&lt;&gt;"Mort prématurée",Base[[#This Row],[Pathologie]]&lt;&gt;"Migraine"),0.0619,0)</f>
        <v>6.1899999999999997E-2</v>
      </c>
      <c r="BX496" s="4">
        <v>254</v>
      </c>
      <c r="BY496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6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6" s="4">
        <f>Base[[#This Row],[Prévalence_prod]]*Base[[#This Row],[Présentéisme]]*Base[[#This Row],['[Prod']Jours_ouvrés]]</f>
        <v>1.0626852000000002</v>
      </c>
      <c r="CB496" s="4">
        <f>Base[[#This Row],[Prévalence_prod]]*(1-Base[[#This Row],[Risque]])*Base[[#This Row],[Présentéisme]]*Base[[#This Row],['[Prod']Jours_ouvrés]]</f>
        <v>0.44767295191411194</v>
      </c>
      <c r="CC496" s="4">
        <f>Base[[#This Row],['[Prod']'[Présentéisme']Jours_avant]]-Base[[#This Row],['[Prod']'[Présentéisme']Jours_après]]</f>
        <v>0.61501224808588828</v>
      </c>
      <c r="CD496" s="4">
        <f>Base[[#This Row],['[Prod']'[Présentéisme']Jours_gagnés]]/Base[[#This Row],['[Prod']Jours_ouvrés]]</f>
        <v>2.421308063330269E-3</v>
      </c>
      <c r="CE496">
        <v>9.3428413505841454E-2</v>
      </c>
      <c r="CF496">
        <v>2.1038737314955848E-2</v>
      </c>
      <c r="CG496" s="4">
        <v>11</v>
      </c>
      <c r="CH496" s="4">
        <v>0.19346787829229528</v>
      </c>
      <c r="CI496" s="4">
        <v>2.8126549817953091E-2</v>
      </c>
      <c r="CJ496" s="4">
        <f>IF(Base[[#This Row],[Secteur]]&lt;&gt;"Moyenne",Base[[#This Row],['[Prod']'[Turnover']DMC_initiale]]*(1+Base[[#This Row],['[Prod']'[Turnover']Ecart_accidents]]*Base[[#This Row],['[Prod']Impact_motifs_turnover]]),CJ479*CI479+CJ480*CI480+CJ481*CI481+CJ482*CI482+CJ483*CI483+CJ484*CI484+CJ485*CI485+CJ486*CI486+CJ487*CI487+CJ488*CI488+CJ489*CI489+CJ490*CI490+CJ491*CI491+CJ492*CI492+CJ493*CI493+CJ494*CI494+CJ495*CI495)</f>
        <v>11.044773518573008</v>
      </c>
      <c r="CK496" s="4">
        <f>1/Base[[#This Row],['[Prod']'[Turnover']DMC_initiale]]</f>
        <v>9.0909090909090912E-2</v>
      </c>
      <c r="CL496" s="4">
        <f>1/Base[[#This Row],['[Prod']'[Turnover']DMC_finale]]</f>
        <v>9.0540561861082031E-2</v>
      </c>
    </row>
    <row r="497" spans="2:90" x14ac:dyDescent="0.25">
      <c r="B497" s="4" t="s">
        <v>327</v>
      </c>
      <c r="C497">
        <v>30</v>
      </c>
      <c r="D497" t="s">
        <v>85</v>
      </c>
      <c r="E497" t="s">
        <v>4</v>
      </c>
      <c r="F497" s="3">
        <v>0.57873418025007606</v>
      </c>
      <c r="G497" s="3">
        <v>3.6700000000000003E-2</v>
      </c>
      <c r="H497" s="3">
        <v>3.6700000000000003E-2</v>
      </c>
      <c r="I497" s="3">
        <v>0.114</v>
      </c>
      <c r="J497" s="3">
        <v>10.311441509770701</v>
      </c>
      <c r="K497" s="3">
        <v>7.0000000000000007E-2</v>
      </c>
      <c r="L497" s="2">
        <f>Base[[#This Row],[Coût]]*Base[[#This Row],[Part_ménages_dépenses_santé]]</f>
        <v>0.72180090568394906</v>
      </c>
      <c r="M497" s="2">
        <v>0.99731334462301791</v>
      </c>
      <c r="N497" s="6">
        <v>27700000</v>
      </c>
      <c r="O497" s="7">
        <f>Base[[#This Row],[Coût_salarié]]*10^9*Base[[#This Row],[Risque]]*Base[[#This Row],[Prévalence]]*Base[[#This Row],[Part_coûts_salarié]]/Base[[#This Row],[Population_emploi]]</f>
        <v>0.55196873745248154</v>
      </c>
      <c r="P497">
        <v>50</v>
      </c>
      <c r="Q497">
        <v>50</v>
      </c>
      <c r="R497" s="2">
        <v>9.9999999999999978E-2</v>
      </c>
      <c r="S497" s="2">
        <v>0.33340000000000003</v>
      </c>
      <c r="T497" s="4">
        <v>3.6700000000000003E-2</v>
      </c>
      <c r="U497" s="4">
        <f>IF(Bases_annexes!$F$5=0,16.6587111018772,0.77*Bases_annexes!$F$5/(IF(OR(ISBLANK('Données_d''entrée'!$E$44),'Données_d''entrée'!$E$44=0),35,'Données_d''entrée'!$E$44)*52))</f>
        <v>16.658711101877199</v>
      </c>
      <c r="V497" s="4">
        <v>10.42033853287208</v>
      </c>
      <c r="W4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7" s="4">
        <v>234.5</v>
      </c>
      <c r="Y497" s="4">
        <f>(Base[[#This Row],['[Maladies']Coûts_évités_par_salarié]]+Base[[#This Row],['[Travail']Coûts_évités_par_salarié]])/Base[[#This Row],[Budget_santé_salarié]]</f>
        <v>4.187677451329095E-2</v>
      </c>
      <c r="Z497" s="4">
        <v>0.8</v>
      </c>
      <c r="AA497" s="4">
        <f>Base[[#This Row],[Coût]]*Base[[#This Row],[Part_société_dépenses_santé]]</f>
        <v>8.2491532078165601</v>
      </c>
      <c r="AB497" s="4">
        <v>67635124</v>
      </c>
      <c r="AC497" s="4">
        <v>82.297079063317852</v>
      </c>
      <c r="AD497" s="4">
        <v>3.6700000000000003E-2</v>
      </c>
      <c r="AE497" s="4">
        <f>Base[[#This Row],['[SC']Prévalence_travail]]*Base[[#This Row],[Population_emploi]]</f>
        <v>1016590.0000000001</v>
      </c>
      <c r="AF497" s="4">
        <f>Base[[#This Row],[Risque]]*Base[[#This Row],['[SC']Patients_en_emploi]]</f>
        <v>588335.38030042488</v>
      </c>
      <c r="AG497" s="4">
        <v>756671404.20000005</v>
      </c>
      <c r="AH497" s="4">
        <f>IFERROR(Base[[#This Row],['[SC']Prestations]]/Base[[#This Row],['[SC']Patients_en_emploi]],0)</f>
        <v>744.32308423258144</v>
      </c>
      <c r="AI497" s="4">
        <v>51.7</v>
      </c>
      <c r="AJ4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7" s="4">
        <f>Base[[#This Row],['[SC']'[Travail']Coûts_évités]]/Base[[#This Row],[Population_emploi]]</f>
        <v>15.809083206800036</v>
      </c>
      <c r="AL497" s="4">
        <f>Base[[#This Row],[Coût_société]]*10^9*Base[[#This Row],[Risque]]*Base[[#This Row],[Prévalence]]*Base[[#This Row],[Part_coûts_salarié]]/Base[[#This Row],[Population_emploi]]</f>
        <v>6.308214142314073</v>
      </c>
      <c r="AM497" s="4">
        <f>IF(Base[[#This Row],[Pathologie]]&lt;&gt;"Dépendance",0,14909.24243952)</f>
        <v>0</v>
      </c>
      <c r="AN497" s="4">
        <f>IF(Base[[#This Row],[Pathologie]]&lt;&gt;"Dépendance",0,1316000)</f>
        <v>0</v>
      </c>
      <c r="AO497" s="4">
        <f>IF(Base[[#This Row],[Pathologie]]&lt;&gt;"Dépendance",0,Base[[#This Row],['[SC']Coût_personne_dépendante]]*Base[[#This Row],['[SC']Nb_personnes_dépendantes]])</f>
        <v>0</v>
      </c>
      <c r="AP497" s="4">
        <f>IF(Base[[#This Row],[Pathologie]]&lt;&gt;"Dépendance",0,Base[[#This Row],['[SC']Coût_total_dépendance]]/Base[[#This Row],[Population_totale]])</f>
        <v>0</v>
      </c>
      <c r="AQ497" s="4">
        <f>IF(Base[[#This Row],[Pathologie]]&lt;&gt;"Dépendance",0,4.5)</f>
        <v>0</v>
      </c>
      <c r="AR497" s="4">
        <v>1.0077957276768601</v>
      </c>
      <c r="AS497" s="4">
        <f>Base[[#This Row],[Espérance_vie]]+Base[[#This Row],['[SC']Hausse_esp_de_vie]]-Base[[#This Row],['[SC']Durée_moyenne_dépendance_avt]]+Base[[#This Row],[Risque]]</f>
        <v>83.883608971244797</v>
      </c>
      <c r="AT4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7" s="4">
        <v>62.9</v>
      </c>
      <c r="AW497" s="4">
        <f t="shared" si="13"/>
        <v>336905600000</v>
      </c>
      <c r="AX497" s="4">
        <v>15049171</v>
      </c>
      <c r="AY497" s="4">
        <f>Base[[#This Row],['[SC']Budget_total_retraites]]/Base[[#This Row],['[SC']Nombre_de_retraités]]</f>
        <v>22386.987296509556</v>
      </c>
      <c r="AZ497" s="4">
        <f>Base[[#This Row],['[SC']Budget_par_retraité]]*Base[[#This Row],['[SC']Nb_personnes_dépendantes]]</f>
        <v>0</v>
      </c>
      <c r="BA497" s="4">
        <f>Base[[#This Row],['[SC']'[Dépendance']Coût_retraite_personnes_dépendantes]]/Base[[#This Row],[Population_totale]]</f>
        <v>0</v>
      </c>
      <c r="BB49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7" s="4">
        <f>Base[[#This Row],['[SC']'[Dépendance']Gains]]-Base[[#This Row],['[SC']'[Dépendance']Coûts]]</f>
        <v>0</v>
      </c>
      <c r="BD497" s="4">
        <f>IF(Base[[#This Row],[Pathologie]]&lt;&gt;"Mort prématurée",0,Base[[#This Row],[Risque]]*Base[[#This Row],[Prévalence]]*Base[[#This Row],[Population_totale]])</f>
        <v>0</v>
      </c>
      <c r="BE497" s="4">
        <v>52.74</v>
      </c>
      <c r="BF497" s="4">
        <f>Base[[#This Row],['[SC']Âge_moyen_retraite]]-Base[[#This Row],['[SC']'[Mort_prématurée']Âge_moyen_mort précoce]]</f>
        <v>10.159999999999997</v>
      </c>
      <c r="BG497" s="4">
        <f>Base[[#This Row],[Espérance_vie]]+Base[[#This Row],['[SC']Hausse_esp_de_vie]]-Base[[#This Row],['[SC']Âge_moyen_retraite]]</f>
        <v>20.404874790994718</v>
      </c>
      <c r="BH497" s="4">
        <v>106583.42676924677</v>
      </c>
      <c r="BI497" s="4">
        <v>97601.789429271477</v>
      </c>
      <c r="BJ497" s="4">
        <v>302038.31496633729</v>
      </c>
      <c r="BK497" s="4">
        <v>117293.58934859755</v>
      </c>
      <c r="BL497" s="4">
        <v>1523999.9999999995</v>
      </c>
      <c r="BM4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7" s="4">
        <v>294804.96027377353</v>
      </c>
      <c r="BO4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7" s="4">
        <f>(Base[[#This Row],['[SC']'[Mort_prématurée']Gains]]-Base[[#This Row],['[SC']'[Mort_prématurée']Coûts]])/Base[[#This Row],[Population_totale]]</f>
        <v>0</v>
      </c>
      <c r="BQ497" s="4">
        <f>IF(Base[[#This Row],[Pathologie]]&lt;&gt;"Mort prématurée",0,Base[[#This Row],[Risque]])</f>
        <v>0</v>
      </c>
      <c r="BR497" s="4">
        <v>2680</v>
      </c>
      <c r="BS4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7" s="4">
        <f>Base[[#This Row],[Prévalence_prod]]*(1-Base[[#This Row],[Risque]])*Base[[#This Row],[Durée_arrêt]]*Base[[#This Row],[Population_emploi]]</f>
        <v>4462558.1155359624</v>
      </c>
      <c r="BV497" s="4">
        <f>Base[[#This Row],['[Prod']'[Absentéisme']Total_jours_absence_avant]]-Base[[#This Row],['[Prod']'[Absentéisme']Total_jours_absence_après]]</f>
        <v>6130653.833596467</v>
      </c>
      <c r="BW497" s="4">
        <f>IF(AND(Base[[#This Row],[Pathologie]]&lt;&gt;"Dépendance",Base[[#This Row],[Pathologie]]&lt;&gt;"Mort prématurée",Base[[#This Row],[Pathologie]]&lt;&gt;"Migraine"),0.0619,0)</f>
        <v>6.1899999999999997E-2</v>
      </c>
      <c r="BX497" s="4">
        <v>254</v>
      </c>
      <c r="BY497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7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7" s="4">
        <f>Base[[#This Row],[Prévalence_prod]]*Base[[#This Row],[Présentéisme]]*Base[[#This Row],['[Prod']Jours_ouvrés]]</f>
        <v>1.0626852000000002</v>
      </c>
      <c r="CB497" s="4">
        <f>Base[[#This Row],[Prévalence_prod]]*(1-Base[[#This Row],[Risque]])*Base[[#This Row],[Présentéisme]]*Base[[#This Row],['[Prod']Jours_ouvrés]]</f>
        <v>0.44767295191411194</v>
      </c>
      <c r="CC497" s="4">
        <f>Base[[#This Row],['[Prod']'[Présentéisme']Jours_avant]]-Base[[#This Row],['[Prod']'[Présentéisme']Jours_après]]</f>
        <v>0.61501224808588828</v>
      </c>
      <c r="CD497" s="4">
        <f>Base[[#This Row],['[Prod']'[Présentéisme']Jours_gagnés]]/Base[[#This Row],['[Prod']Jours_ouvrés]]</f>
        <v>2.421308063330269E-3</v>
      </c>
      <c r="CE497">
        <v>9.3428413505841454E-2</v>
      </c>
      <c r="CF497">
        <v>2.1038737314955848E-2</v>
      </c>
      <c r="CG497" s="4">
        <v>11</v>
      </c>
      <c r="CH497" s="4">
        <v>0.13729577077682142</v>
      </c>
      <c r="CI497" s="4">
        <v>1.373516710817578E-2</v>
      </c>
      <c r="CJ497" s="4">
        <f>IF(Base[[#This Row],[Secteur]]&lt;&gt;"Moyenne",Base[[#This Row],['[Prod']'[Turnover']DMC_initiale]]*(1+Base[[#This Row],['[Prod']'[Turnover']Ecart_accidents]]*Base[[#This Row],['[Prod']Impact_motifs_turnover]]),CJ480*CI480+CJ481*CI481+CJ482*CI482+CJ483*CI483+CJ484*CI484+CJ485*CI485+CJ486*CI486+CJ487*CI487+CJ488*CI488+CJ489*CI489+CJ490*CI490+CJ491*CI491+CJ492*CI492+CJ493*CI493+CJ494*CI494+CJ495*CI495+CJ496*CI496)</f>
        <v>11.031773826214106</v>
      </c>
      <c r="CK497" s="4">
        <f>1/Base[[#This Row],['[Prod']'[Turnover']DMC_initiale]]</f>
        <v>9.0909090909090912E-2</v>
      </c>
      <c r="CL497" s="4">
        <f>1/Base[[#This Row],['[Prod']'[Turnover']DMC_finale]]</f>
        <v>9.0647253628764871E-2</v>
      </c>
    </row>
    <row r="498" spans="2:90" x14ac:dyDescent="0.25">
      <c r="B498" s="4" t="s">
        <v>328</v>
      </c>
      <c r="C498">
        <v>30</v>
      </c>
      <c r="D498" t="s">
        <v>85</v>
      </c>
      <c r="E498" t="s">
        <v>4</v>
      </c>
      <c r="F498" s="3">
        <v>0.57873418025007606</v>
      </c>
      <c r="G498" s="3">
        <v>3.6700000000000003E-2</v>
      </c>
      <c r="H498" s="3">
        <v>3.6700000000000003E-2</v>
      </c>
      <c r="I498" s="3">
        <v>0.114</v>
      </c>
      <c r="J498" s="3">
        <v>10.311441509770701</v>
      </c>
      <c r="K498" s="3">
        <v>7.0000000000000007E-2</v>
      </c>
      <c r="L498" s="2">
        <f>Base[[#This Row],[Coût]]*Base[[#This Row],[Part_ménages_dépenses_santé]]</f>
        <v>0.72180090568394906</v>
      </c>
      <c r="M498" s="2">
        <v>0.99731334462301791</v>
      </c>
      <c r="N498" s="6">
        <v>27700000</v>
      </c>
      <c r="O498" s="7">
        <f>Base[[#This Row],[Coût_salarié]]*10^9*Base[[#This Row],[Risque]]*Base[[#This Row],[Prévalence]]*Base[[#This Row],[Part_coûts_salarié]]/Base[[#This Row],[Population_emploi]]</f>
        <v>0.55196873745248154</v>
      </c>
      <c r="P498">
        <v>50</v>
      </c>
      <c r="Q498">
        <v>50</v>
      </c>
      <c r="R498" s="2">
        <v>9.9999999999999978E-2</v>
      </c>
      <c r="S498" s="2">
        <v>0.33340000000000003</v>
      </c>
      <c r="T498" s="4">
        <v>3.6700000000000003E-2</v>
      </c>
      <c r="U498" s="4">
        <f>IF(Bases_annexes!$F$5=0,16.6587111018772,0.77*Bases_annexes!$F$5/(IF(OR(ISBLANK('Données_d''entrée'!$E$44),'Données_d''entrée'!$E$44=0),35,'Données_d''entrée'!$E$44)*52))</f>
        <v>16.658711101877199</v>
      </c>
      <c r="V498" s="4">
        <v>10.42033853287208</v>
      </c>
      <c r="W4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8" s="4">
        <v>234.5</v>
      </c>
      <c r="Y498" s="4">
        <f>(Base[[#This Row],['[Maladies']Coûts_évités_par_salarié]]+Base[[#This Row],['[Travail']Coûts_évités_par_salarié]])/Base[[#This Row],[Budget_santé_salarié]]</f>
        <v>4.187677451329095E-2</v>
      </c>
      <c r="Z498" s="4">
        <v>0.8</v>
      </c>
      <c r="AA498" s="4">
        <f>Base[[#This Row],[Coût]]*Base[[#This Row],[Part_société_dépenses_santé]]</f>
        <v>8.2491532078165601</v>
      </c>
      <c r="AB498" s="4">
        <v>67635124</v>
      </c>
      <c r="AC498" s="4">
        <v>82.297079063317852</v>
      </c>
      <c r="AD498" s="4">
        <v>3.6700000000000003E-2</v>
      </c>
      <c r="AE498" s="4">
        <f>Base[[#This Row],['[SC']Prévalence_travail]]*Base[[#This Row],[Population_emploi]]</f>
        <v>1016590.0000000001</v>
      </c>
      <c r="AF498" s="4">
        <f>Base[[#This Row],[Risque]]*Base[[#This Row],['[SC']Patients_en_emploi]]</f>
        <v>588335.38030042488</v>
      </c>
      <c r="AG498" s="4">
        <v>756671404.20000005</v>
      </c>
      <c r="AH498" s="4">
        <f>IFERROR(Base[[#This Row],['[SC']Prestations]]/Base[[#This Row],['[SC']Patients_en_emploi]],0)</f>
        <v>744.32308423258144</v>
      </c>
      <c r="AI498" s="4">
        <v>51.7</v>
      </c>
      <c r="AJ4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8" s="4">
        <f>Base[[#This Row],['[SC']'[Travail']Coûts_évités]]/Base[[#This Row],[Population_emploi]]</f>
        <v>15.809083206800036</v>
      </c>
      <c r="AL498" s="4">
        <f>Base[[#This Row],[Coût_société]]*10^9*Base[[#This Row],[Risque]]*Base[[#This Row],[Prévalence]]*Base[[#This Row],[Part_coûts_salarié]]/Base[[#This Row],[Population_emploi]]</f>
        <v>6.308214142314073</v>
      </c>
      <c r="AM498" s="4">
        <f>IF(Base[[#This Row],[Pathologie]]&lt;&gt;"Dépendance",0,14909.24243952)</f>
        <v>0</v>
      </c>
      <c r="AN498" s="4">
        <f>IF(Base[[#This Row],[Pathologie]]&lt;&gt;"Dépendance",0,1316000)</f>
        <v>0</v>
      </c>
      <c r="AO498" s="4">
        <f>IF(Base[[#This Row],[Pathologie]]&lt;&gt;"Dépendance",0,Base[[#This Row],['[SC']Coût_personne_dépendante]]*Base[[#This Row],['[SC']Nb_personnes_dépendantes]])</f>
        <v>0</v>
      </c>
      <c r="AP498" s="4">
        <f>IF(Base[[#This Row],[Pathologie]]&lt;&gt;"Dépendance",0,Base[[#This Row],['[SC']Coût_total_dépendance]]/Base[[#This Row],[Population_totale]])</f>
        <v>0</v>
      </c>
      <c r="AQ498" s="4">
        <f>IF(Base[[#This Row],[Pathologie]]&lt;&gt;"Dépendance",0,4.5)</f>
        <v>0</v>
      </c>
      <c r="AR498" s="4">
        <v>1.0077957276768601</v>
      </c>
      <c r="AS498" s="4">
        <f>Base[[#This Row],[Espérance_vie]]+Base[[#This Row],['[SC']Hausse_esp_de_vie]]-Base[[#This Row],['[SC']Durée_moyenne_dépendance_avt]]+Base[[#This Row],[Risque]]</f>
        <v>83.883608971244797</v>
      </c>
      <c r="AT4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8" s="4">
        <v>62.9</v>
      </c>
      <c r="AW498" s="4">
        <f t="shared" si="13"/>
        <v>336905600000</v>
      </c>
      <c r="AX498" s="4">
        <v>15049171</v>
      </c>
      <c r="AY498" s="4">
        <f>Base[[#This Row],['[SC']Budget_total_retraites]]/Base[[#This Row],['[SC']Nombre_de_retraités]]</f>
        <v>22386.987296509556</v>
      </c>
      <c r="AZ498" s="4">
        <f>Base[[#This Row],['[SC']Budget_par_retraité]]*Base[[#This Row],['[SC']Nb_personnes_dépendantes]]</f>
        <v>0</v>
      </c>
      <c r="BA498" s="4">
        <f>Base[[#This Row],['[SC']'[Dépendance']Coût_retraite_personnes_dépendantes]]/Base[[#This Row],[Population_totale]]</f>
        <v>0</v>
      </c>
      <c r="BB49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8" s="4">
        <f>Base[[#This Row],['[SC']'[Dépendance']Gains]]-Base[[#This Row],['[SC']'[Dépendance']Coûts]]</f>
        <v>0</v>
      </c>
      <c r="BD498" s="4">
        <f>IF(Base[[#This Row],[Pathologie]]&lt;&gt;"Mort prématurée",0,Base[[#This Row],[Risque]]*Base[[#This Row],[Prévalence]]*Base[[#This Row],[Population_totale]])</f>
        <v>0</v>
      </c>
      <c r="BE498" s="4">
        <v>52.74</v>
      </c>
      <c r="BF498" s="4">
        <f>Base[[#This Row],['[SC']Âge_moyen_retraite]]-Base[[#This Row],['[SC']'[Mort_prématurée']Âge_moyen_mort précoce]]</f>
        <v>10.159999999999997</v>
      </c>
      <c r="BG498" s="4">
        <f>Base[[#This Row],[Espérance_vie]]+Base[[#This Row],['[SC']Hausse_esp_de_vie]]-Base[[#This Row],['[SC']Âge_moyen_retraite]]</f>
        <v>20.404874790994718</v>
      </c>
      <c r="BH498" s="4">
        <v>106583.42676924677</v>
      </c>
      <c r="BI498" s="4">
        <v>97601.789429271477</v>
      </c>
      <c r="BJ498" s="4">
        <v>302038.31496633729</v>
      </c>
      <c r="BK498" s="4">
        <v>117293.58934859755</v>
      </c>
      <c r="BL498" s="4">
        <v>1523999.9999999995</v>
      </c>
      <c r="BM4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8" s="4">
        <v>294804.96027377353</v>
      </c>
      <c r="BO4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8" s="4">
        <f>(Base[[#This Row],['[SC']'[Mort_prématurée']Gains]]-Base[[#This Row],['[SC']'[Mort_prématurée']Coûts]])/Base[[#This Row],[Population_totale]]</f>
        <v>0</v>
      </c>
      <c r="BQ498" s="4">
        <f>IF(Base[[#This Row],[Pathologie]]&lt;&gt;"Mort prématurée",0,Base[[#This Row],[Risque]])</f>
        <v>0</v>
      </c>
      <c r="BR498" s="4">
        <v>2680</v>
      </c>
      <c r="BS4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8" s="4">
        <f>Base[[#This Row],[Prévalence_prod]]*(1-Base[[#This Row],[Risque]])*Base[[#This Row],[Durée_arrêt]]*Base[[#This Row],[Population_emploi]]</f>
        <v>4462558.1155359624</v>
      </c>
      <c r="BV498" s="4">
        <f>Base[[#This Row],['[Prod']'[Absentéisme']Total_jours_absence_avant]]-Base[[#This Row],['[Prod']'[Absentéisme']Total_jours_absence_après]]</f>
        <v>6130653.833596467</v>
      </c>
      <c r="BW498" s="4">
        <f>IF(AND(Base[[#This Row],[Pathologie]]&lt;&gt;"Dépendance",Base[[#This Row],[Pathologie]]&lt;&gt;"Mort prématurée",Base[[#This Row],[Pathologie]]&lt;&gt;"Migraine"),0.0619,0)</f>
        <v>6.1899999999999997E-2</v>
      </c>
      <c r="BX498" s="4">
        <v>254</v>
      </c>
      <c r="BY498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8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8" s="4">
        <f>Base[[#This Row],[Prévalence_prod]]*Base[[#This Row],[Présentéisme]]*Base[[#This Row],['[Prod']Jours_ouvrés]]</f>
        <v>1.0626852000000002</v>
      </c>
      <c r="CB498" s="4">
        <f>Base[[#This Row],[Prévalence_prod]]*(1-Base[[#This Row],[Risque]])*Base[[#This Row],[Présentéisme]]*Base[[#This Row],['[Prod']Jours_ouvrés]]</f>
        <v>0.44767295191411194</v>
      </c>
      <c r="CC498" s="4">
        <f>Base[[#This Row],['[Prod']'[Présentéisme']Jours_avant]]-Base[[#This Row],['[Prod']'[Présentéisme']Jours_après]]</f>
        <v>0.61501224808588828</v>
      </c>
      <c r="CD498" s="4">
        <f>Base[[#This Row],['[Prod']'[Présentéisme']Jours_gagnés]]/Base[[#This Row],['[Prod']Jours_ouvrés]]</f>
        <v>2.421308063330269E-3</v>
      </c>
      <c r="CE498">
        <v>9.3428413505841454E-2</v>
      </c>
      <c r="CF498">
        <v>2.1038737314955848E-2</v>
      </c>
      <c r="CG498" s="4">
        <v>11</v>
      </c>
      <c r="CH498" s="4">
        <v>0.60922528771817497</v>
      </c>
      <c r="CI498" s="4">
        <v>3.8601807163334179E-3</v>
      </c>
      <c r="CJ498" s="4">
        <f>IF(Base[[#This Row],[Secteur]]&lt;&gt;"Moyenne",Base[[#This Row],['[Prod']'[Turnover']DMC_initiale]]*(1+Base[[#This Row],['[Prod']'[Turnover']Ecart_accidents]]*Base[[#This Row],['[Prod']Impact_motifs_turnover]]),CJ481*CI481+CJ482*CI482+CJ483*CI483+CJ484*CI484+CJ485*CI485+CJ486*CI486+CJ487*CI487+CJ488*CI488+CJ489*CI489+CJ490*CI490+CJ491*CI491+CJ492*CI492+CJ493*CI493+CJ494*CI494+CJ495*CI495+CJ496*CI496+CJ497*CI497)</f>
        <v>11.140990638733241</v>
      </c>
      <c r="CK498" s="4">
        <f>1/Base[[#This Row],['[Prod']'[Turnover']DMC_initiale]]</f>
        <v>9.0909090909090912E-2</v>
      </c>
      <c r="CL498" s="4">
        <f>1/Base[[#This Row],['[Prod']'[Turnover']DMC_finale]]</f>
        <v>8.9758624921859057E-2</v>
      </c>
    </row>
    <row r="499" spans="2:90" x14ac:dyDescent="0.25">
      <c r="B499" s="4" t="s">
        <v>329</v>
      </c>
      <c r="C499">
        <v>30</v>
      </c>
      <c r="D499" t="s">
        <v>85</v>
      </c>
      <c r="E499" t="s">
        <v>4</v>
      </c>
      <c r="F499" s="3">
        <v>0.57873418025007606</v>
      </c>
      <c r="G499" s="3">
        <v>3.6700000000000003E-2</v>
      </c>
      <c r="H499" s="3">
        <v>3.6700000000000003E-2</v>
      </c>
      <c r="I499" s="3">
        <v>0.114</v>
      </c>
      <c r="J499" s="3">
        <v>10.311441509770701</v>
      </c>
      <c r="K499" s="3">
        <v>7.0000000000000007E-2</v>
      </c>
      <c r="L499" s="2">
        <f>Base[[#This Row],[Coût]]*Base[[#This Row],[Part_ménages_dépenses_santé]]</f>
        <v>0.72180090568394906</v>
      </c>
      <c r="M499" s="2">
        <v>0.99731334462301791</v>
      </c>
      <c r="N499" s="6">
        <v>27700000</v>
      </c>
      <c r="O499" s="7">
        <f>Base[[#This Row],[Coût_salarié]]*10^9*Base[[#This Row],[Risque]]*Base[[#This Row],[Prévalence]]*Base[[#This Row],[Part_coûts_salarié]]/Base[[#This Row],[Population_emploi]]</f>
        <v>0.55196873745248154</v>
      </c>
      <c r="P499">
        <v>50</v>
      </c>
      <c r="Q499">
        <v>50</v>
      </c>
      <c r="R499" s="2">
        <v>9.9999999999999978E-2</v>
      </c>
      <c r="S499" s="2">
        <v>0.33340000000000003</v>
      </c>
      <c r="T499" s="4">
        <v>3.6700000000000003E-2</v>
      </c>
      <c r="U499" s="4">
        <f>IF(Bases_annexes!$F$5=0,16.6587111018772,0.77*Bases_annexes!$F$5/(IF(OR(ISBLANK('Données_d''entrée'!$E$44),'Données_d''entrée'!$E$44=0),35,'Données_d''entrée'!$E$44)*52))</f>
        <v>16.658711101877199</v>
      </c>
      <c r="V499" s="4">
        <v>10.42033853287208</v>
      </c>
      <c r="W4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499" s="4">
        <v>234.5</v>
      </c>
      <c r="Y499" s="4">
        <f>(Base[[#This Row],['[Maladies']Coûts_évités_par_salarié]]+Base[[#This Row],['[Travail']Coûts_évités_par_salarié]])/Base[[#This Row],[Budget_santé_salarié]]</f>
        <v>4.187677451329095E-2</v>
      </c>
      <c r="Z499" s="4">
        <v>0.8</v>
      </c>
      <c r="AA499" s="4">
        <f>Base[[#This Row],[Coût]]*Base[[#This Row],[Part_société_dépenses_santé]]</f>
        <v>8.2491532078165601</v>
      </c>
      <c r="AB499" s="4">
        <v>67635124</v>
      </c>
      <c r="AC499" s="4">
        <v>82.297079063317852</v>
      </c>
      <c r="AD499" s="4">
        <v>3.6700000000000003E-2</v>
      </c>
      <c r="AE499" s="4">
        <f>Base[[#This Row],['[SC']Prévalence_travail]]*Base[[#This Row],[Population_emploi]]</f>
        <v>1016590.0000000001</v>
      </c>
      <c r="AF499" s="4">
        <f>Base[[#This Row],[Risque]]*Base[[#This Row],['[SC']Patients_en_emploi]]</f>
        <v>588335.38030042488</v>
      </c>
      <c r="AG499" s="4">
        <v>756671404.20000005</v>
      </c>
      <c r="AH499" s="4">
        <f>IFERROR(Base[[#This Row],['[SC']Prestations]]/Base[[#This Row],['[SC']Patients_en_emploi]],0)</f>
        <v>744.32308423258144</v>
      </c>
      <c r="AI499" s="4">
        <v>51.7</v>
      </c>
      <c r="AJ4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499" s="4">
        <f>Base[[#This Row],['[SC']'[Travail']Coûts_évités]]/Base[[#This Row],[Population_emploi]]</f>
        <v>15.809083206800036</v>
      </c>
      <c r="AL499" s="4">
        <f>Base[[#This Row],[Coût_société]]*10^9*Base[[#This Row],[Risque]]*Base[[#This Row],[Prévalence]]*Base[[#This Row],[Part_coûts_salarié]]/Base[[#This Row],[Population_emploi]]</f>
        <v>6.308214142314073</v>
      </c>
      <c r="AM499" s="4">
        <f>IF(Base[[#This Row],[Pathologie]]&lt;&gt;"Dépendance",0,14909.24243952)</f>
        <v>0</v>
      </c>
      <c r="AN499" s="4">
        <f>IF(Base[[#This Row],[Pathologie]]&lt;&gt;"Dépendance",0,1316000)</f>
        <v>0</v>
      </c>
      <c r="AO499" s="4">
        <f>IF(Base[[#This Row],[Pathologie]]&lt;&gt;"Dépendance",0,Base[[#This Row],['[SC']Coût_personne_dépendante]]*Base[[#This Row],['[SC']Nb_personnes_dépendantes]])</f>
        <v>0</v>
      </c>
      <c r="AP499" s="4">
        <f>IF(Base[[#This Row],[Pathologie]]&lt;&gt;"Dépendance",0,Base[[#This Row],['[SC']Coût_total_dépendance]]/Base[[#This Row],[Population_totale]])</f>
        <v>0</v>
      </c>
      <c r="AQ499" s="4">
        <f>IF(Base[[#This Row],[Pathologie]]&lt;&gt;"Dépendance",0,4.5)</f>
        <v>0</v>
      </c>
      <c r="AR499" s="4">
        <v>1.0077957276768601</v>
      </c>
      <c r="AS499" s="4">
        <f>Base[[#This Row],[Espérance_vie]]+Base[[#This Row],['[SC']Hausse_esp_de_vie]]-Base[[#This Row],['[SC']Durée_moyenne_dépendance_avt]]+Base[[#This Row],[Risque]]</f>
        <v>83.883608971244797</v>
      </c>
      <c r="AT4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4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499" s="4">
        <v>62.9</v>
      </c>
      <c r="AW499" s="4">
        <f t="shared" si="13"/>
        <v>336905600000</v>
      </c>
      <c r="AX499" s="4">
        <v>15049171</v>
      </c>
      <c r="AY499" s="4">
        <f>Base[[#This Row],['[SC']Budget_total_retraites]]/Base[[#This Row],['[SC']Nombre_de_retraités]]</f>
        <v>22386.987296509556</v>
      </c>
      <c r="AZ499" s="4">
        <f>Base[[#This Row],['[SC']Budget_par_retraité]]*Base[[#This Row],['[SC']Nb_personnes_dépendantes]]</f>
        <v>0</v>
      </c>
      <c r="BA499" s="4">
        <f>Base[[#This Row],['[SC']'[Dépendance']Coût_retraite_personnes_dépendantes]]/Base[[#This Row],[Population_totale]]</f>
        <v>0</v>
      </c>
      <c r="BB49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499" s="4">
        <f>Base[[#This Row],['[SC']'[Dépendance']Gains]]-Base[[#This Row],['[SC']'[Dépendance']Coûts]]</f>
        <v>0</v>
      </c>
      <c r="BD499" s="4">
        <f>IF(Base[[#This Row],[Pathologie]]&lt;&gt;"Mort prématurée",0,Base[[#This Row],[Risque]]*Base[[#This Row],[Prévalence]]*Base[[#This Row],[Population_totale]])</f>
        <v>0</v>
      </c>
      <c r="BE499" s="4">
        <v>52.74</v>
      </c>
      <c r="BF499" s="4">
        <f>Base[[#This Row],['[SC']Âge_moyen_retraite]]-Base[[#This Row],['[SC']'[Mort_prématurée']Âge_moyen_mort précoce]]</f>
        <v>10.159999999999997</v>
      </c>
      <c r="BG499" s="4">
        <f>Base[[#This Row],[Espérance_vie]]+Base[[#This Row],['[SC']Hausse_esp_de_vie]]-Base[[#This Row],['[SC']Âge_moyen_retraite]]</f>
        <v>20.404874790994718</v>
      </c>
      <c r="BH499" s="4">
        <v>106583.42676924677</v>
      </c>
      <c r="BI499" s="4">
        <v>97601.789429271477</v>
      </c>
      <c r="BJ499" s="4">
        <v>302038.31496633729</v>
      </c>
      <c r="BK499" s="4">
        <v>117293.58934859755</v>
      </c>
      <c r="BL499" s="4">
        <v>1523999.9999999995</v>
      </c>
      <c r="BM4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499" s="4">
        <v>294804.96027377353</v>
      </c>
      <c r="BO4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499" s="4">
        <f>(Base[[#This Row],['[SC']'[Mort_prématurée']Gains]]-Base[[#This Row],['[SC']'[Mort_prématurée']Coûts]])/Base[[#This Row],[Population_totale]]</f>
        <v>0</v>
      </c>
      <c r="BQ499" s="4">
        <f>IF(Base[[#This Row],[Pathologie]]&lt;&gt;"Mort prématurée",0,Base[[#This Row],[Risque]])</f>
        <v>0</v>
      </c>
      <c r="BR499" s="4">
        <v>2680</v>
      </c>
      <c r="BS4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4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499" s="4">
        <f>Base[[#This Row],[Prévalence_prod]]*(1-Base[[#This Row],[Risque]])*Base[[#This Row],[Durée_arrêt]]*Base[[#This Row],[Population_emploi]]</f>
        <v>4462558.1155359624</v>
      </c>
      <c r="BV499" s="4">
        <f>Base[[#This Row],['[Prod']'[Absentéisme']Total_jours_absence_avant]]-Base[[#This Row],['[Prod']'[Absentéisme']Total_jours_absence_après]]</f>
        <v>6130653.833596467</v>
      </c>
      <c r="BW499" s="4">
        <f>IF(AND(Base[[#This Row],[Pathologie]]&lt;&gt;"Dépendance",Base[[#This Row],[Pathologie]]&lt;&gt;"Mort prématurée",Base[[#This Row],[Pathologie]]&lt;&gt;"Migraine"),0.0619,0)</f>
        <v>6.1899999999999997E-2</v>
      </c>
      <c r="BX499" s="4">
        <v>254</v>
      </c>
      <c r="BY499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499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499" s="4">
        <f>Base[[#This Row],[Prévalence_prod]]*Base[[#This Row],[Présentéisme]]*Base[[#This Row],['[Prod']Jours_ouvrés]]</f>
        <v>1.0626852000000002</v>
      </c>
      <c r="CB499" s="4">
        <f>Base[[#This Row],[Prévalence_prod]]*(1-Base[[#This Row],[Risque]])*Base[[#This Row],[Présentéisme]]*Base[[#This Row],['[Prod']Jours_ouvrés]]</f>
        <v>0.44767295191411194</v>
      </c>
      <c r="CC499" s="4">
        <f>Base[[#This Row],['[Prod']'[Présentéisme']Jours_avant]]-Base[[#This Row],['[Prod']'[Présentéisme']Jours_après]]</f>
        <v>0.61501224808588828</v>
      </c>
      <c r="CD499" s="4">
        <f>Base[[#This Row],['[Prod']'[Présentéisme']Jours_gagnés]]/Base[[#This Row],['[Prod']Jours_ouvrés]]</f>
        <v>2.421308063330269E-3</v>
      </c>
      <c r="CE499">
        <v>9.3428413505841454E-2</v>
      </c>
      <c r="CF499">
        <v>2.1038737314955848E-2</v>
      </c>
      <c r="CG499" s="4">
        <v>11</v>
      </c>
      <c r="CH499" s="4">
        <v>0.78414927716175975</v>
      </c>
      <c r="CI499" s="4">
        <v>0.12835819090128339</v>
      </c>
      <c r="CJ499" s="4">
        <f>IF(Base[[#This Row],[Secteur]]&lt;&gt;"Moyenne",Base[[#This Row],['[Prod']'[Turnover']DMC_initiale]]*(1+Base[[#This Row],['[Prod']'[Turnover']Ecart_accidents]]*Base[[#This Row],['[Prod']Impact_motifs_turnover]]),CJ482*CI482+CJ483*CI483+CJ484*CI484+CJ485*CI485+CJ486*CI486+CJ487*CI487+CJ488*CI488+CJ489*CI489+CJ490*CI490+CJ491*CI491+CJ492*CI492+CJ493*CI493+CJ494*CI494+CJ495*CI495+CJ496*CI496+CJ497*CI497+CJ498*CI498)</f>
        <v>11.181472617237107</v>
      </c>
      <c r="CK499" s="4">
        <f>1/Base[[#This Row],['[Prod']'[Turnover']DMC_initiale]]</f>
        <v>9.0909090909090912E-2</v>
      </c>
      <c r="CL499" s="4">
        <f>1/Base[[#This Row],['[Prod']'[Turnover']DMC_finale]]</f>
        <v>8.9433658180088235E-2</v>
      </c>
    </row>
    <row r="500" spans="2:90" x14ac:dyDescent="0.25">
      <c r="B500" s="4" t="s">
        <v>330</v>
      </c>
      <c r="C500">
        <v>30</v>
      </c>
      <c r="D500" t="s">
        <v>85</v>
      </c>
      <c r="E500" t="s">
        <v>4</v>
      </c>
      <c r="F500" s="3">
        <v>0.57873418025007606</v>
      </c>
      <c r="G500" s="3">
        <v>3.6700000000000003E-2</v>
      </c>
      <c r="H500" s="3">
        <v>3.6700000000000003E-2</v>
      </c>
      <c r="I500" s="3">
        <v>0.114</v>
      </c>
      <c r="J500" s="3">
        <v>10.311441509770701</v>
      </c>
      <c r="K500" s="3">
        <v>7.0000000000000007E-2</v>
      </c>
      <c r="L500" s="2">
        <f>Base[[#This Row],[Coût]]*Base[[#This Row],[Part_ménages_dépenses_santé]]</f>
        <v>0.72180090568394906</v>
      </c>
      <c r="M500" s="2">
        <v>0.99731334462301791</v>
      </c>
      <c r="N500" s="6">
        <v>27700000</v>
      </c>
      <c r="O500" s="7">
        <f>Base[[#This Row],[Coût_salarié]]*10^9*Base[[#This Row],[Risque]]*Base[[#This Row],[Prévalence]]*Base[[#This Row],[Part_coûts_salarié]]/Base[[#This Row],[Population_emploi]]</f>
        <v>0.55196873745248154</v>
      </c>
      <c r="P500">
        <v>50</v>
      </c>
      <c r="Q500">
        <v>50</v>
      </c>
      <c r="R500" s="2">
        <v>9.9999999999999978E-2</v>
      </c>
      <c r="S500" s="2">
        <v>0.33340000000000003</v>
      </c>
      <c r="T500" s="4">
        <v>3.6700000000000003E-2</v>
      </c>
      <c r="U500" s="4">
        <f>IF(Bases_annexes!$F$5=0,16.6587111018772,0.77*Bases_annexes!$F$5/(IF(OR(ISBLANK('Données_d''entrée'!$E$44),'Données_d''entrée'!$E$44=0),35,'Données_d''entrée'!$E$44)*52))</f>
        <v>16.658711101877199</v>
      </c>
      <c r="V500" s="4">
        <v>10.42033853287208</v>
      </c>
      <c r="W5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500" s="4">
        <v>234.5</v>
      </c>
      <c r="Y500" s="4">
        <f>(Base[[#This Row],['[Maladies']Coûts_évités_par_salarié]]+Base[[#This Row],['[Travail']Coûts_évités_par_salarié]])/Base[[#This Row],[Budget_santé_salarié]]</f>
        <v>4.187677451329095E-2</v>
      </c>
      <c r="Z500" s="4">
        <v>0.8</v>
      </c>
      <c r="AA500" s="4">
        <f>Base[[#This Row],[Coût]]*Base[[#This Row],[Part_société_dépenses_santé]]</f>
        <v>8.2491532078165601</v>
      </c>
      <c r="AB500" s="4">
        <v>67635124</v>
      </c>
      <c r="AC500" s="4">
        <v>82.297079063317852</v>
      </c>
      <c r="AD500" s="4">
        <v>3.6700000000000003E-2</v>
      </c>
      <c r="AE500" s="4">
        <f>Base[[#This Row],['[SC']Prévalence_travail]]*Base[[#This Row],[Population_emploi]]</f>
        <v>1016590.0000000001</v>
      </c>
      <c r="AF500" s="4">
        <f>Base[[#This Row],[Risque]]*Base[[#This Row],['[SC']Patients_en_emploi]]</f>
        <v>588335.38030042488</v>
      </c>
      <c r="AG500" s="4">
        <v>756671404.20000005</v>
      </c>
      <c r="AH500" s="4">
        <f>IFERROR(Base[[#This Row],['[SC']Prestations]]/Base[[#This Row],['[SC']Patients_en_emploi]],0)</f>
        <v>744.32308423258144</v>
      </c>
      <c r="AI500" s="4">
        <v>51.7</v>
      </c>
      <c r="AJ5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500" s="4">
        <f>Base[[#This Row],['[SC']'[Travail']Coûts_évités]]/Base[[#This Row],[Population_emploi]]</f>
        <v>15.809083206800036</v>
      </c>
      <c r="AL500" s="4">
        <f>Base[[#This Row],[Coût_société]]*10^9*Base[[#This Row],[Risque]]*Base[[#This Row],[Prévalence]]*Base[[#This Row],[Part_coûts_salarié]]/Base[[#This Row],[Population_emploi]]</f>
        <v>6.308214142314073</v>
      </c>
      <c r="AM500" s="4">
        <f>IF(Base[[#This Row],[Pathologie]]&lt;&gt;"Dépendance",0,14909.24243952)</f>
        <v>0</v>
      </c>
      <c r="AN500" s="4">
        <f>IF(Base[[#This Row],[Pathologie]]&lt;&gt;"Dépendance",0,1316000)</f>
        <v>0</v>
      </c>
      <c r="AO500" s="4">
        <f>IF(Base[[#This Row],[Pathologie]]&lt;&gt;"Dépendance",0,Base[[#This Row],['[SC']Coût_personne_dépendante]]*Base[[#This Row],['[SC']Nb_personnes_dépendantes]])</f>
        <v>0</v>
      </c>
      <c r="AP500" s="4">
        <f>IF(Base[[#This Row],[Pathologie]]&lt;&gt;"Dépendance",0,Base[[#This Row],['[SC']Coût_total_dépendance]]/Base[[#This Row],[Population_totale]])</f>
        <v>0</v>
      </c>
      <c r="AQ500" s="4">
        <f>IF(Base[[#This Row],[Pathologie]]&lt;&gt;"Dépendance",0,4.5)</f>
        <v>0</v>
      </c>
      <c r="AR500" s="4">
        <v>1.0077957276768601</v>
      </c>
      <c r="AS500" s="4">
        <f>Base[[#This Row],[Espérance_vie]]+Base[[#This Row],['[SC']Hausse_esp_de_vie]]-Base[[#This Row],['[SC']Durée_moyenne_dépendance_avt]]+Base[[#This Row],[Risque]]</f>
        <v>83.883608971244797</v>
      </c>
      <c r="AT5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0" s="4">
        <v>62.9</v>
      </c>
      <c r="AW500" s="4">
        <f t="shared" si="13"/>
        <v>336905600000</v>
      </c>
      <c r="AX500" s="4">
        <v>15049171</v>
      </c>
      <c r="AY500" s="4">
        <f>Base[[#This Row],['[SC']Budget_total_retraites]]/Base[[#This Row],['[SC']Nombre_de_retraités]]</f>
        <v>22386.987296509556</v>
      </c>
      <c r="AZ500" s="4">
        <f>Base[[#This Row],['[SC']Budget_par_retraité]]*Base[[#This Row],['[SC']Nb_personnes_dépendantes]]</f>
        <v>0</v>
      </c>
      <c r="BA500" s="4">
        <f>Base[[#This Row],['[SC']'[Dépendance']Coût_retraite_personnes_dépendantes]]/Base[[#This Row],[Population_totale]]</f>
        <v>0</v>
      </c>
      <c r="BB50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0" s="4">
        <f>Base[[#This Row],['[SC']'[Dépendance']Gains]]-Base[[#This Row],['[SC']'[Dépendance']Coûts]]</f>
        <v>0</v>
      </c>
      <c r="BD500" s="4">
        <f>IF(Base[[#This Row],[Pathologie]]&lt;&gt;"Mort prématurée",0,Base[[#This Row],[Risque]]*Base[[#This Row],[Prévalence]]*Base[[#This Row],[Population_totale]])</f>
        <v>0</v>
      </c>
      <c r="BE500" s="4">
        <v>52.74</v>
      </c>
      <c r="BF500" s="4">
        <f>Base[[#This Row],['[SC']Âge_moyen_retraite]]-Base[[#This Row],['[SC']'[Mort_prématurée']Âge_moyen_mort précoce]]</f>
        <v>10.159999999999997</v>
      </c>
      <c r="BG500" s="4">
        <f>Base[[#This Row],[Espérance_vie]]+Base[[#This Row],['[SC']Hausse_esp_de_vie]]-Base[[#This Row],['[SC']Âge_moyen_retraite]]</f>
        <v>20.404874790994718</v>
      </c>
      <c r="BH500" s="4">
        <v>106583.42676924677</v>
      </c>
      <c r="BI500" s="4">
        <v>97601.789429271477</v>
      </c>
      <c r="BJ500" s="4">
        <v>302038.31496633729</v>
      </c>
      <c r="BK500" s="4">
        <v>117293.58934859755</v>
      </c>
      <c r="BL500" s="4">
        <v>1523999.9999999995</v>
      </c>
      <c r="BM5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0" s="4">
        <v>294804.96027377353</v>
      </c>
      <c r="BO5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0" s="4">
        <f>(Base[[#This Row],['[SC']'[Mort_prématurée']Gains]]-Base[[#This Row],['[SC']'[Mort_prématurée']Coûts]])/Base[[#This Row],[Population_totale]]</f>
        <v>0</v>
      </c>
      <c r="BQ500" s="4">
        <f>IF(Base[[#This Row],[Pathologie]]&lt;&gt;"Mort prématurée",0,Base[[#This Row],[Risque]])</f>
        <v>0</v>
      </c>
      <c r="BR500" s="4">
        <v>2680</v>
      </c>
      <c r="BS5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5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00" s="4">
        <f>Base[[#This Row],[Prévalence_prod]]*(1-Base[[#This Row],[Risque]])*Base[[#This Row],[Durée_arrêt]]*Base[[#This Row],[Population_emploi]]</f>
        <v>4462558.1155359624</v>
      </c>
      <c r="BV500" s="4">
        <f>Base[[#This Row],['[Prod']'[Absentéisme']Total_jours_absence_avant]]-Base[[#This Row],['[Prod']'[Absentéisme']Total_jours_absence_après]]</f>
        <v>6130653.833596467</v>
      </c>
      <c r="BW500" s="4">
        <f>IF(AND(Base[[#This Row],[Pathologie]]&lt;&gt;"Dépendance",Base[[#This Row],[Pathologie]]&lt;&gt;"Mort prématurée",Base[[#This Row],[Pathologie]]&lt;&gt;"Migraine"),0.0619,0)</f>
        <v>6.1899999999999997E-2</v>
      </c>
      <c r="BX500" s="4">
        <v>254</v>
      </c>
      <c r="BY500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00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500" s="4">
        <f>Base[[#This Row],[Prévalence_prod]]*Base[[#This Row],[Présentéisme]]*Base[[#This Row],['[Prod']Jours_ouvrés]]</f>
        <v>1.0626852000000002</v>
      </c>
      <c r="CB500" s="4">
        <f>Base[[#This Row],[Prévalence_prod]]*(1-Base[[#This Row],[Risque]])*Base[[#This Row],[Présentéisme]]*Base[[#This Row],['[Prod']Jours_ouvrés]]</f>
        <v>0.44767295191411194</v>
      </c>
      <c r="CC500" s="4">
        <f>Base[[#This Row],['[Prod']'[Présentéisme']Jours_avant]]-Base[[#This Row],['[Prod']'[Présentéisme']Jours_après]]</f>
        <v>0.61501224808588828</v>
      </c>
      <c r="CD500" s="4">
        <f>Base[[#This Row],['[Prod']'[Présentéisme']Jours_gagnés]]/Base[[#This Row],['[Prod']Jours_ouvrés]]</f>
        <v>2.421308063330269E-3</v>
      </c>
      <c r="CE500">
        <v>9.3428413505841454E-2</v>
      </c>
      <c r="CF500">
        <v>2.1038737314955848E-2</v>
      </c>
      <c r="CG500" s="4">
        <v>11</v>
      </c>
      <c r="CH500" s="4">
        <v>0.99648427619813984</v>
      </c>
      <c r="CI500" s="4">
        <v>0.42377466100567313</v>
      </c>
      <c r="CJ500" s="4">
        <f>IF(Base[[#This Row],[Secteur]]&lt;&gt;"Moyenne",Base[[#This Row],['[Prod']'[Turnover']DMC_initiale]]*(1+Base[[#This Row],['[Prod']'[Turnover']Ecart_accidents]]*Base[[#This Row],['[Prod']Impact_motifs_turnover]]),CJ483*CI483+CJ484*CI484+CJ485*CI485+CJ486*CI486+CJ487*CI487+CJ488*CI488+CJ489*CI489+CJ490*CI490+CJ491*CI491+CJ492*CI492+CJ493*CI493+CJ494*CI494+CJ495*CI495+CJ496*CI496+CJ497*CI497+CJ498*CI498+CJ499*CI499)</f>
        <v>11.230612480179582</v>
      </c>
      <c r="CK500" s="4">
        <f>1/Base[[#This Row],['[Prod']'[Turnover']DMC_initiale]]</f>
        <v>9.0909090909090912E-2</v>
      </c>
      <c r="CL500" s="4">
        <f>1/Base[[#This Row],['[Prod']'[Turnover']DMC_finale]]</f>
        <v>8.9042338676083466E-2</v>
      </c>
    </row>
    <row r="501" spans="2:90" x14ac:dyDescent="0.25">
      <c r="B501" s="4" t="s">
        <v>331</v>
      </c>
      <c r="C501">
        <v>30</v>
      </c>
      <c r="D501" t="s">
        <v>85</v>
      </c>
      <c r="E501" t="s">
        <v>4</v>
      </c>
      <c r="F501" s="3">
        <v>0.57873418025007606</v>
      </c>
      <c r="G501" s="3">
        <v>3.6700000000000003E-2</v>
      </c>
      <c r="H501" s="3">
        <v>3.6700000000000003E-2</v>
      </c>
      <c r="I501" s="3">
        <v>0.114</v>
      </c>
      <c r="J501" s="3">
        <v>10.311441509770701</v>
      </c>
      <c r="K501" s="3">
        <v>7.0000000000000007E-2</v>
      </c>
      <c r="L501" s="2">
        <f>Base[[#This Row],[Coût]]*Base[[#This Row],[Part_ménages_dépenses_santé]]</f>
        <v>0.72180090568394906</v>
      </c>
      <c r="M501" s="2">
        <v>0.99731334462301791</v>
      </c>
      <c r="N501" s="6">
        <v>27700000</v>
      </c>
      <c r="O501" s="7">
        <f>Base[[#This Row],[Coût_salarié]]*10^9*Base[[#This Row],[Risque]]*Base[[#This Row],[Prévalence]]*Base[[#This Row],[Part_coûts_salarié]]/Base[[#This Row],[Population_emploi]]</f>
        <v>0.55196873745248154</v>
      </c>
      <c r="P501">
        <v>50</v>
      </c>
      <c r="Q501">
        <v>50</v>
      </c>
      <c r="R501" s="2">
        <v>9.9999999999999978E-2</v>
      </c>
      <c r="S501" s="2">
        <v>0.33340000000000003</v>
      </c>
      <c r="T501" s="4">
        <v>3.6700000000000003E-2</v>
      </c>
      <c r="U501" s="4">
        <f>IF(Bases_annexes!$F$5=0,16.6587111018772,0.77*Bases_annexes!$F$5/(IF(OR(ISBLANK('Données_d''entrée'!$E$44),'Données_d''entrée'!$E$44=0),35,'Données_d''entrée'!$E$44)*52))</f>
        <v>16.658711101877199</v>
      </c>
      <c r="V501" s="4">
        <v>10.42033853287208</v>
      </c>
      <c r="W5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501" s="4">
        <v>234.5</v>
      </c>
      <c r="Y501" s="4">
        <f>(Base[[#This Row],['[Maladies']Coûts_évités_par_salarié]]+Base[[#This Row],['[Travail']Coûts_évités_par_salarié]])/Base[[#This Row],[Budget_santé_salarié]]</f>
        <v>4.187677451329095E-2</v>
      </c>
      <c r="Z501" s="4">
        <v>0.8</v>
      </c>
      <c r="AA501" s="4">
        <f>Base[[#This Row],[Coût]]*Base[[#This Row],[Part_société_dépenses_santé]]</f>
        <v>8.2491532078165601</v>
      </c>
      <c r="AB501" s="4">
        <v>67635124</v>
      </c>
      <c r="AC501" s="4">
        <v>82.297079063317852</v>
      </c>
      <c r="AD501" s="4">
        <v>3.6700000000000003E-2</v>
      </c>
      <c r="AE501" s="4">
        <f>Base[[#This Row],['[SC']Prévalence_travail]]*Base[[#This Row],[Population_emploi]]</f>
        <v>1016590.0000000001</v>
      </c>
      <c r="AF501" s="4">
        <f>Base[[#This Row],[Risque]]*Base[[#This Row],['[SC']Patients_en_emploi]]</f>
        <v>588335.38030042488</v>
      </c>
      <c r="AG501" s="4">
        <v>756671404.20000005</v>
      </c>
      <c r="AH501" s="4">
        <f>IFERROR(Base[[#This Row],['[SC']Prestations]]/Base[[#This Row],['[SC']Patients_en_emploi]],0)</f>
        <v>744.32308423258144</v>
      </c>
      <c r="AI501" s="4">
        <v>51.7</v>
      </c>
      <c r="AJ5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501" s="4">
        <f>Base[[#This Row],['[SC']'[Travail']Coûts_évités]]/Base[[#This Row],[Population_emploi]]</f>
        <v>15.809083206800036</v>
      </c>
      <c r="AL501" s="4">
        <f>Base[[#This Row],[Coût_société]]*10^9*Base[[#This Row],[Risque]]*Base[[#This Row],[Prévalence]]*Base[[#This Row],[Part_coûts_salarié]]/Base[[#This Row],[Population_emploi]]</f>
        <v>6.308214142314073</v>
      </c>
      <c r="AM501" s="4">
        <f>IF(Base[[#This Row],[Pathologie]]&lt;&gt;"Dépendance",0,14909.24243952)</f>
        <v>0</v>
      </c>
      <c r="AN501" s="4">
        <f>IF(Base[[#This Row],[Pathologie]]&lt;&gt;"Dépendance",0,1316000)</f>
        <v>0</v>
      </c>
      <c r="AO501" s="4">
        <f>IF(Base[[#This Row],[Pathologie]]&lt;&gt;"Dépendance",0,Base[[#This Row],['[SC']Coût_personne_dépendante]]*Base[[#This Row],['[SC']Nb_personnes_dépendantes]])</f>
        <v>0</v>
      </c>
      <c r="AP501" s="4">
        <f>IF(Base[[#This Row],[Pathologie]]&lt;&gt;"Dépendance",0,Base[[#This Row],['[SC']Coût_total_dépendance]]/Base[[#This Row],[Population_totale]])</f>
        <v>0</v>
      </c>
      <c r="AQ501" s="4">
        <f>IF(Base[[#This Row],[Pathologie]]&lt;&gt;"Dépendance",0,4.5)</f>
        <v>0</v>
      </c>
      <c r="AR501" s="4">
        <v>1.0077957276768601</v>
      </c>
      <c r="AS501" s="4">
        <f>Base[[#This Row],[Espérance_vie]]+Base[[#This Row],['[SC']Hausse_esp_de_vie]]-Base[[#This Row],['[SC']Durée_moyenne_dépendance_avt]]+Base[[#This Row],[Risque]]</f>
        <v>83.883608971244797</v>
      </c>
      <c r="AT5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1" s="4">
        <v>62.9</v>
      </c>
      <c r="AW501" s="4">
        <f t="shared" si="13"/>
        <v>336905600000</v>
      </c>
      <c r="AX501" s="4">
        <v>15049171</v>
      </c>
      <c r="AY501" s="4">
        <f>Base[[#This Row],['[SC']Budget_total_retraites]]/Base[[#This Row],['[SC']Nombre_de_retraités]]</f>
        <v>22386.987296509556</v>
      </c>
      <c r="AZ501" s="4">
        <f>Base[[#This Row],['[SC']Budget_par_retraité]]*Base[[#This Row],['[SC']Nb_personnes_dépendantes]]</f>
        <v>0</v>
      </c>
      <c r="BA501" s="4">
        <f>Base[[#This Row],['[SC']'[Dépendance']Coût_retraite_personnes_dépendantes]]/Base[[#This Row],[Population_totale]]</f>
        <v>0</v>
      </c>
      <c r="BB50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1" s="4">
        <f>Base[[#This Row],['[SC']'[Dépendance']Gains]]-Base[[#This Row],['[SC']'[Dépendance']Coûts]]</f>
        <v>0</v>
      </c>
      <c r="BD501" s="4">
        <f>IF(Base[[#This Row],[Pathologie]]&lt;&gt;"Mort prématurée",0,Base[[#This Row],[Risque]]*Base[[#This Row],[Prévalence]]*Base[[#This Row],[Population_totale]])</f>
        <v>0</v>
      </c>
      <c r="BE501" s="4">
        <v>52.74</v>
      </c>
      <c r="BF501" s="4">
        <f>Base[[#This Row],['[SC']Âge_moyen_retraite]]-Base[[#This Row],['[SC']'[Mort_prématurée']Âge_moyen_mort précoce]]</f>
        <v>10.159999999999997</v>
      </c>
      <c r="BG501" s="4">
        <f>Base[[#This Row],[Espérance_vie]]+Base[[#This Row],['[SC']Hausse_esp_de_vie]]-Base[[#This Row],['[SC']Âge_moyen_retraite]]</f>
        <v>20.404874790994718</v>
      </c>
      <c r="BH501" s="4">
        <v>106583.42676924677</v>
      </c>
      <c r="BI501" s="4">
        <v>97601.789429271477</v>
      </c>
      <c r="BJ501" s="4">
        <v>302038.31496633729</v>
      </c>
      <c r="BK501" s="4">
        <v>117293.58934859755</v>
      </c>
      <c r="BL501" s="4">
        <v>1523999.9999999995</v>
      </c>
      <c r="BM5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1" s="4">
        <v>294804.96027377353</v>
      </c>
      <c r="BO5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1" s="4">
        <f>(Base[[#This Row],['[SC']'[Mort_prématurée']Gains]]-Base[[#This Row],['[SC']'[Mort_prématurée']Coûts]])/Base[[#This Row],[Population_totale]]</f>
        <v>0</v>
      </c>
      <c r="BQ501" s="4">
        <f>IF(Base[[#This Row],[Pathologie]]&lt;&gt;"Mort prématurée",0,Base[[#This Row],[Risque]])</f>
        <v>0</v>
      </c>
      <c r="BR501" s="4">
        <v>2680</v>
      </c>
      <c r="BS5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5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01" s="4">
        <f>Base[[#This Row],[Prévalence_prod]]*(1-Base[[#This Row],[Risque]])*Base[[#This Row],[Durée_arrêt]]*Base[[#This Row],[Population_emploi]]</f>
        <v>4462558.1155359624</v>
      </c>
      <c r="BV501" s="4">
        <f>Base[[#This Row],['[Prod']'[Absentéisme']Total_jours_absence_avant]]-Base[[#This Row],['[Prod']'[Absentéisme']Total_jours_absence_après]]</f>
        <v>6130653.833596467</v>
      </c>
      <c r="BW501" s="4">
        <f>IF(AND(Base[[#This Row],[Pathologie]]&lt;&gt;"Dépendance",Base[[#This Row],[Pathologie]]&lt;&gt;"Mort prématurée",Base[[#This Row],[Pathologie]]&lt;&gt;"Migraine"),0.0619,0)</f>
        <v>6.1899999999999997E-2</v>
      </c>
      <c r="BX501" s="4">
        <v>254</v>
      </c>
      <c r="BY501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01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501" s="4">
        <f>Base[[#This Row],[Prévalence_prod]]*Base[[#This Row],[Présentéisme]]*Base[[#This Row],['[Prod']Jours_ouvrés]]</f>
        <v>1.0626852000000002</v>
      </c>
      <c r="CB501" s="4">
        <f>Base[[#This Row],[Prévalence_prod]]*(1-Base[[#This Row],[Risque]])*Base[[#This Row],[Présentéisme]]*Base[[#This Row],['[Prod']Jours_ouvrés]]</f>
        <v>0.44767295191411194</v>
      </c>
      <c r="CC501" s="4">
        <f>Base[[#This Row],['[Prod']'[Présentéisme']Jours_avant]]-Base[[#This Row],['[Prod']'[Présentéisme']Jours_après]]</f>
        <v>0.61501224808588828</v>
      </c>
      <c r="CD501" s="4">
        <f>Base[[#This Row],['[Prod']'[Présentéisme']Jours_gagnés]]/Base[[#This Row],['[Prod']Jours_ouvrés]]</f>
        <v>2.421308063330269E-3</v>
      </c>
      <c r="CE501">
        <v>9.3428413505841454E-2</v>
      </c>
      <c r="CF501">
        <v>2.1038737314955848E-2</v>
      </c>
      <c r="CG501" s="4">
        <v>11</v>
      </c>
      <c r="CH501" s="4">
        <v>1.1593596509901765</v>
      </c>
      <c r="CI501" s="4">
        <v>4.0741311947357597E-2</v>
      </c>
      <c r="CJ501" s="4">
        <f>IF(Base[[#This Row],[Secteur]]&lt;&gt;"Moyenne",Base[[#This Row],['[Prod']'[Turnover']DMC_initiale]]*(1+Base[[#This Row],['[Prod']'[Turnover']Ecart_accidents]]*Base[[#This Row],['[Prod']Impact_motifs_turnover]]),CJ484*CI484+CJ485*CI485+CJ486*CI486+CJ487*CI487+CJ488*CI488+CJ489*CI489+CJ490*CI490+CJ491*CI491+CJ492*CI492+CJ493*CI493+CJ494*CI494+CJ495*CI495+CJ496*CI496+CJ497*CI497+CJ498*CI498+CJ499*CI499+CJ500*CI500)</f>
        <v>11.268306094658152</v>
      </c>
      <c r="CK501" s="4">
        <f>1/Base[[#This Row],['[Prod']'[Turnover']DMC_initiale]]</f>
        <v>9.0909090909090912E-2</v>
      </c>
      <c r="CL501" s="4">
        <f>1/Base[[#This Row],['[Prod']'[Turnover']DMC_finale]]</f>
        <v>8.8744483119256007E-2</v>
      </c>
    </row>
    <row r="502" spans="2:90" x14ac:dyDescent="0.25">
      <c r="B502" s="4" t="s">
        <v>332</v>
      </c>
      <c r="C502">
        <v>30</v>
      </c>
      <c r="D502" t="s">
        <v>85</v>
      </c>
      <c r="E502" t="s">
        <v>4</v>
      </c>
      <c r="F502" s="3">
        <v>0.57873418025007606</v>
      </c>
      <c r="G502" s="3">
        <v>3.6700000000000003E-2</v>
      </c>
      <c r="H502" s="3">
        <v>3.6700000000000003E-2</v>
      </c>
      <c r="I502" s="3">
        <v>0.114</v>
      </c>
      <c r="J502" s="3">
        <v>10.311441509770701</v>
      </c>
      <c r="K502" s="3">
        <v>7.0000000000000007E-2</v>
      </c>
      <c r="L502" s="2">
        <f>Base[[#This Row],[Coût]]*Base[[#This Row],[Part_ménages_dépenses_santé]]</f>
        <v>0.72180090568394906</v>
      </c>
      <c r="M502" s="2">
        <v>0.99731334462301791</v>
      </c>
      <c r="N502" s="6">
        <v>27700000</v>
      </c>
      <c r="O502" s="7">
        <f>Base[[#This Row],[Coût_salarié]]*10^9*Base[[#This Row],[Risque]]*Base[[#This Row],[Prévalence]]*Base[[#This Row],[Part_coûts_salarié]]/Base[[#This Row],[Population_emploi]]</f>
        <v>0.55196873745248154</v>
      </c>
      <c r="P502">
        <v>50</v>
      </c>
      <c r="Q502">
        <v>50</v>
      </c>
      <c r="R502" s="2">
        <v>9.9999999999999978E-2</v>
      </c>
      <c r="S502" s="2">
        <v>0.33340000000000003</v>
      </c>
      <c r="T502" s="4">
        <v>3.6700000000000003E-2</v>
      </c>
      <c r="U502" s="4">
        <f>IF(Bases_annexes!$F$5=0,16.6587111018772,0.77*Bases_annexes!$F$5/(IF(OR(ISBLANK('Données_d''entrée'!$E$44),'Données_d''entrée'!$E$44=0),35,'Données_d''entrée'!$E$44)*52))</f>
        <v>16.658711101877199</v>
      </c>
      <c r="V502" s="4">
        <v>10.42033853287208</v>
      </c>
      <c r="W5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9.2681348859142467</v>
      </c>
      <c r="X502" s="4">
        <v>234.5</v>
      </c>
      <c r="Y502" s="4">
        <f>(Base[[#This Row],['[Maladies']Coûts_évités_par_salarié]]+Base[[#This Row],['[Travail']Coûts_évités_par_salarié]])/Base[[#This Row],[Budget_santé_salarié]]</f>
        <v>4.187677451329095E-2</v>
      </c>
      <c r="Z502" s="4">
        <v>0.8</v>
      </c>
      <c r="AA502" s="4">
        <f>Base[[#This Row],[Coût]]*Base[[#This Row],[Part_société_dépenses_santé]]</f>
        <v>8.2491532078165601</v>
      </c>
      <c r="AB502" s="4">
        <v>67635124</v>
      </c>
      <c r="AC502" s="4">
        <v>82.297079063317852</v>
      </c>
      <c r="AD502" s="4">
        <v>3.6700000000000003E-2</v>
      </c>
      <c r="AE502" s="4">
        <f>Base[[#This Row],['[SC']Prévalence_travail]]*Base[[#This Row],[Population_emploi]]</f>
        <v>1016590.0000000001</v>
      </c>
      <c r="AF502" s="4">
        <f>Base[[#This Row],[Risque]]*Base[[#This Row],['[SC']Patients_en_emploi]]</f>
        <v>588335.38030042488</v>
      </c>
      <c r="AG502" s="4">
        <v>756671404.20000005</v>
      </c>
      <c r="AH502" s="4">
        <f>IFERROR(Base[[#This Row],['[SC']Prestations]]/Base[[#This Row],['[SC']Patients_en_emploi]],0)</f>
        <v>744.32308423258144</v>
      </c>
      <c r="AI502" s="4">
        <v>51.7</v>
      </c>
      <c r="AJ5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437911604.82836097</v>
      </c>
      <c r="AK502" s="4">
        <f>Base[[#This Row],['[SC']'[Travail']Coûts_évités]]/Base[[#This Row],[Population_emploi]]</f>
        <v>15.809083206800036</v>
      </c>
      <c r="AL502" s="4">
        <f>Base[[#This Row],[Coût_société]]*10^9*Base[[#This Row],[Risque]]*Base[[#This Row],[Prévalence]]*Base[[#This Row],[Part_coûts_salarié]]/Base[[#This Row],[Population_emploi]]</f>
        <v>6.308214142314073</v>
      </c>
      <c r="AM502" s="4">
        <f>IF(Base[[#This Row],[Pathologie]]&lt;&gt;"Dépendance",0,14909.24243952)</f>
        <v>0</v>
      </c>
      <c r="AN502" s="4">
        <f>IF(Base[[#This Row],[Pathologie]]&lt;&gt;"Dépendance",0,1316000)</f>
        <v>0</v>
      </c>
      <c r="AO502" s="4">
        <f>IF(Base[[#This Row],[Pathologie]]&lt;&gt;"Dépendance",0,Base[[#This Row],['[SC']Coût_personne_dépendante]]*Base[[#This Row],['[SC']Nb_personnes_dépendantes]])</f>
        <v>0</v>
      </c>
      <c r="AP502" s="4">
        <f>IF(Base[[#This Row],[Pathologie]]&lt;&gt;"Dépendance",0,Base[[#This Row],['[SC']Coût_total_dépendance]]/Base[[#This Row],[Population_totale]])</f>
        <v>0</v>
      </c>
      <c r="AQ502" s="4">
        <f>IF(Base[[#This Row],[Pathologie]]&lt;&gt;"Dépendance",0,4.5)</f>
        <v>0</v>
      </c>
      <c r="AR502" s="4">
        <v>1.0077957276768601</v>
      </c>
      <c r="AS502" s="4">
        <f>Base[[#This Row],[Espérance_vie]]+Base[[#This Row],['[SC']Hausse_esp_de_vie]]-Base[[#This Row],['[SC']Durée_moyenne_dépendance_avt]]+Base[[#This Row],[Risque]]</f>
        <v>83.883608971244797</v>
      </c>
      <c r="AT5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2" s="4">
        <v>62.9</v>
      </c>
      <c r="AW502" s="4">
        <f t="shared" si="13"/>
        <v>336905600000</v>
      </c>
      <c r="AX502" s="4">
        <v>15049171</v>
      </c>
      <c r="AY502" s="4">
        <f>Base[[#This Row],['[SC']Budget_total_retraites]]/Base[[#This Row],['[SC']Nombre_de_retraités]]</f>
        <v>22386.987296509556</v>
      </c>
      <c r="AZ502" s="4">
        <f>Base[[#This Row],['[SC']Budget_par_retraité]]*Base[[#This Row],['[SC']Nb_personnes_dépendantes]]</f>
        <v>0</v>
      </c>
      <c r="BA502" s="4">
        <f>Base[[#This Row],['[SC']'[Dépendance']Coût_retraite_personnes_dépendantes]]/Base[[#This Row],[Population_totale]]</f>
        <v>0</v>
      </c>
      <c r="BB50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2" s="4">
        <f>Base[[#This Row],['[SC']'[Dépendance']Gains]]-Base[[#This Row],['[SC']'[Dépendance']Coûts]]</f>
        <v>0</v>
      </c>
      <c r="BD502" s="4">
        <f>IF(Base[[#This Row],[Pathologie]]&lt;&gt;"Mort prématurée",0,Base[[#This Row],[Risque]]*Base[[#This Row],[Prévalence]]*Base[[#This Row],[Population_totale]])</f>
        <v>0</v>
      </c>
      <c r="BE502" s="4">
        <v>52.74</v>
      </c>
      <c r="BF502" s="4">
        <f>Base[[#This Row],['[SC']Âge_moyen_retraite]]-Base[[#This Row],['[SC']'[Mort_prématurée']Âge_moyen_mort précoce]]</f>
        <v>10.159999999999997</v>
      </c>
      <c r="BG502" s="4">
        <f>Base[[#This Row],[Espérance_vie]]+Base[[#This Row],['[SC']Hausse_esp_de_vie]]-Base[[#This Row],['[SC']Âge_moyen_retraite]]</f>
        <v>20.404874790994718</v>
      </c>
      <c r="BH502" s="4">
        <v>106583.42676924677</v>
      </c>
      <c r="BI502" s="4">
        <v>97601.789429271477</v>
      </c>
      <c r="BJ502" s="4">
        <v>302038.31496633729</v>
      </c>
      <c r="BK502" s="4">
        <v>117293.58934859755</v>
      </c>
      <c r="BL502" s="4">
        <v>1523999.9999999995</v>
      </c>
      <c r="BM5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2" s="4">
        <v>294804.96027377353</v>
      </c>
      <c r="BO5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2" s="4">
        <f>(Base[[#This Row],['[SC']'[Mort_prématurée']Gains]]-Base[[#This Row],['[SC']'[Mort_prématurée']Coûts]])/Base[[#This Row],[Population_totale]]</f>
        <v>0</v>
      </c>
      <c r="BQ502" s="4">
        <f>IF(Base[[#This Row],[Pathologie]]&lt;&gt;"Mort prématurée",0,Base[[#This Row],[Risque]])</f>
        <v>0</v>
      </c>
      <c r="BR502" s="4">
        <v>2680</v>
      </c>
      <c r="BS5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8.2527228914604893E-3</v>
      </c>
      <c r="BT5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10593211.949132429</v>
      </c>
      <c r="BU502" s="4">
        <f>Base[[#This Row],[Prévalence_prod]]*(1-Base[[#This Row],[Risque]])*Base[[#This Row],[Durée_arrêt]]*Base[[#This Row],[Population_emploi]]</f>
        <v>4462558.1155359624</v>
      </c>
      <c r="BV502" s="4">
        <f>Base[[#This Row],['[Prod']'[Absentéisme']Total_jours_absence_avant]]-Base[[#This Row],['[Prod']'[Absentéisme']Total_jours_absence_après]]</f>
        <v>6130653.833596467</v>
      </c>
      <c r="BW502" s="4">
        <f>IF(AND(Base[[#This Row],[Pathologie]]&lt;&gt;"Dépendance",Base[[#This Row],[Pathologie]]&lt;&gt;"Mort prématurée",Base[[#This Row],[Pathologie]]&lt;&gt;"Migraine"),0.0619,0)</f>
        <v>6.1899999999999997E-2</v>
      </c>
      <c r="BX502" s="4">
        <v>254</v>
      </c>
      <c r="BY502" s="4">
        <f>Base[[#This Row],['[Prod']'[Absentéisme']Taux_initial]]*Base[[#This Row],['[Prod']Jours_ouvrés]]*Base[[#This Row],[Population_emploi]]*Base[[#This Row],['[Prod']'[Absentéisme']Total_jours_absence_avant]]/211051099.251489</f>
        <v>21859699.018222708</v>
      </c>
      <c r="BZ502" s="4">
        <f>(Base[[#This Row],['[Prod']'[Absentéisme']Jours_théoriques]]-Base[[#This Row],['[Prod']'[Absentéisme']Total_jours_absence_évités]])/(Base[[#This Row],[Population_emploi]]*Base[[#This Row],['[Prod']Jours_ouvrés]])</f>
        <v>2.2355730954015519E-3</v>
      </c>
      <c r="CA502" s="4">
        <f>Base[[#This Row],[Prévalence_prod]]*Base[[#This Row],[Présentéisme]]*Base[[#This Row],['[Prod']Jours_ouvrés]]</f>
        <v>1.0626852000000002</v>
      </c>
      <c r="CB502" s="4">
        <f>Base[[#This Row],[Prévalence_prod]]*(1-Base[[#This Row],[Risque]])*Base[[#This Row],[Présentéisme]]*Base[[#This Row],['[Prod']Jours_ouvrés]]</f>
        <v>0.44767295191411194</v>
      </c>
      <c r="CC502" s="4">
        <f>Base[[#This Row],['[Prod']'[Présentéisme']Jours_avant]]-Base[[#This Row],['[Prod']'[Présentéisme']Jours_après]]</f>
        <v>0.61501224808588828</v>
      </c>
      <c r="CD502" s="4">
        <f>Base[[#This Row],['[Prod']'[Présentéisme']Jours_gagnés]]/Base[[#This Row],['[Prod']Jours_ouvrés]]</f>
        <v>2.421308063330269E-3</v>
      </c>
      <c r="CE502">
        <v>9.3428413505841454E-2</v>
      </c>
      <c r="CF502">
        <v>2.1038737314955848E-2</v>
      </c>
      <c r="CG502" s="4">
        <v>11</v>
      </c>
      <c r="CH502" s="4">
        <v>0.85076983926913452</v>
      </c>
      <c r="CI502" s="4">
        <v>0</v>
      </c>
      <c r="CJ502" s="4">
        <f>IF(Base[[#This Row],[Secteur]]&lt;&gt;"Moyenne",Base[[#This Row],['[Prod']'[Turnover']DMC_initiale]]*(1+Base[[#This Row],['[Prod']'[Turnover']Ecart_accidents]]*Base[[#This Row],['[Prod']Impact_motifs_turnover]]),CJ485*CI485+CJ486*CI486+CJ487*CI487+CJ488*CI488+CJ489*CI489+CJ490*CI490+CJ491*CI491+CJ492*CI492+CJ493*CI493+CJ494*CI494+CJ495*CI495+CJ496*CI496+CJ497*CI497+CJ498*CI498+CJ499*CI499+CJ500*CI500+CJ501*CI501)</f>
        <v>11.196890354802576</v>
      </c>
      <c r="CK502" s="4">
        <f>1/Base[[#This Row],['[Prod']'[Turnover']DMC_initiale]]</f>
        <v>9.0909090909090912E-2</v>
      </c>
      <c r="CL502" s="4">
        <f>1/Base[[#This Row],['[Prod']'[Turnover']DMC_finale]]</f>
        <v>8.9310511071592255E-2</v>
      </c>
    </row>
    <row r="503" spans="2:90" x14ac:dyDescent="0.25">
      <c r="B503" s="4" t="s">
        <v>315</v>
      </c>
      <c r="C503">
        <v>30</v>
      </c>
      <c r="D503" t="s">
        <v>85</v>
      </c>
      <c r="E503" t="s">
        <v>5</v>
      </c>
      <c r="F503" s="3">
        <v>0.42906154742678049</v>
      </c>
      <c r="G503" s="3">
        <v>6.593568911523901E-4</v>
      </c>
      <c r="H503" s="3">
        <v>6.593568911523901E-4</v>
      </c>
      <c r="I503" s="3">
        <v>0</v>
      </c>
      <c r="J503" s="3">
        <v>4.7304000000000004</v>
      </c>
      <c r="K503" s="3">
        <v>7.0000000000000007E-2</v>
      </c>
      <c r="L503" s="2">
        <f>Base[[#This Row],[Coût]]*Base[[#This Row],[Part_ménages_dépenses_santé]]</f>
        <v>0.33112800000000003</v>
      </c>
      <c r="M503" s="2">
        <v>1</v>
      </c>
      <c r="N503" s="6">
        <v>27700000</v>
      </c>
      <c r="O503" s="7">
        <f>Base[[#This Row],[Coût_salarié]]*10^9*Base[[#This Row],[Risque]]*Base[[#This Row],[Prévalence]]*Base[[#This Row],[Part_coûts_salarié]]/Base[[#This Row],[Population_emploi]]</f>
        <v>3.3818651096075409E-3</v>
      </c>
      <c r="P503">
        <v>50</v>
      </c>
      <c r="Q503">
        <v>50</v>
      </c>
      <c r="R503" s="2">
        <v>9.9999999999999978E-2</v>
      </c>
      <c r="S503" s="2">
        <v>0.33340000000000003</v>
      </c>
      <c r="T503" s="4">
        <v>6.593568911523901E-4</v>
      </c>
      <c r="U503" s="4">
        <f>IF(Bases_annexes!$F$5=0,16.6587111018772,0.77*Bases_annexes!$F$5/(IF(OR(ISBLANK('Données_d''entrée'!$E$44),'Données_d''entrée'!$E$44=0),35,'Données_d''entrée'!$E$44)*52))</f>
        <v>16.658711101877199</v>
      </c>
      <c r="V503" s="4">
        <v>45.453421187287603</v>
      </c>
      <c r="W5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3" s="4">
        <v>234.5</v>
      </c>
      <c r="Y503" s="4">
        <f>(Base[[#This Row],['[Maladies']Coûts_évités_par_salarié]]+Base[[#This Row],['[Travail']Coûts_évités_par_salarié]])/Base[[#This Row],[Budget_santé_salarié]]</f>
        <v>1.0337065950219429E-3</v>
      </c>
      <c r="Z503" s="4">
        <v>0.8</v>
      </c>
      <c r="AA503" s="4">
        <f>Base[[#This Row],[Coût]]*Base[[#This Row],[Part_société_dépenses_santé]]</f>
        <v>3.7843200000000006</v>
      </c>
      <c r="AB503" s="4">
        <v>67635124</v>
      </c>
      <c r="AC503" s="4">
        <v>82.297079063317852</v>
      </c>
      <c r="AD503" s="4">
        <v>6.593568911523901E-4</v>
      </c>
      <c r="AE503" s="4">
        <f>Base[[#This Row],['[SC']Prévalence_travail]]*Base[[#This Row],[Population_emploi]]</f>
        <v>18264.185884921208</v>
      </c>
      <c r="AF503" s="4">
        <f>Base[[#This Row],[Risque]]*Base[[#This Row],['[SC']Patients_en_emploi]]</f>
        <v>7836.4598582746557</v>
      </c>
      <c r="AG503" s="4">
        <v>60180000</v>
      </c>
      <c r="AH503" s="4">
        <f>IFERROR(Base[[#This Row],['[SC']Prestations]]/Base[[#This Row],['[SC']Patients_en_emploi]],0)</f>
        <v>3294.9730351619019</v>
      </c>
      <c r="AI503" s="4">
        <v>51.7</v>
      </c>
      <c r="AJ5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3" s="4">
        <f>Base[[#This Row],['[SC']'[Travail']Coûts_évités]]/Base[[#This Row],[Population_emploi]]</f>
        <v>0.93216331856114254</v>
      </c>
      <c r="AL503" s="4">
        <f>Base[[#This Row],[Coût_société]]*10^9*Base[[#This Row],[Risque]]*Base[[#This Row],[Prévalence]]*Base[[#This Row],[Part_coûts_salarié]]/Base[[#This Row],[Population_emploi]]</f>
        <v>3.8649886966943332E-2</v>
      </c>
      <c r="AM503" s="4">
        <f>IF(Base[[#This Row],[Pathologie]]&lt;&gt;"Dépendance",0,14909.24243952)</f>
        <v>0</v>
      </c>
      <c r="AN503" s="4">
        <f>IF(Base[[#This Row],[Pathologie]]&lt;&gt;"Dépendance",0,1316000)</f>
        <v>0</v>
      </c>
      <c r="AO503" s="4">
        <f>IF(Base[[#This Row],[Pathologie]]&lt;&gt;"Dépendance",0,Base[[#This Row],['[SC']Coût_personne_dépendante]]*Base[[#This Row],['[SC']Nb_personnes_dépendantes]])</f>
        <v>0</v>
      </c>
      <c r="AP503" s="4">
        <f>IF(Base[[#This Row],[Pathologie]]&lt;&gt;"Dépendance",0,Base[[#This Row],['[SC']Coût_total_dépendance]]/Base[[#This Row],[Population_totale]])</f>
        <v>0</v>
      </c>
      <c r="AQ503" s="4">
        <f>IF(Base[[#This Row],[Pathologie]]&lt;&gt;"Dépendance",0,4.5)</f>
        <v>0</v>
      </c>
      <c r="AR503" s="4">
        <v>1.0077957276768601</v>
      </c>
      <c r="AS503" s="4">
        <f>Base[[#This Row],[Espérance_vie]]+Base[[#This Row],['[SC']Hausse_esp_de_vie]]-Base[[#This Row],['[SC']Durée_moyenne_dépendance_avt]]+Base[[#This Row],[Risque]]</f>
        <v>83.733936338421501</v>
      </c>
      <c r="AT5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3" s="4">
        <v>62.9</v>
      </c>
      <c r="AW503" s="4">
        <f t="shared" si="0"/>
        <v>336905600000</v>
      </c>
      <c r="AX503" s="4">
        <v>15049171</v>
      </c>
      <c r="AY503" s="4">
        <f>Base[[#This Row],['[SC']Budget_total_retraites]]/Base[[#This Row],['[SC']Nombre_de_retraités]]</f>
        <v>22386.987296509556</v>
      </c>
      <c r="AZ503" s="4">
        <f>Base[[#This Row],['[SC']Budget_par_retraité]]*Base[[#This Row],['[SC']Nb_personnes_dépendantes]]</f>
        <v>0</v>
      </c>
      <c r="BA503" s="4">
        <f>Base[[#This Row],['[SC']'[Dépendance']Coût_retraite_personnes_dépendantes]]/Base[[#This Row],[Population_totale]]</f>
        <v>0</v>
      </c>
      <c r="BB50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3" s="4">
        <f>Base[[#This Row],['[SC']'[Dépendance']Gains]]-Base[[#This Row],['[SC']'[Dépendance']Coûts]]</f>
        <v>0</v>
      </c>
      <c r="BD503" s="4">
        <f>IF(Base[[#This Row],[Pathologie]]&lt;&gt;"Mort prématurée",0,Base[[#This Row],[Risque]]*Base[[#This Row],[Prévalence]]*Base[[#This Row],[Population_totale]])</f>
        <v>0</v>
      </c>
      <c r="BE503" s="4">
        <v>52.74</v>
      </c>
      <c r="BF503" s="4">
        <f>Base[[#This Row],['[SC']Âge_moyen_retraite]]-Base[[#This Row],['[SC']'[Mort_prématurée']Âge_moyen_mort précoce]]</f>
        <v>10.159999999999997</v>
      </c>
      <c r="BG503" s="4">
        <f>Base[[#This Row],[Espérance_vie]]+Base[[#This Row],['[SC']Hausse_esp_de_vie]]-Base[[#This Row],['[SC']Âge_moyen_retraite]]</f>
        <v>20.404874790994718</v>
      </c>
      <c r="BH503" s="4">
        <v>106583.42676924677</v>
      </c>
      <c r="BI503" s="4">
        <v>97601.789429271477</v>
      </c>
      <c r="BJ503" s="4">
        <v>302038.31496633729</v>
      </c>
      <c r="BK503" s="4">
        <v>117293.58934859755</v>
      </c>
      <c r="BL503" s="4">
        <v>1523999.9999999995</v>
      </c>
      <c r="BM5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3" s="4">
        <v>294804.96027377353</v>
      </c>
      <c r="BO5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3" s="4">
        <f>(Base[[#This Row],['[SC']'[Mort_prématurée']Gains]]-Base[[#This Row],['[SC']'[Mort_prématurée']Coûts]])/Base[[#This Row],[Population_totale]]</f>
        <v>0</v>
      </c>
      <c r="BQ503" s="4">
        <f>IF(Base[[#This Row],[Pathologie]]&lt;&gt;"Mort prématurée",0,Base[[#This Row],[Risque]])</f>
        <v>0</v>
      </c>
      <c r="BR503" s="4">
        <v>2680</v>
      </c>
      <c r="BS5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3" s="4">
        <f>Base[[#This Row],[Prévalence_prod]]*(1-Base[[#This Row],[Risque]])*Base[[#This Row],[Durée_arrêt]]*Base[[#This Row],[Population_emploi]]</f>
        <v>473975.82311480673</v>
      </c>
      <c r="BV503" s="4">
        <f>Base[[#This Row],['[Prod']'[Absentéisme']Total_jours_absence_avant]]-Base[[#This Row],['[Prod']'[Absentéisme']Total_jours_absence_après]]</f>
        <v>356193.91055542993</v>
      </c>
      <c r="BW503" s="4">
        <f>IF(AND(Base[[#This Row],[Pathologie]]&lt;&gt;"Dépendance",Base[[#This Row],[Pathologie]]&lt;&gt;"Mort prématurée",Base[[#This Row],[Pathologie]]&lt;&gt;"Migraine"),0.0619,0)</f>
        <v>6.1899999999999997E-2</v>
      </c>
      <c r="BX503" s="4">
        <v>254</v>
      </c>
      <c r="BY50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3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3" s="4">
        <f>Base[[#This Row],[Prévalence_prod]]*Base[[#This Row],[Présentéisme]]*Base[[#This Row],['[Prod']Jours_ouvrés]]</f>
        <v>0</v>
      </c>
      <c r="CB503" s="4">
        <f>Base[[#This Row],[Prévalence_prod]]*(1-Base[[#This Row],[Risque]])*Base[[#This Row],[Présentéisme]]*Base[[#This Row],['[Prod']Jours_ouvrés]]</f>
        <v>0</v>
      </c>
      <c r="CC503" s="4">
        <f>Base[[#This Row],['[Prod']'[Présentéisme']Jours_avant]]-Base[[#This Row],['[Prod']'[Présentéisme']Jours_après]]</f>
        <v>0</v>
      </c>
      <c r="CD503" s="4">
        <f>Base[[#This Row],['[Prod']'[Présentéisme']Jours_gagnés]]/Base[[#This Row],['[Prod']Jours_ouvrés]]</f>
        <v>0</v>
      </c>
      <c r="CE503">
        <v>9.3428413505841454E-2</v>
      </c>
      <c r="CF503">
        <v>2.1038737314955848E-2</v>
      </c>
      <c r="CG503" s="4">
        <v>11</v>
      </c>
      <c r="CH503" s="4">
        <v>1.3966184516047948</v>
      </c>
      <c r="CI503" s="4">
        <v>1.4392894727292521E-2</v>
      </c>
      <c r="CJ503" s="4">
        <f>IF(Base[[#This Row],[Secteur]]&lt;&gt;"Moyenne",Base[[#This Row],['[Prod']'[Turnover']DMC_initiale]]*(1+Base[[#This Row],['[Prod']'[Turnover']Ecart_accidents]]*Base[[#This Row],['[Prod']Impact_motifs_turnover]]),CJ486*CI486+CJ487*CI487+CJ488*CI488+CJ489*CI489+CJ490*CI490+CJ491*CI491+CJ492*CI492+CJ493*CI493+CJ494*CI494+CJ495*CI495+CJ496*CI496+CJ497*CI497+CJ498*CI498+CJ499*CI499+CJ500*CI500+CJ501*CI501+CJ502*CI502)</f>
        <v>11.32321397605787</v>
      </c>
      <c r="CK503" s="4">
        <f>1/Base[[#This Row],['[Prod']'[Turnover']DMC_initiale]]</f>
        <v>9.0909090909090912E-2</v>
      </c>
      <c r="CL503" s="4">
        <f>1/Base[[#This Row],['[Prod']'[Turnover']DMC_finale]]</f>
        <v>8.8314148448879345E-2</v>
      </c>
    </row>
    <row r="504" spans="2:90" x14ac:dyDescent="0.25">
      <c r="B504" s="4" t="s">
        <v>316</v>
      </c>
      <c r="C504">
        <v>30</v>
      </c>
      <c r="D504" t="s">
        <v>85</v>
      </c>
      <c r="E504" t="s">
        <v>5</v>
      </c>
      <c r="F504" s="3">
        <v>0.42906154742678049</v>
      </c>
      <c r="G504" s="3">
        <v>6.593568911523901E-4</v>
      </c>
      <c r="H504" s="3">
        <v>6.593568911523901E-4</v>
      </c>
      <c r="I504" s="3">
        <v>0</v>
      </c>
      <c r="J504" s="3">
        <v>4.7304000000000004</v>
      </c>
      <c r="K504" s="3">
        <v>7.0000000000000007E-2</v>
      </c>
      <c r="L504" s="2">
        <f>Base[[#This Row],[Coût]]*Base[[#This Row],[Part_ménages_dépenses_santé]]</f>
        <v>0.33112800000000003</v>
      </c>
      <c r="M504" s="2">
        <v>1</v>
      </c>
      <c r="N504" s="6">
        <v>27700000</v>
      </c>
      <c r="O504" s="7">
        <f>Base[[#This Row],[Coût_salarié]]*10^9*Base[[#This Row],[Risque]]*Base[[#This Row],[Prévalence]]*Base[[#This Row],[Part_coûts_salarié]]/Base[[#This Row],[Population_emploi]]</f>
        <v>3.3818651096075409E-3</v>
      </c>
      <c r="P504">
        <v>50</v>
      </c>
      <c r="Q504">
        <v>50</v>
      </c>
      <c r="R504" s="2">
        <v>9.9999999999999978E-2</v>
      </c>
      <c r="S504" s="2">
        <v>0.33340000000000003</v>
      </c>
      <c r="T504" s="4">
        <v>6.593568911523901E-4</v>
      </c>
      <c r="U504" s="4">
        <f>IF(Bases_annexes!$F$5=0,16.6587111018772,0.77*Bases_annexes!$F$5/(IF(OR(ISBLANK('Données_d''entrée'!$E$44),'Données_d''entrée'!$E$44=0),35,'Données_d''entrée'!$E$44)*52))</f>
        <v>16.658711101877199</v>
      </c>
      <c r="V504" s="4">
        <v>45.453421187287603</v>
      </c>
      <c r="W5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4" s="4">
        <v>234.5</v>
      </c>
      <c r="Y504" s="4">
        <f>(Base[[#This Row],['[Maladies']Coûts_évités_par_salarié]]+Base[[#This Row],['[Travail']Coûts_évités_par_salarié]])/Base[[#This Row],[Budget_santé_salarié]]</f>
        <v>1.0337065950219429E-3</v>
      </c>
      <c r="Z504" s="4">
        <v>0.8</v>
      </c>
      <c r="AA504" s="4">
        <f>Base[[#This Row],[Coût]]*Base[[#This Row],[Part_société_dépenses_santé]]</f>
        <v>3.7843200000000006</v>
      </c>
      <c r="AB504" s="4">
        <v>67635124</v>
      </c>
      <c r="AC504" s="4">
        <v>82.297079063317852</v>
      </c>
      <c r="AD504" s="4">
        <v>6.593568911523901E-4</v>
      </c>
      <c r="AE504" s="4">
        <f>Base[[#This Row],['[SC']Prévalence_travail]]*Base[[#This Row],[Population_emploi]]</f>
        <v>18264.185884921208</v>
      </c>
      <c r="AF504" s="4">
        <f>Base[[#This Row],[Risque]]*Base[[#This Row],['[SC']Patients_en_emploi]]</f>
        <v>7836.4598582746557</v>
      </c>
      <c r="AG504" s="4">
        <v>60180000</v>
      </c>
      <c r="AH504" s="4">
        <f>IFERROR(Base[[#This Row],['[SC']Prestations]]/Base[[#This Row],['[SC']Patients_en_emploi]],0)</f>
        <v>3294.9730351619019</v>
      </c>
      <c r="AI504" s="4">
        <v>51.7</v>
      </c>
      <c r="AJ5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4" s="4">
        <f>Base[[#This Row],['[SC']'[Travail']Coûts_évités]]/Base[[#This Row],[Population_emploi]]</f>
        <v>0.93216331856114254</v>
      </c>
      <c r="AL504" s="4">
        <f>Base[[#This Row],[Coût_société]]*10^9*Base[[#This Row],[Risque]]*Base[[#This Row],[Prévalence]]*Base[[#This Row],[Part_coûts_salarié]]/Base[[#This Row],[Population_emploi]]</f>
        <v>3.8649886966943332E-2</v>
      </c>
      <c r="AM504" s="4">
        <f>IF(Base[[#This Row],[Pathologie]]&lt;&gt;"Dépendance",0,14909.24243952)</f>
        <v>0</v>
      </c>
      <c r="AN504" s="4">
        <f>IF(Base[[#This Row],[Pathologie]]&lt;&gt;"Dépendance",0,1316000)</f>
        <v>0</v>
      </c>
      <c r="AO504" s="4">
        <f>IF(Base[[#This Row],[Pathologie]]&lt;&gt;"Dépendance",0,Base[[#This Row],['[SC']Coût_personne_dépendante]]*Base[[#This Row],['[SC']Nb_personnes_dépendantes]])</f>
        <v>0</v>
      </c>
      <c r="AP504" s="4">
        <f>IF(Base[[#This Row],[Pathologie]]&lt;&gt;"Dépendance",0,Base[[#This Row],['[SC']Coût_total_dépendance]]/Base[[#This Row],[Population_totale]])</f>
        <v>0</v>
      </c>
      <c r="AQ504" s="4">
        <f>IF(Base[[#This Row],[Pathologie]]&lt;&gt;"Dépendance",0,4.5)</f>
        <v>0</v>
      </c>
      <c r="AR504" s="4">
        <v>1.0077957276768601</v>
      </c>
      <c r="AS504" s="4">
        <f>Base[[#This Row],[Espérance_vie]]+Base[[#This Row],['[SC']Hausse_esp_de_vie]]-Base[[#This Row],['[SC']Durée_moyenne_dépendance_avt]]+Base[[#This Row],[Risque]]</f>
        <v>83.733936338421501</v>
      </c>
      <c r="AT5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4" s="4">
        <v>62.9</v>
      </c>
      <c r="AW504" s="4">
        <f t="shared" ref="AW504:AW520" si="14">336905600000</f>
        <v>336905600000</v>
      </c>
      <c r="AX504" s="4">
        <v>15049171</v>
      </c>
      <c r="AY504" s="4">
        <f>Base[[#This Row],['[SC']Budget_total_retraites]]/Base[[#This Row],['[SC']Nombre_de_retraités]]</f>
        <v>22386.987296509556</v>
      </c>
      <c r="AZ504" s="4">
        <f>Base[[#This Row],['[SC']Budget_par_retraité]]*Base[[#This Row],['[SC']Nb_personnes_dépendantes]]</f>
        <v>0</v>
      </c>
      <c r="BA504" s="4">
        <f>Base[[#This Row],['[SC']'[Dépendance']Coût_retraite_personnes_dépendantes]]/Base[[#This Row],[Population_totale]]</f>
        <v>0</v>
      </c>
      <c r="BB50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4" s="4">
        <f>Base[[#This Row],['[SC']'[Dépendance']Gains]]-Base[[#This Row],['[SC']'[Dépendance']Coûts]]</f>
        <v>0</v>
      </c>
      <c r="BD504" s="4">
        <f>IF(Base[[#This Row],[Pathologie]]&lt;&gt;"Mort prématurée",0,Base[[#This Row],[Risque]]*Base[[#This Row],[Prévalence]]*Base[[#This Row],[Population_totale]])</f>
        <v>0</v>
      </c>
      <c r="BE504" s="4">
        <v>52.74</v>
      </c>
      <c r="BF504" s="4">
        <f>Base[[#This Row],['[SC']Âge_moyen_retraite]]-Base[[#This Row],['[SC']'[Mort_prématurée']Âge_moyen_mort précoce]]</f>
        <v>10.159999999999997</v>
      </c>
      <c r="BG504" s="4">
        <f>Base[[#This Row],[Espérance_vie]]+Base[[#This Row],['[SC']Hausse_esp_de_vie]]-Base[[#This Row],['[SC']Âge_moyen_retraite]]</f>
        <v>20.404874790994718</v>
      </c>
      <c r="BH504" s="4">
        <v>106583.42676924677</v>
      </c>
      <c r="BI504" s="4">
        <v>97601.789429271477</v>
      </c>
      <c r="BJ504" s="4">
        <v>302038.31496633729</v>
      </c>
      <c r="BK504" s="4">
        <v>117293.58934859755</v>
      </c>
      <c r="BL504" s="4">
        <v>1523999.9999999995</v>
      </c>
      <c r="BM5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4" s="4">
        <v>294804.96027377353</v>
      </c>
      <c r="BO5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4" s="4">
        <f>(Base[[#This Row],['[SC']'[Mort_prématurée']Gains]]-Base[[#This Row],['[SC']'[Mort_prématurée']Coûts]])/Base[[#This Row],[Population_totale]]</f>
        <v>0</v>
      </c>
      <c r="BQ504" s="4">
        <f>IF(Base[[#This Row],[Pathologie]]&lt;&gt;"Mort prématurée",0,Base[[#This Row],[Risque]])</f>
        <v>0</v>
      </c>
      <c r="BR504" s="4">
        <v>2680</v>
      </c>
      <c r="BS5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4" s="4">
        <f>Base[[#This Row],[Prévalence_prod]]*(1-Base[[#This Row],[Risque]])*Base[[#This Row],[Durée_arrêt]]*Base[[#This Row],[Population_emploi]]</f>
        <v>473975.82311480673</v>
      </c>
      <c r="BV504" s="4">
        <f>Base[[#This Row],['[Prod']'[Absentéisme']Total_jours_absence_avant]]-Base[[#This Row],['[Prod']'[Absentéisme']Total_jours_absence_après]]</f>
        <v>356193.91055542993</v>
      </c>
      <c r="BW504" s="4">
        <f>IF(AND(Base[[#This Row],[Pathologie]]&lt;&gt;"Dépendance",Base[[#This Row],[Pathologie]]&lt;&gt;"Mort prématurée",Base[[#This Row],[Pathologie]]&lt;&gt;"Migraine"),0.0619,0)</f>
        <v>6.1899999999999997E-2</v>
      </c>
      <c r="BX504" s="4">
        <v>254</v>
      </c>
      <c r="BY50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4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4" s="4">
        <f>Base[[#This Row],[Prévalence_prod]]*Base[[#This Row],[Présentéisme]]*Base[[#This Row],['[Prod']Jours_ouvrés]]</f>
        <v>0</v>
      </c>
      <c r="CB504" s="4">
        <f>Base[[#This Row],[Prévalence_prod]]*(1-Base[[#This Row],[Risque]])*Base[[#This Row],[Présentéisme]]*Base[[#This Row],['[Prod']Jours_ouvrés]]</f>
        <v>0</v>
      </c>
      <c r="CC504" s="4">
        <f>Base[[#This Row],['[Prod']'[Présentéisme']Jours_avant]]-Base[[#This Row],['[Prod']'[Présentéisme']Jours_après]]</f>
        <v>0</v>
      </c>
      <c r="CD504" s="4">
        <f>Base[[#This Row],['[Prod']'[Présentéisme']Jours_gagnés]]/Base[[#This Row],['[Prod']Jours_ouvrés]]</f>
        <v>0</v>
      </c>
      <c r="CE504">
        <v>9.3428413505841454E-2</v>
      </c>
      <c r="CF504">
        <v>2.1038737314955848E-2</v>
      </c>
      <c r="CG504" s="4">
        <v>11</v>
      </c>
      <c r="CH504" s="4">
        <v>0.68054183762612652</v>
      </c>
      <c r="CI504" s="4">
        <v>1.2135452577082654E-2</v>
      </c>
      <c r="CJ504" s="4">
        <f>IF(Base[[#This Row],[Secteur]]&lt;&gt;"Moyenne",Base[[#This Row],['[Prod']'[Turnover']DMC_initiale]]*(1+Base[[#This Row],['[Prod']'[Turnover']Ecart_accidents]]*Base[[#This Row],['[Prod']Impact_motifs_turnover]]),CJ487*CI487+CJ488*CI488+CJ489*CI489+CJ490*CI490+CJ491*CI491+CJ492*CI492+CJ493*CI493+CJ494*CI494+CJ495*CI495+CJ496*CI496+CJ497*CI497+CJ498*CI498+CJ499*CI499+CJ500*CI500+CJ501*CI501+CJ502*CI502+CJ503*CI503)</f>
        <v>11.157495150490188</v>
      </c>
      <c r="CK504" s="4">
        <f>1/Base[[#This Row],['[Prod']'[Turnover']DMC_initiale]]</f>
        <v>9.0909090909090912E-2</v>
      </c>
      <c r="CL504" s="4">
        <f>1/Base[[#This Row],['[Prod']'[Turnover']DMC_finale]]</f>
        <v>8.9625851189015879E-2</v>
      </c>
    </row>
    <row r="505" spans="2:90" x14ac:dyDescent="0.25">
      <c r="B505" s="4" t="s">
        <v>317</v>
      </c>
      <c r="C505">
        <v>30</v>
      </c>
      <c r="D505" t="s">
        <v>85</v>
      </c>
      <c r="E505" t="s">
        <v>5</v>
      </c>
      <c r="F505" s="3">
        <v>0.42906154742678049</v>
      </c>
      <c r="G505" s="3">
        <v>6.593568911523901E-4</v>
      </c>
      <c r="H505" s="3">
        <v>6.593568911523901E-4</v>
      </c>
      <c r="I505" s="3">
        <v>0</v>
      </c>
      <c r="J505" s="3">
        <v>4.7304000000000004</v>
      </c>
      <c r="K505" s="3">
        <v>7.0000000000000007E-2</v>
      </c>
      <c r="L505" s="2">
        <f>Base[[#This Row],[Coût]]*Base[[#This Row],[Part_ménages_dépenses_santé]]</f>
        <v>0.33112800000000003</v>
      </c>
      <c r="M505" s="2">
        <v>1</v>
      </c>
      <c r="N505" s="6">
        <v>27700000</v>
      </c>
      <c r="O505" s="7">
        <f>Base[[#This Row],[Coût_salarié]]*10^9*Base[[#This Row],[Risque]]*Base[[#This Row],[Prévalence]]*Base[[#This Row],[Part_coûts_salarié]]/Base[[#This Row],[Population_emploi]]</f>
        <v>3.3818651096075409E-3</v>
      </c>
      <c r="P505">
        <v>50</v>
      </c>
      <c r="Q505">
        <v>50</v>
      </c>
      <c r="R505" s="2">
        <v>9.9999999999999978E-2</v>
      </c>
      <c r="S505" s="2">
        <v>0.33340000000000003</v>
      </c>
      <c r="T505" s="4">
        <v>6.593568911523901E-4</v>
      </c>
      <c r="U505" s="4">
        <f>IF(Bases_annexes!$F$5=0,16.6587111018772,0.77*Bases_annexes!$F$5/(IF(OR(ISBLANK('Données_d''entrée'!$E$44),'Données_d''entrée'!$E$44=0),35,'Données_d''entrée'!$E$44)*52))</f>
        <v>16.658711101877199</v>
      </c>
      <c r="V505" s="4">
        <v>45.453421187287603</v>
      </c>
      <c r="W5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5" s="4">
        <v>234.5</v>
      </c>
      <c r="Y505" s="4">
        <f>(Base[[#This Row],['[Maladies']Coûts_évités_par_salarié]]+Base[[#This Row],['[Travail']Coûts_évités_par_salarié]])/Base[[#This Row],[Budget_santé_salarié]]</f>
        <v>1.0337065950219429E-3</v>
      </c>
      <c r="Z505" s="4">
        <v>0.8</v>
      </c>
      <c r="AA505" s="4">
        <f>Base[[#This Row],[Coût]]*Base[[#This Row],[Part_société_dépenses_santé]]</f>
        <v>3.7843200000000006</v>
      </c>
      <c r="AB505" s="4">
        <v>67635124</v>
      </c>
      <c r="AC505" s="4">
        <v>82.297079063317852</v>
      </c>
      <c r="AD505" s="4">
        <v>6.593568911523901E-4</v>
      </c>
      <c r="AE505" s="4">
        <f>Base[[#This Row],['[SC']Prévalence_travail]]*Base[[#This Row],[Population_emploi]]</f>
        <v>18264.185884921208</v>
      </c>
      <c r="AF505" s="4">
        <f>Base[[#This Row],[Risque]]*Base[[#This Row],['[SC']Patients_en_emploi]]</f>
        <v>7836.4598582746557</v>
      </c>
      <c r="AG505" s="4">
        <v>60180000</v>
      </c>
      <c r="AH505" s="4">
        <f>IFERROR(Base[[#This Row],['[SC']Prestations]]/Base[[#This Row],['[SC']Patients_en_emploi]],0)</f>
        <v>3294.9730351619019</v>
      </c>
      <c r="AI505" s="4">
        <v>51.7</v>
      </c>
      <c r="AJ5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5" s="4">
        <f>Base[[#This Row],['[SC']'[Travail']Coûts_évités]]/Base[[#This Row],[Population_emploi]]</f>
        <v>0.93216331856114254</v>
      </c>
      <c r="AL505" s="4">
        <f>Base[[#This Row],[Coût_société]]*10^9*Base[[#This Row],[Risque]]*Base[[#This Row],[Prévalence]]*Base[[#This Row],[Part_coûts_salarié]]/Base[[#This Row],[Population_emploi]]</f>
        <v>3.8649886966943332E-2</v>
      </c>
      <c r="AM505" s="4">
        <f>IF(Base[[#This Row],[Pathologie]]&lt;&gt;"Dépendance",0,14909.24243952)</f>
        <v>0</v>
      </c>
      <c r="AN505" s="4">
        <f>IF(Base[[#This Row],[Pathologie]]&lt;&gt;"Dépendance",0,1316000)</f>
        <v>0</v>
      </c>
      <c r="AO505" s="4">
        <f>IF(Base[[#This Row],[Pathologie]]&lt;&gt;"Dépendance",0,Base[[#This Row],['[SC']Coût_personne_dépendante]]*Base[[#This Row],['[SC']Nb_personnes_dépendantes]])</f>
        <v>0</v>
      </c>
      <c r="AP505" s="4">
        <f>IF(Base[[#This Row],[Pathologie]]&lt;&gt;"Dépendance",0,Base[[#This Row],['[SC']Coût_total_dépendance]]/Base[[#This Row],[Population_totale]])</f>
        <v>0</v>
      </c>
      <c r="AQ505" s="4">
        <f>IF(Base[[#This Row],[Pathologie]]&lt;&gt;"Dépendance",0,4.5)</f>
        <v>0</v>
      </c>
      <c r="AR505" s="4">
        <v>1.0077957276768601</v>
      </c>
      <c r="AS505" s="4">
        <f>Base[[#This Row],[Espérance_vie]]+Base[[#This Row],['[SC']Hausse_esp_de_vie]]-Base[[#This Row],['[SC']Durée_moyenne_dépendance_avt]]+Base[[#This Row],[Risque]]</f>
        <v>83.733936338421501</v>
      </c>
      <c r="AT5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5" s="4">
        <v>62.9</v>
      </c>
      <c r="AW505" s="4">
        <f t="shared" si="14"/>
        <v>336905600000</v>
      </c>
      <c r="AX505" s="4">
        <v>15049171</v>
      </c>
      <c r="AY505" s="4">
        <f>Base[[#This Row],['[SC']Budget_total_retraites]]/Base[[#This Row],['[SC']Nombre_de_retraités]]</f>
        <v>22386.987296509556</v>
      </c>
      <c r="AZ505" s="4">
        <f>Base[[#This Row],['[SC']Budget_par_retraité]]*Base[[#This Row],['[SC']Nb_personnes_dépendantes]]</f>
        <v>0</v>
      </c>
      <c r="BA505" s="4">
        <f>Base[[#This Row],['[SC']'[Dépendance']Coût_retraite_personnes_dépendantes]]/Base[[#This Row],[Population_totale]]</f>
        <v>0</v>
      </c>
      <c r="BB50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5" s="4">
        <f>Base[[#This Row],['[SC']'[Dépendance']Gains]]-Base[[#This Row],['[SC']'[Dépendance']Coûts]]</f>
        <v>0</v>
      </c>
      <c r="BD505" s="4">
        <f>IF(Base[[#This Row],[Pathologie]]&lt;&gt;"Mort prématurée",0,Base[[#This Row],[Risque]]*Base[[#This Row],[Prévalence]]*Base[[#This Row],[Population_totale]])</f>
        <v>0</v>
      </c>
      <c r="BE505" s="4">
        <v>52.74</v>
      </c>
      <c r="BF505" s="4">
        <f>Base[[#This Row],['[SC']Âge_moyen_retraite]]-Base[[#This Row],['[SC']'[Mort_prématurée']Âge_moyen_mort précoce]]</f>
        <v>10.159999999999997</v>
      </c>
      <c r="BG505" s="4">
        <f>Base[[#This Row],[Espérance_vie]]+Base[[#This Row],['[SC']Hausse_esp_de_vie]]-Base[[#This Row],['[SC']Âge_moyen_retraite]]</f>
        <v>20.404874790994718</v>
      </c>
      <c r="BH505" s="4">
        <v>106583.42676924677</v>
      </c>
      <c r="BI505" s="4">
        <v>97601.789429271477</v>
      </c>
      <c r="BJ505" s="4">
        <v>302038.31496633729</v>
      </c>
      <c r="BK505" s="4">
        <v>117293.58934859755</v>
      </c>
      <c r="BL505" s="4">
        <v>1523999.9999999995</v>
      </c>
      <c r="BM5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5" s="4">
        <v>294804.96027377353</v>
      </c>
      <c r="BO5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5" s="4">
        <f>(Base[[#This Row],['[SC']'[Mort_prématurée']Gains]]-Base[[#This Row],['[SC']'[Mort_prématurée']Coûts]])/Base[[#This Row],[Population_totale]]</f>
        <v>0</v>
      </c>
      <c r="BQ505" s="4">
        <f>IF(Base[[#This Row],[Pathologie]]&lt;&gt;"Mort prématurée",0,Base[[#This Row],[Risque]])</f>
        <v>0</v>
      </c>
      <c r="BR505" s="4">
        <v>2680</v>
      </c>
      <c r="BS5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5" s="4">
        <f>Base[[#This Row],[Prévalence_prod]]*(1-Base[[#This Row],[Risque]])*Base[[#This Row],[Durée_arrêt]]*Base[[#This Row],[Population_emploi]]</f>
        <v>473975.82311480673</v>
      </c>
      <c r="BV505" s="4">
        <f>Base[[#This Row],['[Prod']'[Absentéisme']Total_jours_absence_avant]]-Base[[#This Row],['[Prod']'[Absentéisme']Total_jours_absence_après]]</f>
        <v>356193.91055542993</v>
      </c>
      <c r="BW505" s="4">
        <f>IF(AND(Base[[#This Row],[Pathologie]]&lt;&gt;"Dépendance",Base[[#This Row],[Pathologie]]&lt;&gt;"Mort prématurée",Base[[#This Row],[Pathologie]]&lt;&gt;"Migraine"),0.0619,0)</f>
        <v>6.1899999999999997E-2</v>
      </c>
      <c r="BX505" s="4">
        <v>254</v>
      </c>
      <c r="BY505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5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5" s="4">
        <f>Base[[#This Row],[Prévalence_prod]]*Base[[#This Row],[Présentéisme]]*Base[[#This Row],['[Prod']Jours_ouvrés]]</f>
        <v>0</v>
      </c>
      <c r="CB505" s="4">
        <f>Base[[#This Row],[Prévalence_prod]]*(1-Base[[#This Row],[Risque]])*Base[[#This Row],[Présentéisme]]*Base[[#This Row],['[Prod']Jours_ouvrés]]</f>
        <v>0</v>
      </c>
      <c r="CC505" s="4">
        <f>Base[[#This Row],['[Prod']'[Présentéisme']Jours_avant]]-Base[[#This Row],['[Prod']'[Présentéisme']Jours_après]]</f>
        <v>0</v>
      </c>
      <c r="CD505" s="4">
        <f>Base[[#This Row],['[Prod']'[Présentéisme']Jours_gagnés]]/Base[[#This Row],['[Prod']Jours_ouvrés]]</f>
        <v>0</v>
      </c>
      <c r="CE505">
        <v>9.3428413505841454E-2</v>
      </c>
      <c r="CF505">
        <v>2.1038737314955848E-2</v>
      </c>
      <c r="CG505" s="4">
        <v>11</v>
      </c>
      <c r="CH505" s="4">
        <v>0.31563677172153043</v>
      </c>
      <c r="CI505" s="4">
        <v>1.3003350630813707E-4</v>
      </c>
      <c r="CJ505" s="4">
        <f>IF(Base[[#This Row],[Secteur]]&lt;&gt;"Moyenne",Base[[#This Row],['[Prod']'[Turnover']DMC_initiale]]*(1+Base[[#This Row],['[Prod']'[Turnover']Ecart_accidents]]*Base[[#This Row],['[Prod']Impact_motifs_turnover]]),CJ488*CI488+CJ489*CI489+CJ490*CI490+CJ491*CI491+CJ492*CI492+CJ493*CI493+CJ494*CI494+CJ495*CI495+CJ496*CI496+CJ497*CI497+CJ498*CI498+CJ499*CI499+CJ500*CI500+CJ501*CI501+CJ502*CI502+CJ503*CI503+CJ504*CI504)</f>
        <v>11.073046590399091</v>
      </c>
      <c r="CK505" s="4">
        <f>1/Base[[#This Row],['[Prod']'[Turnover']DMC_initiale]]</f>
        <v>9.0909090909090912E-2</v>
      </c>
      <c r="CL505" s="4">
        <f>1/Base[[#This Row],['[Prod']'[Turnover']DMC_finale]]</f>
        <v>9.030938250246795E-2</v>
      </c>
    </row>
    <row r="506" spans="2:90" x14ac:dyDescent="0.25">
      <c r="B506" s="4" t="s">
        <v>318</v>
      </c>
      <c r="C506">
        <v>30</v>
      </c>
      <c r="D506" t="s">
        <v>85</v>
      </c>
      <c r="E506" t="s">
        <v>5</v>
      </c>
      <c r="F506" s="3">
        <v>0.42906154742678049</v>
      </c>
      <c r="G506" s="3">
        <v>6.593568911523901E-4</v>
      </c>
      <c r="H506" s="3">
        <v>6.593568911523901E-4</v>
      </c>
      <c r="I506" s="3">
        <v>0</v>
      </c>
      <c r="J506" s="3">
        <v>4.7304000000000004</v>
      </c>
      <c r="K506" s="3">
        <v>7.0000000000000007E-2</v>
      </c>
      <c r="L506" s="2">
        <f>Base[[#This Row],[Coût]]*Base[[#This Row],[Part_ménages_dépenses_santé]]</f>
        <v>0.33112800000000003</v>
      </c>
      <c r="M506" s="2">
        <v>1</v>
      </c>
      <c r="N506" s="6">
        <v>27700000</v>
      </c>
      <c r="O506" s="7">
        <f>Base[[#This Row],[Coût_salarié]]*10^9*Base[[#This Row],[Risque]]*Base[[#This Row],[Prévalence]]*Base[[#This Row],[Part_coûts_salarié]]/Base[[#This Row],[Population_emploi]]</f>
        <v>3.3818651096075409E-3</v>
      </c>
      <c r="P506">
        <v>50</v>
      </c>
      <c r="Q506">
        <v>50</v>
      </c>
      <c r="R506" s="2">
        <v>9.9999999999999978E-2</v>
      </c>
      <c r="S506" s="2">
        <v>0.33340000000000003</v>
      </c>
      <c r="T506" s="4">
        <v>6.593568911523901E-4</v>
      </c>
      <c r="U506" s="4">
        <f>IF(Bases_annexes!$F$5=0,16.6587111018772,0.77*Bases_annexes!$F$5/(IF(OR(ISBLANK('Données_d''entrée'!$E$44),'Données_d''entrée'!$E$44=0),35,'Données_d''entrée'!$E$44)*52))</f>
        <v>16.658711101877199</v>
      </c>
      <c r="V506" s="4">
        <v>45.453421187287603</v>
      </c>
      <c r="W5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6" s="4">
        <v>234.5</v>
      </c>
      <c r="Y506" s="4">
        <f>(Base[[#This Row],['[Maladies']Coûts_évités_par_salarié]]+Base[[#This Row],['[Travail']Coûts_évités_par_salarié]])/Base[[#This Row],[Budget_santé_salarié]]</f>
        <v>1.0337065950219429E-3</v>
      </c>
      <c r="Z506" s="4">
        <v>0.8</v>
      </c>
      <c r="AA506" s="4">
        <f>Base[[#This Row],[Coût]]*Base[[#This Row],[Part_société_dépenses_santé]]</f>
        <v>3.7843200000000006</v>
      </c>
      <c r="AB506" s="4">
        <v>67635124</v>
      </c>
      <c r="AC506" s="4">
        <v>82.297079063317852</v>
      </c>
      <c r="AD506" s="4">
        <v>6.593568911523901E-4</v>
      </c>
      <c r="AE506" s="4">
        <f>Base[[#This Row],['[SC']Prévalence_travail]]*Base[[#This Row],[Population_emploi]]</f>
        <v>18264.185884921208</v>
      </c>
      <c r="AF506" s="4">
        <f>Base[[#This Row],[Risque]]*Base[[#This Row],['[SC']Patients_en_emploi]]</f>
        <v>7836.4598582746557</v>
      </c>
      <c r="AG506" s="4">
        <v>60180000</v>
      </c>
      <c r="AH506" s="4">
        <f>IFERROR(Base[[#This Row],['[SC']Prestations]]/Base[[#This Row],['[SC']Patients_en_emploi]],0)</f>
        <v>3294.9730351619019</v>
      </c>
      <c r="AI506" s="4">
        <v>51.7</v>
      </c>
      <c r="AJ5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6" s="4">
        <f>Base[[#This Row],['[SC']'[Travail']Coûts_évités]]/Base[[#This Row],[Population_emploi]]</f>
        <v>0.93216331856114254</v>
      </c>
      <c r="AL506" s="4">
        <f>Base[[#This Row],[Coût_société]]*10^9*Base[[#This Row],[Risque]]*Base[[#This Row],[Prévalence]]*Base[[#This Row],[Part_coûts_salarié]]/Base[[#This Row],[Population_emploi]]</f>
        <v>3.8649886966943332E-2</v>
      </c>
      <c r="AM506" s="4">
        <f>IF(Base[[#This Row],[Pathologie]]&lt;&gt;"Dépendance",0,14909.24243952)</f>
        <v>0</v>
      </c>
      <c r="AN506" s="4">
        <f>IF(Base[[#This Row],[Pathologie]]&lt;&gt;"Dépendance",0,1316000)</f>
        <v>0</v>
      </c>
      <c r="AO506" s="4">
        <f>IF(Base[[#This Row],[Pathologie]]&lt;&gt;"Dépendance",0,Base[[#This Row],['[SC']Coût_personne_dépendante]]*Base[[#This Row],['[SC']Nb_personnes_dépendantes]])</f>
        <v>0</v>
      </c>
      <c r="AP506" s="4">
        <f>IF(Base[[#This Row],[Pathologie]]&lt;&gt;"Dépendance",0,Base[[#This Row],['[SC']Coût_total_dépendance]]/Base[[#This Row],[Population_totale]])</f>
        <v>0</v>
      </c>
      <c r="AQ506" s="4">
        <f>IF(Base[[#This Row],[Pathologie]]&lt;&gt;"Dépendance",0,4.5)</f>
        <v>0</v>
      </c>
      <c r="AR506" s="4">
        <v>1.0077957276768601</v>
      </c>
      <c r="AS506" s="4">
        <f>Base[[#This Row],[Espérance_vie]]+Base[[#This Row],['[SC']Hausse_esp_de_vie]]-Base[[#This Row],['[SC']Durée_moyenne_dépendance_avt]]+Base[[#This Row],[Risque]]</f>
        <v>83.733936338421501</v>
      </c>
      <c r="AT5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6" s="4">
        <v>62.9</v>
      </c>
      <c r="AW506" s="4">
        <f t="shared" si="14"/>
        <v>336905600000</v>
      </c>
      <c r="AX506" s="4">
        <v>15049171</v>
      </c>
      <c r="AY506" s="4">
        <f>Base[[#This Row],['[SC']Budget_total_retraites]]/Base[[#This Row],['[SC']Nombre_de_retraités]]</f>
        <v>22386.987296509556</v>
      </c>
      <c r="AZ506" s="4">
        <f>Base[[#This Row],['[SC']Budget_par_retraité]]*Base[[#This Row],['[SC']Nb_personnes_dépendantes]]</f>
        <v>0</v>
      </c>
      <c r="BA506" s="4">
        <f>Base[[#This Row],['[SC']'[Dépendance']Coût_retraite_personnes_dépendantes]]/Base[[#This Row],[Population_totale]]</f>
        <v>0</v>
      </c>
      <c r="BB50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6" s="4">
        <f>Base[[#This Row],['[SC']'[Dépendance']Gains]]-Base[[#This Row],['[SC']'[Dépendance']Coûts]]</f>
        <v>0</v>
      </c>
      <c r="BD506" s="4">
        <f>IF(Base[[#This Row],[Pathologie]]&lt;&gt;"Mort prématurée",0,Base[[#This Row],[Risque]]*Base[[#This Row],[Prévalence]]*Base[[#This Row],[Population_totale]])</f>
        <v>0</v>
      </c>
      <c r="BE506" s="4">
        <v>52.74</v>
      </c>
      <c r="BF506" s="4">
        <f>Base[[#This Row],['[SC']Âge_moyen_retraite]]-Base[[#This Row],['[SC']'[Mort_prématurée']Âge_moyen_mort précoce]]</f>
        <v>10.159999999999997</v>
      </c>
      <c r="BG506" s="4">
        <f>Base[[#This Row],[Espérance_vie]]+Base[[#This Row],['[SC']Hausse_esp_de_vie]]-Base[[#This Row],['[SC']Âge_moyen_retraite]]</f>
        <v>20.404874790994718</v>
      </c>
      <c r="BH506" s="4">
        <v>106583.42676924677</v>
      </c>
      <c r="BI506" s="4">
        <v>97601.789429271477</v>
      </c>
      <c r="BJ506" s="4">
        <v>302038.31496633729</v>
      </c>
      <c r="BK506" s="4">
        <v>117293.58934859755</v>
      </c>
      <c r="BL506" s="4">
        <v>1523999.9999999995</v>
      </c>
      <c r="BM5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6" s="4">
        <v>294804.96027377353</v>
      </c>
      <c r="BO5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6" s="4">
        <f>(Base[[#This Row],['[SC']'[Mort_prématurée']Gains]]-Base[[#This Row],['[SC']'[Mort_prématurée']Coûts]])/Base[[#This Row],[Population_totale]]</f>
        <v>0</v>
      </c>
      <c r="BQ506" s="4">
        <f>IF(Base[[#This Row],[Pathologie]]&lt;&gt;"Mort prématurée",0,Base[[#This Row],[Risque]])</f>
        <v>0</v>
      </c>
      <c r="BR506" s="4">
        <v>2680</v>
      </c>
      <c r="BS5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6" s="4">
        <f>Base[[#This Row],[Prévalence_prod]]*(1-Base[[#This Row],[Risque]])*Base[[#This Row],[Durée_arrêt]]*Base[[#This Row],[Population_emploi]]</f>
        <v>473975.82311480673</v>
      </c>
      <c r="BV506" s="4">
        <f>Base[[#This Row],['[Prod']'[Absentéisme']Total_jours_absence_avant]]-Base[[#This Row],['[Prod']'[Absentéisme']Total_jours_absence_après]]</f>
        <v>356193.91055542993</v>
      </c>
      <c r="BW506" s="4">
        <f>IF(AND(Base[[#This Row],[Pathologie]]&lt;&gt;"Dépendance",Base[[#This Row],[Pathologie]]&lt;&gt;"Mort prématurée",Base[[#This Row],[Pathologie]]&lt;&gt;"Migraine"),0.0619,0)</f>
        <v>6.1899999999999997E-2</v>
      </c>
      <c r="BX506" s="4">
        <v>254</v>
      </c>
      <c r="BY506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6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6" s="4">
        <f>Base[[#This Row],[Prévalence_prod]]*Base[[#This Row],[Présentéisme]]*Base[[#This Row],['[Prod']Jours_ouvrés]]</f>
        <v>0</v>
      </c>
      <c r="CB506" s="4">
        <f>Base[[#This Row],[Prévalence_prod]]*(1-Base[[#This Row],[Risque]])*Base[[#This Row],[Présentéisme]]*Base[[#This Row],['[Prod']Jours_ouvrés]]</f>
        <v>0</v>
      </c>
      <c r="CC506" s="4">
        <f>Base[[#This Row],['[Prod']'[Présentéisme']Jours_avant]]-Base[[#This Row],['[Prod']'[Présentéisme']Jours_après]]</f>
        <v>0</v>
      </c>
      <c r="CD506" s="4">
        <f>Base[[#This Row],['[Prod']'[Présentéisme']Jours_gagnés]]/Base[[#This Row],['[Prod']Jours_ouvrés]]</f>
        <v>0</v>
      </c>
      <c r="CE506">
        <v>9.3428413505841454E-2</v>
      </c>
      <c r="CF506">
        <v>2.1038737314955848E-2</v>
      </c>
      <c r="CG506" s="4">
        <v>11</v>
      </c>
      <c r="CH506" s="4">
        <v>1.1688035738877327</v>
      </c>
      <c r="CI506" s="4">
        <v>9.6557438521367826E-3</v>
      </c>
      <c r="CJ506" s="4">
        <f>IF(Base[[#This Row],[Secteur]]&lt;&gt;"Moyenne",Base[[#This Row],['[Prod']'[Turnover']DMC_initiale]]*(1+Base[[#This Row],['[Prod']'[Turnover']Ecart_accidents]]*Base[[#This Row],['[Prod']Impact_motifs_turnover]]),CJ489*CI489+CJ490*CI490+CJ491*CI491+CJ492*CI492+CJ493*CI493+CJ494*CI494+CJ495*CI495+CJ496*CI496+CJ497*CI497+CJ498*CI498+CJ499*CI499+CJ500*CI500+CJ501*CI501+CJ502*CI502+CJ503*CI503+CJ504*CI504+CJ505*CI505)</f>
        <v>11.270491665001861</v>
      </c>
      <c r="CK506" s="4">
        <f>1/Base[[#This Row],['[Prod']'[Turnover']DMC_initiale]]</f>
        <v>9.0909090909090912E-2</v>
      </c>
      <c r="CL506" s="4">
        <f>1/Base[[#This Row],['[Prod']'[Turnover']DMC_finale]]</f>
        <v>8.8727273815861069E-2</v>
      </c>
    </row>
    <row r="507" spans="2:90" x14ac:dyDescent="0.25">
      <c r="B507" s="4" t="s">
        <v>319</v>
      </c>
      <c r="C507">
        <v>30</v>
      </c>
      <c r="D507" t="s">
        <v>85</v>
      </c>
      <c r="E507" t="s">
        <v>5</v>
      </c>
      <c r="F507" s="3">
        <v>0.42906154742678049</v>
      </c>
      <c r="G507" s="3">
        <v>6.593568911523901E-4</v>
      </c>
      <c r="H507" s="3">
        <v>6.593568911523901E-4</v>
      </c>
      <c r="I507" s="3">
        <v>0</v>
      </c>
      <c r="J507" s="3">
        <v>4.7304000000000004</v>
      </c>
      <c r="K507" s="3">
        <v>7.0000000000000007E-2</v>
      </c>
      <c r="L507" s="2">
        <f>Base[[#This Row],[Coût]]*Base[[#This Row],[Part_ménages_dépenses_santé]]</f>
        <v>0.33112800000000003</v>
      </c>
      <c r="M507" s="2">
        <v>1</v>
      </c>
      <c r="N507" s="6">
        <v>27700000</v>
      </c>
      <c r="O507" s="7">
        <f>Base[[#This Row],[Coût_salarié]]*10^9*Base[[#This Row],[Risque]]*Base[[#This Row],[Prévalence]]*Base[[#This Row],[Part_coûts_salarié]]/Base[[#This Row],[Population_emploi]]</f>
        <v>3.3818651096075409E-3</v>
      </c>
      <c r="P507">
        <v>50</v>
      </c>
      <c r="Q507">
        <v>50</v>
      </c>
      <c r="R507" s="2">
        <v>9.9999999999999978E-2</v>
      </c>
      <c r="S507" s="2">
        <v>0.33340000000000003</v>
      </c>
      <c r="T507" s="4">
        <v>6.593568911523901E-4</v>
      </c>
      <c r="U507" s="4">
        <f>IF(Bases_annexes!$F$5=0,16.6587111018772,0.77*Bases_annexes!$F$5/(IF(OR(ISBLANK('Données_d''entrée'!$E$44),'Données_d''entrée'!$E$44=0),35,'Données_d''entrée'!$E$44)*52))</f>
        <v>16.658711101877199</v>
      </c>
      <c r="V507" s="4">
        <v>45.453421187287603</v>
      </c>
      <c r="W5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7" s="4">
        <v>234.5</v>
      </c>
      <c r="Y507" s="4">
        <f>(Base[[#This Row],['[Maladies']Coûts_évités_par_salarié]]+Base[[#This Row],['[Travail']Coûts_évités_par_salarié]])/Base[[#This Row],[Budget_santé_salarié]]</f>
        <v>1.0337065950219429E-3</v>
      </c>
      <c r="Z507" s="4">
        <v>0.8</v>
      </c>
      <c r="AA507" s="4">
        <f>Base[[#This Row],[Coût]]*Base[[#This Row],[Part_société_dépenses_santé]]</f>
        <v>3.7843200000000006</v>
      </c>
      <c r="AB507" s="4">
        <v>67635124</v>
      </c>
      <c r="AC507" s="4">
        <v>82.297079063317852</v>
      </c>
      <c r="AD507" s="4">
        <v>6.593568911523901E-4</v>
      </c>
      <c r="AE507" s="4">
        <f>Base[[#This Row],['[SC']Prévalence_travail]]*Base[[#This Row],[Population_emploi]]</f>
        <v>18264.185884921208</v>
      </c>
      <c r="AF507" s="4">
        <f>Base[[#This Row],[Risque]]*Base[[#This Row],['[SC']Patients_en_emploi]]</f>
        <v>7836.4598582746557</v>
      </c>
      <c r="AG507" s="4">
        <v>60180000</v>
      </c>
      <c r="AH507" s="4">
        <f>IFERROR(Base[[#This Row],['[SC']Prestations]]/Base[[#This Row],['[SC']Patients_en_emploi]],0)</f>
        <v>3294.9730351619019</v>
      </c>
      <c r="AI507" s="4">
        <v>51.7</v>
      </c>
      <c r="AJ5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7" s="4">
        <f>Base[[#This Row],['[SC']'[Travail']Coûts_évités]]/Base[[#This Row],[Population_emploi]]</f>
        <v>0.93216331856114254</v>
      </c>
      <c r="AL507" s="4">
        <f>Base[[#This Row],[Coût_société]]*10^9*Base[[#This Row],[Risque]]*Base[[#This Row],[Prévalence]]*Base[[#This Row],[Part_coûts_salarié]]/Base[[#This Row],[Population_emploi]]</f>
        <v>3.8649886966943332E-2</v>
      </c>
      <c r="AM507" s="4">
        <f>IF(Base[[#This Row],[Pathologie]]&lt;&gt;"Dépendance",0,14909.24243952)</f>
        <v>0</v>
      </c>
      <c r="AN507" s="4">
        <f>IF(Base[[#This Row],[Pathologie]]&lt;&gt;"Dépendance",0,1316000)</f>
        <v>0</v>
      </c>
      <c r="AO507" s="4">
        <f>IF(Base[[#This Row],[Pathologie]]&lt;&gt;"Dépendance",0,Base[[#This Row],['[SC']Coût_personne_dépendante]]*Base[[#This Row],['[SC']Nb_personnes_dépendantes]])</f>
        <v>0</v>
      </c>
      <c r="AP507" s="4">
        <f>IF(Base[[#This Row],[Pathologie]]&lt;&gt;"Dépendance",0,Base[[#This Row],['[SC']Coût_total_dépendance]]/Base[[#This Row],[Population_totale]])</f>
        <v>0</v>
      </c>
      <c r="AQ507" s="4">
        <f>IF(Base[[#This Row],[Pathologie]]&lt;&gt;"Dépendance",0,4.5)</f>
        <v>0</v>
      </c>
      <c r="AR507" s="4">
        <v>1.0077957276768601</v>
      </c>
      <c r="AS507" s="4">
        <f>Base[[#This Row],[Espérance_vie]]+Base[[#This Row],['[SC']Hausse_esp_de_vie]]-Base[[#This Row],['[SC']Durée_moyenne_dépendance_avt]]+Base[[#This Row],[Risque]]</f>
        <v>83.733936338421501</v>
      </c>
      <c r="AT5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7" s="4">
        <v>62.9</v>
      </c>
      <c r="AW507" s="4">
        <f t="shared" si="14"/>
        <v>336905600000</v>
      </c>
      <c r="AX507" s="4">
        <v>15049171</v>
      </c>
      <c r="AY507" s="4">
        <f>Base[[#This Row],['[SC']Budget_total_retraites]]/Base[[#This Row],['[SC']Nombre_de_retraités]]</f>
        <v>22386.987296509556</v>
      </c>
      <c r="AZ507" s="4">
        <f>Base[[#This Row],['[SC']Budget_par_retraité]]*Base[[#This Row],['[SC']Nb_personnes_dépendantes]]</f>
        <v>0</v>
      </c>
      <c r="BA507" s="4">
        <f>Base[[#This Row],['[SC']'[Dépendance']Coût_retraite_personnes_dépendantes]]/Base[[#This Row],[Population_totale]]</f>
        <v>0</v>
      </c>
      <c r="BB50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7" s="4">
        <f>Base[[#This Row],['[SC']'[Dépendance']Gains]]-Base[[#This Row],['[SC']'[Dépendance']Coûts]]</f>
        <v>0</v>
      </c>
      <c r="BD507" s="4">
        <f>IF(Base[[#This Row],[Pathologie]]&lt;&gt;"Mort prématurée",0,Base[[#This Row],[Risque]]*Base[[#This Row],[Prévalence]]*Base[[#This Row],[Population_totale]])</f>
        <v>0</v>
      </c>
      <c r="BE507" s="4">
        <v>52.74</v>
      </c>
      <c r="BF507" s="4">
        <f>Base[[#This Row],['[SC']Âge_moyen_retraite]]-Base[[#This Row],['[SC']'[Mort_prématurée']Âge_moyen_mort précoce]]</f>
        <v>10.159999999999997</v>
      </c>
      <c r="BG507" s="4">
        <f>Base[[#This Row],[Espérance_vie]]+Base[[#This Row],['[SC']Hausse_esp_de_vie]]-Base[[#This Row],['[SC']Âge_moyen_retraite]]</f>
        <v>20.404874790994718</v>
      </c>
      <c r="BH507" s="4">
        <v>106583.42676924677</v>
      </c>
      <c r="BI507" s="4">
        <v>97601.789429271477</v>
      </c>
      <c r="BJ507" s="4">
        <v>302038.31496633729</v>
      </c>
      <c r="BK507" s="4">
        <v>117293.58934859755</v>
      </c>
      <c r="BL507" s="4">
        <v>1523999.9999999995</v>
      </c>
      <c r="BM5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7" s="4">
        <v>294804.96027377353</v>
      </c>
      <c r="BO5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7" s="4">
        <f>(Base[[#This Row],['[SC']'[Mort_prématurée']Gains]]-Base[[#This Row],['[SC']'[Mort_prématurée']Coûts]])/Base[[#This Row],[Population_totale]]</f>
        <v>0</v>
      </c>
      <c r="BQ507" s="4">
        <f>IF(Base[[#This Row],[Pathologie]]&lt;&gt;"Mort prématurée",0,Base[[#This Row],[Risque]])</f>
        <v>0</v>
      </c>
      <c r="BR507" s="4">
        <v>2680</v>
      </c>
      <c r="BS5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7" s="4">
        <f>Base[[#This Row],[Prévalence_prod]]*(1-Base[[#This Row],[Risque]])*Base[[#This Row],[Durée_arrêt]]*Base[[#This Row],[Population_emploi]]</f>
        <v>473975.82311480673</v>
      </c>
      <c r="BV507" s="4">
        <f>Base[[#This Row],['[Prod']'[Absentéisme']Total_jours_absence_avant]]-Base[[#This Row],['[Prod']'[Absentéisme']Total_jours_absence_après]]</f>
        <v>356193.91055542993</v>
      </c>
      <c r="BW507" s="4">
        <f>IF(AND(Base[[#This Row],[Pathologie]]&lt;&gt;"Dépendance",Base[[#This Row],[Pathologie]]&lt;&gt;"Mort prématurée",Base[[#This Row],[Pathologie]]&lt;&gt;"Migraine"),0.0619,0)</f>
        <v>6.1899999999999997E-2</v>
      </c>
      <c r="BX507" s="4">
        <v>254</v>
      </c>
      <c r="BY50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7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7" s="4">
        <f>Base[[#This Row],[Prévalence_prod]]*Base[[#This Row],[Présentéisme]]*Base[[#This Row],['[Prod']Jours_ouvrés]]</f>
        <v>0</v>
      </c>
      <c r="CB507" s="4">
        <f>Base[[#This Row],[Prévalence_prod]]*(1-Base[[#This Row],[Risque]])*Base[[#This Row],[Présentéisme]]*Base[[#This Row],['[Prod']Jours_ouvrés]]</f>
        <v>0</v>
      </c>
      <c r="CC507" s="4">
        <f>Base[[#This Row],['[Prod']'[Présentéisme']Jours_avant]]-Base[[#This Row],['[Prod']'[Présentéisme']Jours_après]]</f>
        <v>0</v>
      </c>
      <c r="CD507" s="4">
        <f>Base[[#This Row],['[Prod']'[Présentéisme']Jours_gagnés]]/Base[[#This Row],['[Prod']Jours_ouvrés]]</f>
        <v>0</v>
      </c>
      <c r="CE507">
        <v>9.3428413505841454E-2</v>
      </c>
      <c r="CF507">
        <v>2.1038737314955848E-2</v>
      </c>
      <c r="CG507" s="4">
        <v>11</v>
      </c>
      <c r="CH507" s="4">
        <v>0.52204401140486179</v>
      </c>
      <c r="CI507" s="4">
        <v>1.2443904150185675E-2</v>
      </c>
      <c r="CJ507" s="4">
        <f>IF(Base[[#This Row],[Secteur]]&lt;&gt;"Moyenne",Base[[#This Row],['[Prod']'[Turnover']DMC_initiale]]*(1+Base[[#This Row],['[Prod']'[Turnover']Ecart_accidents]]*Base[[#This Row],['[Prod']Impact_motifs_turnover]]),CJ490*CI490+CJ491*CI491+CJ492*CI492+CJ493*CI493+CJ494*CI494+CJ495*CI495+CJ496*CI496+CJ497*CI497+CJ498*CI498+CJ499*CI499+CJ500*CI500+CJ501*CI501+CJ502*CI502+CJ503*CI503+CJ504*CI504+CJ505*CI505+CJ506*CI506)</f>
        <v>11.120814615050721</v>
      </c>
      <c r="CK507" s="4">
        <f>1/Base[[#This Row],['[Prod']'[Turnover']DMC_initiale]]</f>
        <v>9.0909090909090912E-2</v>
      </c>
      <c r="CL507" s="4">
        <f>1/Base[[#This Row],['[Prod']'[Turnover']DMC_finale]]</f>
        <v>8.9921470199369843E-2</v>
      </c>
    </row>
    <row r="508" spans="2:90" x14ac:dyDescent="0.25">
      <c r="B508" s="4" t="s">
        <v>320</v>
      </c>
      <c r="C508">
        <v>30</v>
      </c>
      <c r="D508" t="s">
        <v>85</v>
      </c>
      <c r="E508" t="s">
        <v>5</v>
      </c>
      <c r="F508" s="3">
        <v>0.42906154742678049</v>
      </c>
      <c r="G508" s="3">
        <v>6.593568911523901E-4</v>
      </c>
      <c r="H508" s="3">
        <v>6.593568911523901E-4</v>
      </c>
      <c r="I508" s="3">
        <v>0</v>
      </c>
      <c r="J508" s="3">
        <v>4.7304000000000004</v>
      </c>
      <c r="K508" s="3">
        <v>7.0000000000000007E-2</v>
      </c>
      <c r="L508" s="2">
        <f>Base[[#This Row],[Coût]]*Base[[#This Row],[Part_ménages_dépenses_santé]]</f>
        <v>0.33112800000000003</v>
      </c>
      <c r="M508" s="2">
        <v>1</v>
      </c>
      <c r="N508" s="6">
        <v>27700000</v>
      </c>
      <c r="O508" s="7">
        <f>Base[[#This Row],[Coût_salarié]]*10^9*Base[[#This Row],[Risque]]*Base[[#This Row],[Prévalence]]*Base[[#This Row],[Part_coûts_salarié]]/Base[[#This Row],[Population_emploi]]</f>
        <v>3.3818651096075409E-3</v>
      </c>
      <c r="P508">
        <v>50</v>
      </c>
      <c r="Q508">
        <v>50</v>
      </c>
      <c r="R508" s="2">
        <v>9.9999999999999978E-2</v>
      </c>
      <c r="S508" s="2">
        <v>0.33340000000000003</v>
      </c>
      <c r="T508" s="4">
        <v>6.593568911523901E-4</v>
      </c>
      <c r="U508" s="4">
        <f>IF(Bases_annexes!$F$5=0,16.6587111018772,0.77*Bases_annexes!$F$5/(IF(OR(ISBLANK('Données_d''entrée'!$E$44),'Données_d''entrée'!$E$44=0),35,'Données_d''entrée'!$E$44)*52))</f>
        <v>16.658711101877199</v>
      </c>
      <c r="V508" s="4">
        <v>45.453421187287603</v>
      </c>
      <c r="W5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8" s="4">
        <v>234.5</v>
      </c>
      <c r="Y508" s="4">
        <f>(Base[[#This Row],['[Maladies']Coûts_évités_par_salarié]]+Base[[#This Row],['[Travail']Coûts_évités_par_salarié]])/Base[[#This Row],[Budget_santé_salarié]]</f>
        <v>1.0337065950219429E-3</v>
      </c>
      <c r="Z508" s="4">
        <v>0.8</v>
      </c>
      <c r="AA508" s="4">
        <f>Base[[#This Row],[Coût]]*Base[[#This Row],[Part_société_dépenses_santé]]</f>
        <v>3.7843200000000006</v>
      </c>
      <c r="AB508" s="4">
        <v>67635124</v>
      </c>
      <c r="AC508" s="4">
        <v>82.297079063317852</v>
      </c>
      <c r="AD508" s="4">
        <v>6.593568911523901E-4</v>
      </c>
      <c r="AE508" s="4">
        <f>Base[[#This Row],['[SC']Prévalence_travail]]*Base[[#This Row],[Population_emploi]]</f>
        <v>18264.185884921208</v>
      </c>
      <c r="AF508" s="4">
        <f>Base[[#This Row],[Risque]]*Base[[#This Row],['[SC']Patients_en_emploi]]</f>
        <v>7836.4598582746557</v>
      </c>
      <c r="AG508" s="4">
        <v>60180000</v>
      </c>
      <c r="AH508" s="4">
        <f>IFERROR(Base[[#This Row],['[SC']Prestations]]/Base[[#This Row],['[SC']Patients_en_emploi]],0)</f>
        <v>3294.9730351619019</v>
      </c>
      <c r="AI508" s="4">
        <v>51.7</v>
      </c>
      <c r="AJ5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8" s="4">
        <f>Base[[#This Row],['[SC']'[Travail']Coûts_évités]]/Base[[#This Row],[Population_emploi]]</f>
        <v>0.93216331856114254</v>
      </c>
      <c r="AL508" s="4">
        <f>Base[[#This Row],[Coût_société]]*10^9*Base[[#This Row],[Risque]]*Base[[#This Row],[Prévalence]]*Base[[#This Row],[Part_coûts_salarié]]/Base[[#This Row],[Population_emploi]]</f>
        <v>3.8649886966943332E-2</v>
      </c>
      <c r="AM508" s="4">
        <f>IF(Base[[#This Row],[Pathologie]]&lt;&gt;"Dépendance",0,14909.24243952)</f>
        <v>0</v>
      </c>
      <c r="AN508" s="4">
        <f>IF(Base[[#This Row],[Pathologie]]&lt;&gt;"Dépendance",0,1316000)</f>
        <v>0</v>
      </c>
      <c r="AO508" s="4">
        <f>IF(Base[[#This Row],[Pathologie]]&lt;&gt;"Dépendance",0,Base[[#This Row],['[SC']Coût_personne_dépendante]]*Base[[#This Row],['[SC']Nb_personnes_dépendantes]])</f>
        <v>0</v>
      </c>
      <c r="AP508" s="4">
        <f>IF(Base[[#This Row],[Pathologie]]&lt;&gt;"Dépendance",0,Base[[#This Row],['[SC']Coût_total_dépendance]]/Base[[#This Row],[Population_totale]])</f>
        <v>0</v>
      </c>
      <c r="AQ508" s="4">
        <f>IF(Base[[#This Row],[Pathologie]]&lt;&gt;"Dépendance",0,4.5)</f>
        <v>0</v>
      </c>
      <c r="AR508" s="4">
        <v>1.0077957276768601</v>
      </c>
      <c r="AS508" s="4">
        <f>Base[[#This Row],[Espérance_vie]]+Base[[#This Row],['[SC']Hausse_esp_de_vie]]-Base[[#This Row],['[SC']Durée_moyenne_dépendance_avt]]+Base[[#This Row],[Risque]]</f>
        <v>83.733936338421501</v>
      </c>
      <c r="AT5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8" s="4">
        <v>62.9</v>
      </c>
      <c r="AW508" s="4">
        <f t="shared" si="14"/>
        <v>336905600000</v>
      </c>
      <c r="AX508" s="4">
        <v>15049171</v>
      </c>
      <c r="AY508" s="4">
        <f>Base[[#This Row],['[SC']Budget_total_retraites]]/Base[[#This Row],['[SC']Nombre_de_retraités]]</f>
        <v>22386.987296509556</v>
      </c>
      <c r="AZ508" s="4">
        <f>Base[[#This Row],['[SC']Budget_par_retraité]]*Base[[#This Row],['[SC']Nb_personnes_dépendantes]]</f>
        <v>0</v>
      </c>
      <c r="BA508" s="4">
        <f>Base[[#This Row],['[SC']'[Dépendance']Coût_retraite_personnes_dépendantes]]/Base[[#This Row],[Population_totale]]</f>
        <v>0</v>
      </c>
      <c r="BB50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8" s="4">
        <f>Base[[#This Row],['[SC']'[Dépendance']Gains]]-Base[[#This Row],['[SC']'[Dépendance']Coûts]]</f>
        <v>0</v>
      </c>
      <c r="BD508" s="4">
        <f>IF(Base[[#This Row],[Pathologie]]&lt;&gt;"Mort prématurée",0,Base[[#This Row],[Risque]]*Base[[#This Row],[Prévalence]]*Base[[#This Row],[Population_totale]])</f>
        <v>0</v>
      </c>
      <c r="BE508" s="4">
        <v>52.74</v>
      </c>
      <c r="BF508" s="4">
        <f>Base[[#This Row],['[SC']Âge_moyen_retraite]]-Base[[#This Row],['[SC']'[Mort_prématurée']Âge_moyen_mort précoce]]</f>
        <v>10.159999999999997</v>
      </c>
      <c r="BG508" s="4">
        <f>Base[[#This Row],[Espérance_vie]]+Base[[#This Row],['[SC']Hausse_esp_de_vie]]-Base[[#This Row],['[SC']Âge_moyen_retraite]]</f>
        <v>20.404874790994718</v>
      </c>
      <c r="BH508" s="4">
        <v>106583.42676924677</v>
      </c>
      <c r="BI508" s="4">
        <v>97601.789429271477</v>
      </c>
      <c r="BJ508" s="4">
        <v>302038.31496633729</v>
      </c>
      <c r="BK508" s="4">
        <v>117293.58934859755</v>
      </c>
      <c r="BL508" s="4">
        <v>1523999.9999999995</v>
      </c>
      <c r="BM5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8" s="4">
        <v>294804.96027377353</v>
      </c>
      <c r="BO5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8" s="4">
        <f>(Base[[#This Row],['[SC']'[Mort_prématurée']Gains]]-Base[[#This Row],['[SC']'[Mort_prématurée']Coûts]])/Base[[#This Row],[Population_totale]]</f>
        <v>0</v>
      </c>
      <c r="BQ508" s="4">
        <f>IF(Base[[#This Row],[Pathologie]]&lt;&gt;"Mort prématurée",0,Base[[#This Row],[Risque]])</f>
        <v>0</v>
      </c>
      <c r="BR508" s="4">
        <v>2680</v>
      </c>
      <c r="BS5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8" s="4">
        <f>Base[[#This Row],[Prévalence_prod]]*(1-Base[[#This Row],[Risque]])*Base[[#This Row],[Durée_arrêt]]*Base[[#This Row],[Population_emploi]]</f>
        <v>473975.82311480673</v>
      </c>
      <c r="BV508" s="4">
        <f>Base[[#This Row],['[Prod']'[Absentéisme']Total_jours_absence_avant]]-Base[[#This Row],['[Prod']'[Absentéisme']Total_jours_absence_après]]</f>
        <v>356193.91055542993</v>
      </c>
      <c r="BW508" s="4">
        <f>IF(AND(Base[[#This Row],[Pathologie]]&lt;&gt;"Dépendance",Base[[#This Row],[Pathologie]]&lt;&gt;"Mort prématurée",Base[[#This Row],[Pathologie]]&lt;&gt;"Migraine"),0.0619,0)</f>
        <v>6.1899999999999997E-2</v>
      </c>
      <c r="BX508" s="4">
        <v>254</v>
      </c>
      <c r="BY50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8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8" s="4">
        <f>Base[[#This Row],[Prévalence_prod]]*Base[[#This Row],[Présentéisme]]*Base[[#This Row],['[Prod']Jours_ouvrés]]</f>
        <v>0</v>
      </c>
      <c r="CB508" s="4">
        <f>Base[[#This Row],[Prévalence_prod]]*(1-Base[[#This Row],[Risque]])*Base[[#This Row],[Présentéisme]]*Base[[#This Row],['[Prod']Jours_ouvrés]]</f>
        <v>0</v>
      </c>
      <c r="CC508" s="4">
        <f>Base[[#This Row],['[Prod']'[Présentéisme']Jours_avant]]-Base[[#This Row],['[Prod']'[Présentéisme']Jours_après]]</f>
        <v>0</v>
      </c>
      <c r="CD508" s="4">
        <f>Base[[#This Row],['[Prod']'[Présentéisme']Jours_gagnés]]/Base[[#This Row],['[Prod']Jours_ouvrés]]</f>
        <v>0</v>
      </c>
      <c r="CE508">
        <v>9.3428413505841454E-2</v>
      </c>
      <c r="CF508">
        <v>2.1038737314955848E-2</v>
      </c>
      <c r="CG508" s="4">
        <v>11</v>
      </c>
      <c r="CH508" s="4">
        <v>0.49446424657188709</v>
      </c>
      <c r="CI508" s="4">
        <v>1.0795805058605798E-2</v>
      </c>
      <c r="CJ508" s="4">
        <f>IF(Base[[#This Row],[Secteur]]&lt;&gt;"Moyenne",Base[[#This Row],['[Prod']'[Turnover']DMC_initiale]]*(1+Base[[#This Row],['[Prod']'[Turnover']Ecart_accidents]]*Base[[#This Row],['[Prod']Impact_motifs_turnover]]),CJ491*CI491+CJ492*CI492+CJ493*CI493+CJ494*CI494+CJ495*CI495+CJ496*CI496+CJ497*CI497+CJ498*CI498+CJ499*CI499+CJ500*CI500+CJ501*CI501+CJ502*CI502+CJ503*CI503+CJ504*CI504+CJ505*CI505+CJ506*CI506+CJ507*CI507)</f>
        <v>11.114431937347899</v>
      </c>
      <c r="CK508" s="4">
        <f>1/Base[[#This Row],['[Prod']'[Turnover']DMC_initiale]]</f>
        <v>9.0909090909090912E-2</v>
      </c>
      <c r="CL508" s="4">
        <f>1/Base[[#This Row],['[Prod']'[Turnover']DMC_finale]]</f>
        <v>8.9973109344409538E-2</v>
      </c>
    </row>
    <row r="509" spans="2:90" x14ac:dyDescent="0.25">
      <c r="B509" s="4" t="s">
        <v>321</v>
      </c>
      <c r="C509">
        <v>30</v>
      </c>
      <c r="D509" t="s">
        <v>85</v>
      </c>
      <c r="E509" t="s">
        <v>5</v>
      </c>
      <c r="F509" s="3">
        <v>0.42906154742678049</v>
      </c>
      <c r="G509" s="3">
        <v>6.593568911523901E-4</v>
      </c>
      <c r="H509" s="3">
        <v>6.593568911523901E-4</v>
      </c>
      <c r="I509" s="3">
        <v>0</v>
      </c>
      <c r="J509" s="3">
        <v>4.7304000000000004</v>
      </c>
      <c r="K509" s="3">
        <v>7.0000000000000007E-2</v>
      </c>
      <c r="L509" s="2">
        <f>Base[[#This Row],[Coût]]*Base[[#This Row],[Part_ménages_dépenses_santé]]</f>
        <v>0.33112800000000003</v>
      </c>
      <c r="M509" s="2">
        <v>1</v>
      </c>
      <c r="N509" s="6">
        <v>27700000</v>
      </c>
      <c r="O509" s="7">
        <f>Base[[#This Row],[Coût_salarié]]*10^9*Base[[#This Row],[Risque]]*Base[[#This Row],[Prévalence]]*Base[[#This Row],[Part_coûts_salarié]]/Base[[#This Row],[Population_emploi]]</f>
        <v>3.3818651096075409E-3</v>
      </c>
      <c r="P509">
        <v>50</v>
      </c>
      <c r="Q509">
        <v>50</v>
      </c>
      <c r="R509" s="2">
        <v>9.9999999999999978E-2</v>
      </c>
      <c r="S509" s="2">
        <v>0.33340000000000003</v>
      </c>
      <c r="T509" s="4">
        <v>6.593568911523901E-4</v>
      </c>
      <c r="U509" s="4">
        <f>IF(Bases_annexes!$F$5=0,16.6587111018772,0.77*Bases_annexes!$F$5/(IF(OR(ISBLANK('Données_d''entrée'!$E$44),'Données_d''entrée'!$E$44=0),35,'Données_d''entrée'!$E$44)*52))</f>
        <v>16.658711101877199</v>
      </c>
      <c r="V509" s="4">
        <v>45.453421187287603</v>
      </c>
      <c r="W5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09" s="4">
        <v>234.5</v>
      </c>
      <c r="Y509" s="4">
        <f>(Base[[#This Row],['[Maladies']Coûts_évités_par_salarié]]+Base[[#This Row],['[Travail']Coûts_évités_par_salarié]])/Base[[#This Row],[Budget_santé_salarié]]</f>
        <v>1.0337065950219429E-3</v>
      </c>
      <c r="Z509" s="4">
        <v>0.8</v>
      </c>
      <c r="AA509" s="4">
        <f>Base[[#This Row],[Coût]]*Base[[#This Row],[Part_société_dépenses_santé]]</f>
        <v>3.7843200000000006</v>
      </c>
      <c r="AB509" s="4">
        <v>67635124</v>
      </c>
      <c r="AC509" s="4">
        <v>82.297079063317852</v>
      </c>
      <c r="AD509" s="4">
        <v>6.593568911523901E-4</v>
      </c>
      <c r="AE509" s="4">
        <f>Base[[#This Row],['[SC']Prévalence_travail]]*Base[[#This Row],[Population_emploi]]</f>
        <v>18264.185884921208</v>
      </c>
      <c r="AF509" s="4">
        <f>Base[[#This Row],[Risque]]*Base[[#This Row],['[SC']Patients_en_emploi]]</f>
        <v>7836.4598582746557</v>
      </c>
      <c r="AG509" s="4">
        <v>60180000</v>
      </c>
      <c r="AH509" s="4">
        <f>IFERROR(Base[[#This Row],['[SC']Prestations]]/Base[[#This Row],['[SC']Patients_en_emploi]],0)</f>
        <v>3294.9730351619019</v>
      </c>
      <c r="AI509" s="4">
        <v>51.7</v>
      </c>
      <c r="AJ5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09" s="4">
        <f>Base[[#This Row],['[SC']'[Travail']Coûts_évités]]/Base[[#This Row],[Population_emploi]]</f>
        <v>0.93216331856114254</v>
      </c>
      <c r="AL509" s="4">
        <f>Base[[#This Row],[Coût_société]]*10^9*Base[[#This Row],[Risque]]*Base[[#This Row],[Prévalence]]*Base[[#This Row],[Part_coûts_salarié]]/Base[[#This Row],[Population_emploi]]</f>
        <v>3.8649886966943332E-2</v>
      </c>
      <c r="AM509" s="4">
        <f>IF(Base[[#This Row],[Pathologie]]&lt;&gt;"Dépendance",0,14909.24243952)</f>
        <v>0</v>
      </c>
      <c r="AN509" s="4">
        <f>IF(Base[[#This Row],[Pathologie]]&lt;&gt;"Dépendance",0,1316000)</f>
        <v>0</v>
      </c>
      <c r="AO509" s="4">
        <f>IF(Base[[#This Row],[Pathologie]]&lt;&gt;"Dépendance",0,Base[[#This Row],['[SC']Coût_personne_dépendante]]*Base[[#This Row],['[SC']Nb_personnes_dépendantes]])</f>
        <v>0</v>
      </c>
      <c r="AP509" s="4">
        <f>IF(Base[[#This Row],[Pathologie]]&lt;&gt;"Dépendance",0,Base[[#This Row],['[SC']Coût_total_dépendance]]/Base[[#This Row],[Population_totale]])</f>
        <v>0</v>
      </c>
      <c r="AQ509" s="4">
        <f>IF(Base[[#This Row],[Pathologie]]&lt;&gt;"Dépendance",0,4.5)</f>
        <v>0</v>
      </c>
      <c r="AR509" s="4">
        <v>1.0077957276768601</v>
      </c>
      <c r="AS509" s="4">
        <f>Base[[#This Row],[Espérance_vie]]+Base[[#This Row],['[SC']Hausse_esp_de_vie]]-Base[[#This Row],['[SC']Durée_moyenne_dépendance_avt]]+Base[[#This Row],[Risque]]</f>
        <v>83.733936338421501</v>
      </c>
      <c r="AT5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09" s="4">
        <v>62.9</v>
      </c>
      <c r="AW509" s="4">
        <f t="shared" si="14"/>
        <v>336905600000</v>
      </c>
      <c r="AX509" s="4">
        <v>15049171</v>
      </c>
      <c r="AY509" s="4">
        <f>Base[[#This Row],['[SC']Budget_total_retraites]]/Base[[#This Row],['[SC']Nombre_de_retraités]]</f>
        <v>22386.987296509556</v>
      </c>
      <c r="AZ509" s="4">
        <f>Base[[#This Row],['[SC']Budget_par_retraité]]*Base[[#This Row],['[SC']Nb_personnes_dépendantes]]</f>
        <v>0</v>
      </c>
      <c r="BA509" s="4">
        <f>Base[[#This Row],['[SC']'[Dépendance']Coût_retraite_personnes_dépendantes]]/Base[[#This Row],[Population_totale]]</f>
        <v>0</v>
      </c>
      <c r="BB50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09" s="4">
        <f>Base[[#This Row],['[SC']'[Dépendance']Gains]]-Base[[#This Row],['[SC']'[Dépendance']Coûts]]</f>
        <v>0</v>
      </c>
      <c r="BD509" s="4">
        <f>IF(Base[[#This Row],[Pathologie]]&lt;&gt;"Mort prématurée",0,Base[[#This Row],[Risque]]*Base[[#This Row],[Prévalence]]*Base[[#This Row],[Population_totale]])</f>
        <v>0</v>
      </c>
      <c r="BE509" s="4">
        <v>52.74</v>
      </c>
      <c r="BF509" s="4">
        <f>Base[[#This Row],['[SC']Âge_moyen_retraite]]-Base[[#This Row],['[SC']'[Mort_prématurée']Âge_moyen_mort précoce]]</f>
        <v>10.159999999999997</v>
      </c>
      <c r="BG509" s="4">
        <f>Base[[#This Row],[Espérance_vie]]+Base[[#This Row],['[SC']Hausse_esp_de_vie]]-Base[[#This Row],['[SC']Âge_moyen_retraite]]</f>
        <v>20.404874790994718</v>
      </c>
      <c r="BH509" s="4">
        <v>106583.42676924677</v>
      </c>
      <c r="BI509" s="4">
        <v>97601.789429271477</v>
      </c>
      <c r="BJ509" s="4">
        <v>302038.31496633729</v>
      </c>
      <c r="BK509" s="4">
        <v>117293.58934859755</v>
      </c>
      <c r="BL509" s="4">
        <v>1523999.9999999995</v>
      </c>
      <c r="BM5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09" s="4">
        <v>294804.96027377353</v>
      </c>
      <c r="BO5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09" s="4">
        <f>(Base[[#This Row],['[SC']'[Mort_prématurée']Gains]]-Base[[#This Row],['[SC']'[Mort_prématurée']Coûts]])/Base[[#This Row],[Population_totale]]</f>
        <v>0</v>
      </c>
      <c r="BQ509" s="4">
        <f>IF(Base[[#This Row],[Pathologie]]&lt;&gt;"Mort prématurée",0,Base[[#This Row],[Risque]])</f>
        <v>0</v>
      </c>
      <c r="BR509" s="4">
        <v>2680</v>
      </c>
      <c r="BS5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09" s="4">
        <f>Base[[#This Row],[Prévalence_prod]]*(1-Base[[#This Row],[Risque]])*Base[[#This Row],[Durée_arrêt]]*Base[[#This Row],[Population_emploi]]</f>
        <v>473975.82311480673</v>
      </c>
      <c r="BV509" s="4">
        <f>Base[[#This Row],['[Prod']'[Absentéisme']Total_jours_absence_avant]]-Base[[#This Row],['[Prod']'[Absentéisme']Total_jours_absence_après]]</f>
        <v>356193.91055542993</v>
      </c>
      <c r="BW509" s="4">
        <f>IF(AND(Base[[#This Row],[Pathologie]]&lt;&gt;"Dépendance",Base[[#This Row],[Pathologie]]&lt;&gt;"Mort prématurée",Base[[#This Row],[Pathologie]]&lt;&gt;"Migraine"),0.0619,0)</f>
        <v>6.1899999999999997E-2</v>
      </c>
      <c r="BX509" s="4">
        <v>254</v>
      </c>
      <c r="BY509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09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09" s="4">
        <f>Base[[#This Row],[Prévalence_prod]]*Base[[#This Row],[Présentéisme]]*Base[[#This Row],['[Prod']Jours_ouvrés]]</f>
        <v>0</v>
      </c>
      <c r="CB509" s="4">
        <f>Base[[#This Row],[Prévalence_prod]]*(1-Base[[#This Row],[Risque]])*Base[[#This Row],[Présentéisme]]*Base[[#This Row],['[Prod']Jours_ouvrés]]</f>
        <v>0</v>
      </c>
      <c r="CC509" s="4">
        <f>Base[[#This Row],['[Prod']'[Présentéisme']Jours_avant]]-Base[[#This Row],['[Prod']'[Présentéisme']Jours_après]]</f>
        <v>0</v>
      </c>
      <c r="CD509" s="4">
        <f>Base[[#This Row],['[Prod']'[Présentéisme']Jours_gagnés]]/Base[[#This Row],['[Prod']Jours_ouvrés]]</f>
        <v>0</v>
      </c>
      <c r="CE509">
        <v>9.3428413505841454E-2</v>
      </c>
      <c r="CF509">
        <v>2.1038737314955848E-2</v>
      </c>
      <c r="CG509" s="4">
        <v>11</v>
      </c>
      <c r="CH509" s="4">
        <v>0.85274500894619554</v>
      </c>
      <c r="CI509" s="4">
        <v>4.2903496994109176E-2</v>
      </c>
      <c r="CJ509" s="4">
        <f>IF(Base[[#This Row],[Secteur]]&lt;&gt;"Moyenne",Base[[#This Row],['[Prod']'[Turnover']DMC_initiale]]*(1+Base[[#This Row],['[Prod']'[Turnover']Ecart_accidents]]*Base[[#This Row],['[Prod']Impact_motifs_turnover]]),CJ492*CI492+CJ493*CI493+CJ494*CI494+CJ495*CI495+CJ496*CI496+CJ497*CI497+CJ498*CI498+CJ499*CI499+CJ500*CI500+CJ501*CI501+CJ502*CI502+CJ503*CI503+CJ504*CI504+CJ505*CI505+CJ506*CI506+CJ507*CI507+CJ508*CI508)</f>
        <v>11.197347460638447</v>
      </c>
      <c r="CK509" s="4">
        <f>1/Base[[#This Row],['[Prod']'[Turnover']DMC_initiale]]</f>
        <v>9.0909090909090912E-2</v>
      </c>
      <c r="CL509" s="4">
        <f>1/Base[[#This Row],['[Prod']'[Turnover']DMC_finale]]</f>
        <v>8.930686517635153E-2</v>
      </c>
    </row>
    <row r="510" spans="2:90" x14ac:dyDescent="0.25">
      <c r="B510" s="4" t="s">
        <v>322</v>
      </c>
      <c r="C510">
        <v>30</v>
      </c>
      <c r="D510" t="s">
        <v>85</v>
      </c>
      <c r="E510" t="s">
        <v>5</v>
      </c>
      <c r="F510" s="3">
        <v>0.42906154742678049</v>
      </c>
      <c r="G510" s="3">
        <v>6.593568911523901E-4</v>
      </c>
      <c r="H510" s="3">
        <v>6.593568911523901E-4</v>
      </c>
      <c r="I510" s="3">
        <v>0</v>
      </c>
      <c r="J510" s="3">
        <v>4.7304000000000004</v>
      </c>
      <c r="K510" s="3">
        <v>7.0000000000000007E-2</v>
      </c>
      <c r="L510" s="2">
        <f>Base[[#This Row],[Coût]]*Base[[#This Row],[Part_ménages_dépenses_santé]]</f>
        <v>0.33112800000000003</v>
      </c>
      <c r="M510" s="2">
        <v>1</v>
      </c>
      <c r="N510" s="6">
        <v>27700000</v>
      </c>
      <c r="O510" s="7">
        <f>Base[[#This Row],[Coût_salarié]]*10^9*Base[[#This Row],[Risque]]*Base[[#This Row],[Prévalence]]*Base[[#This Row],[Part_coûts_salarié]]/Base[[#This Row],[Population_emploi]]</f>
        <v>3.3818651096075409E-3</v>
      </c>
      <c r="P510">
        <v>50</v>
      </c>
      <c r="Q510">
        <v>50</v>
      </c>
      <c r="R510" s="2">
        <v>9.9999999999999978E-2</v>
      </c>
      <c r="S510" s="2">
        <v>0.33340000000000003</v>
      </c>
      <c r="T510" s="4">
        <v>6.593568911523901E-4</v>
      </c>
      <c r="U510" s="4">
        <f>IF(Bases_annexes!$F$5=0,16.6587111018772,0.77*Bases_annexes!$F$5/(IF(OR(ISBLANK('Données_d''entrée'!$E$44),'Données_d''entrée'!$E$44=0),35,'Données_d''entrée'!$E$44)*52))</f>
        <v>16.658711101877199</v>
      </c>
      <c r="V510" s="4">
        <v>45.453421187287603</v>
      </c>
      <c r="W5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0" s="4">
        <v>234.5</v>
      </c>
      <c r="Y510" s="4">
        <f>(Base[[#This Row],['[Maladies']Coûts_évités_par_salarié]]+Base[[#This Row],['[Travail']Coûts_évités_par_salarié]])/Base[[#This Row],[Budget_santé_salarié]]</f>
        <v>1.0337065950219429E-3</v>
      </c>
      <c r="Z510" s="4">
        <v>0.8</v>
      </c>
      <c r="AA510" s="4">
        <f>Base[[#This Row],[Coût]]*Base[[#This Row],[Part_société_dépenses_santé]]</f>
        <v>3.7843200000000006</v>
      </c>
      <c r="AB510" s="4">
        <v>67635124</v>
      </c>
      <c r="AC510" s="4">
        <v>82.297079063317852</v>
      </c>
      <c r="AD510" s="4">
        <v>6.593568911523901E-4</v>
      </c>
      <c r="AE510" s="4">
        <f>Base[[#This Row],['[SC']Prévalence_travail]]*Base[[#This Row],[Population_emploi]]</f>
        <v>18264.185884921208</v>
      </c>
      <c r="AF510" s="4">
        <f>Base[[#This Row],[Risque]]*Base[[#This Row],['[SC']Patients_en_emploi]]</f>
        <v>7836.4598582746557</v>
      </c>
      <c r="AG510" s="4">
        <v>60180000</v>
      </c>
      <c r="AH510" s="4">
        <f>IFERROR(Base[[#This Row],['[SC']Prestations]]/Base[[#This Row],['[SC']Patients_en_emploi]],0)</f>
        <v>3294.9730351619019</v>
      </c>
      <c r="AI510" s="4">
        <v>51.7</v>
      </c>
      <c r="AJ5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0" s="4">
        <f>Base[[#This Row],['[SC']'[Travail']Coûts_évités]]/Base[[#This Row],[Population_emploi]]</f>
        <v>0.93216331856114254</v>
      </c>
      <c r="AL510" s="4">
        <f>Base[[#This Row],[Coût_société]]*10^9*Base[[#This Row],[Risque]]*Base[[#This Row],[Prévalence]]*Base[[#This Row],[Part_coûts_salarié]]/Base[[#This Row],[Population_emploi]]</f>
        <v>3.8649886966943332E-2</v>
      </c>
      <c r="AM510" s="4">
        <f>IF(Base[[#This Row],[Pathologie]]&lt;&gt;"Dépendance",0,14909.24243952)</f>
        <v>0</v>
      </c>
      <c r="AN510" s="4">
        <f>IF(Base[[#This Row],[Pathologie]]&lt;&gt;"Dépendance",0,1316000)</f>
        <v>0</v>
      </c>
      <c r="AO510" s="4">
        <f>IF(Base[[#This Row],[Pathologie]]&lt;&gt;"Dépendance",0,Base[[#This Row],['[SC']Coût_personne_dépendante]]*Base[[#This Row],['[SC']Nb_personnes_dépendantes]])</f>
        <v>0</v>
      </c>
      <c r="AP510" s="4">
        <f>IF(Base[[#This Row],[Pathologie]]&lt;&gt;"Dépendance",0,Base[[#This Row],['[SC']Coût_total_dépendance]]/Base[[#This Row],[Population_totale]])</f>
        <v>0</v>
      </c>
      <c r="AQ510" s="4">
        <f>IF(Base[[#This Row],[Pathologie]]&lt;&gt;"Dépendance",0,4.5)</f>
        <v>0</v>
      </c>
      <c r="AR510" s="4">
        <v>1.0077957276768601</v>
      </c>
      <c r="AS510" s="4">
        <f>Base[[#This Row],[Espérance_vie]]+Base[[#This Row],['[SC']Hausse_esp_de_vie]]-Base[[#This Row],['[SC']Durée_moyenne_dépendance_avt]]+Base[[#This Row],[Risque]]</f>
        <v>83.733936338421501</v>
      </c>
      <c r="AT5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0" s="4">
        <v>62.9</v>
      </c>
      <c r="AW510" s="4">
        <f t="shared" si="14"/>
        <v>336905600000</v>
      </c>
      <c r="AX510" s="4">
        <v>15049171</v>
      </c>
      <c r="AY510" s="4">
        <f>Base[[#This Row],['[SC']Budget_total_retraites]]/Base[[#This Row],['[SC']Nombre_de_retraités]]</f>
        <v>22386.987296509556</v>
      </c>
      <c r="AZ510" s="4">
        <f>Base[[#This Row],['[SC']Budget_par_retraité]]*Base[[#This Row],['[SC']Nb_personnes_dépendantes]]</f>
        <v>0</v>
      </c>
      <c r="BA510" s="4">
        <f>Base[[#This Row],['[SC']'[Dépendance']Coût_retraite_personnes_dépendantes]]/Base[[#This Row],[Population_totale]]</f>
        <v>0</v>
      </c>
      <c r="BB51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0" s="4">
        <f>Base[[#This Row],['[SC']'[Dépendance']Gains]]-Base[[#This Row],['[SC']'[Dépendance']Coûts]]</f>
        <v>0</v>
      </c>
      <c r="BD510" s="4">
        <f>IF(Base[[#This Row],[Pathologie]]&lt;&gt;"Mort prématurée",0,Base[[#This Row],[Risque]]*Base[[#This Row],[Prévalence]]*Base[[#This Row],[Population_totale]])</f>
        <v>0</v>
      </c>
      <c r="BE510" s="4">
        <v>52.74</v>
      </c>
      <c r="BF510" s="4">
        <f>Base[[#This Row],['[SC']Âge_moyen_retraite]]-Base[[#This Row],['[SC']'[Mort_prématurée']Âge_moyen_mort précoce]]</f>
        <v>10.159999999999997</v>
      </c>
      <c r="BG510" s="4">
        <f>Base[[#This Row],[Espérance_vie]]+Base[[#This Row],['[SC']Hausse_esp_de_vie]]-Base[[#This Row],['[SC']Âge_moyen_retraite]]</f>
        <v>20.404874790994718</v>
      </c>
      <c r="BH510" s="4">
        <v>106583.42676924677</v>
      </c>
      <c r="BI510" s="4">
        <v>97601.789429271477</v>
      </c>
      <c r="BJ510" s="4">
        <v>302038.31496633729</v>
      </c>
      <c r="BK510" s="4">
        <v>117293.58934859755</v>
      </c>
      <c r="BL510" s="4">
        <v>1523999.9999999995</v>
      </c>
      <c r="BM5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0" s="4">
        <v>294804.96027377353</v>
      </c>
      <c r="BO5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0" s="4">
        <f>(Base[[#This Row],['[SC']'[Mort_prématurée']Gains]]-Base[[#This Row],['[SC']'[Mort_prématurée']Coûts]])/Base[[#This Row],[Population_totale]]</f>
        <v>0</v>
      </c>
      <c r="BQ510" s="4">
        <f>IF(Base[[#This Row],[Pathologie]]&lt;&gt;"Mort prématurée",0,Base[[#This Row],[Risque]])</f>
        <v>0</v>
      </c>
      <c r="BR510" s="4">
        <v>2680</v>
      </c>
      <c r="BS5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0" s="4">
        <f>Base[[#This Row],[Prévalence_prod]]*(1-Base[[#This Row],[Risque]])*Base[[#This Row],[Durée_arrêt]]*Base[[#This Row],[Population_emploi]]</f>
        <v>473975.82311480673</v>
      </c>
      <c r="BV510" s="4">
        <f>Base[[#This Row],['[Prod']'[Absentéisme']Total_jours_absence_avant]]-Base[[#This Row],['[Prod']'[Absentéisme']Total_jours_absence_après]]</f>
        <v>356193.91055542993</v>
      </c>
      <c r="BW510" s="4">
        <f>IF(AND(Base[[#This Row],[Pathologie]]&lt;&gt;"Dépendance",Base[[#This Row],[Pathologie]]&lt;&gt;"Mort prématurée",Base[[#This Row],[Pathologie]]&lt;&gt;"Migraine"),0.0619,0)</f>
        <v>6.1899999999999997E-2</v>
      </c>
      <c r="BX510" s="4">
        <v>254</v>
      </c>
      <c r="BY510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0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0" s="4">
        <f>Base[[#This Row],[Prévalence_prod]]*Base[[#This Row],[Présentéisme]]*Base[[#This Row],['[Prod']Jours_ouvrés]]</f>
        <v>0</v>
      </c>
      <c r="CB510" s="4">
        <f>Base[[#This Row],[Prévalence_prod]]*(1-Base[[#This Row],[Risque]])*Base[[#This Row],[Présentéisme]]*Base[[#This Row],['[Prod']Jours_ouvrés]]</f>
        <v>0</v>
      </c>
      <c r="CC510" s="4">
        <f>Base[[#This Row],['[Prod']'[Présentéisme']Jours_avant]]-Base[[#This Row],['[Prod']'[Présentéisme']Jours_après]]</f>
        <v>0</v>
      </c>
      <c r="CD510" s="4">
        <f>Base[[#This Row],['[Prod']'[Présentéisme']Jours_gagnés]]/Base[[#This Row],['[Prod']Jours_ouvrés]]</f>
        <v>0</v>
      </c>
      <c r="CE510">
        <v>9.3428413505841454E-2</v>
      </c>
      <c r="CF510">
        <v>2.1038737314955848E-2</v>
      </c>
      <c r="CG510" s="4">
        <v>11</v>
      </c>
      <c r="CH510" s="4">
        <v>1.6219398392978641</v>
      </c>
      <c r="CI510" s="4">
        <v>9.628527536862988E-2</v>
      </c>
      <c r="CJ510" s="4">
        <f>IF(Base[[#This Row],[Secteur]]&lt;&gt;"Moyenne",Base[[#This Row],['[Prod']'[Turnover']DMC_initiale]]*(1+Base[[#This Row],['[Prod']'[Turnover']Ecart_accidents]]*Base[[#This Row],['[Prod']Impact_motifs_turnover]]),CJ493*CI493+CJ494*CI494+CJ495*CI495+CJ496*CI496+CJ497*CI497+CJ498*CI498+CJ499*CI499+CJ500*CI500+CJ501*CI501+CJ502*CI502+CJ503*CI503+CJ504*CI504+CJ505*CI505+CJ506*CI506+CJ507*CI507+CJ508*CI508+CJ509*CI509)</f>
        <v>11.375359228416144</v>
      </c>
      <c r="CK510" s="4">
        <f>1/Base[[#This Row],['[Prod']'[Turnover']DMC_initiale]]</f>
        <v>9.0909090909090912E-2</v>
      </c>
      <c r="CL510" s="4">
        <f>1/Base[[#This Row],['[Prod']'[Turnover']DMC_finale]]</f>
        <v>8.7909311690303041E-2</v>
      </c>
    </row>
    <row r="511" spans="2:90" x14ac:dyDescent="0.25">
      <c r="B511" s="4" t="s">
        <v>323</v>
      </c>
      <c r="C511">
        <v>30</v>
      </c>
      <c r="D511" t="s">
        <v>85</v>
      </c>
      <c r="E511" t="s">
        <v>5</v>
      </c>
      <c r="F511" s="3">
        <v>0.42906154742678049</v>
      </c>
      <c r="G511" s="3">
        <v>6.593568911523901E-4</v>
      </c>
      <c r="H511" s="3">
        <v>6.593568911523901E-4</v>
      </c>
      <c r="I511" s="3">
        <v>0</v>
      </c>
      <c r="J511" s="3">
        <v>4.7304000000000004</v>
      </c>
      <c r="K511" s="3">
        <v>7.0000000000000007E-2</v>
      </c>
      <c r="L511" s="2">
        <f>Base[[#This Row],[Coût]]*Base[[#This Row],[Part_ménages_dépenses_santé]]</f>
        <v>0.33112800000000003</v>
      </c>
      <c r="M511" s="2">
        <v>1</v>
      </c>
      <c r="N511" s="6">
        <v>27700000</v>
      </c>
      <c r="O511" s="7">
        <f>Base[[#This Row],[Coût_salarié]]*10^9*Base[[#This Row],[Risque]]*Base[[#This Row],[Prévalence]]*Base[[#This Row],[Part_coûts_salarié]]/Base[[#This Row],[Population_emploi]]</f>
        <v>3.3818651096075409E-3</v>
      </c>
      <c r="P511">
        <v>50</v>
      </c>
      <c r="Q511">
        <v>50</v>
      </c>
      <c r="R511" s="2">
        <v>9.9999999999999978E-2</v>
      </c>
      <c r="S511" s="2">
        <v>0.33340000000000003</v>
      </c>
      <c r="T511" s="4">
        <v>6.593568911523901E-4</v>
      </c>
      <c r="U511" s="4">
        <f>IF(Bases_annexes!$F$5=0,16.6587111018772,0.77*Bases_annexes!$F$5/(IF(OR(ISBLANK('Données_d''entrée'!$E$44),'Données_d''entrée'!$E$44=0),35,'Données_d''entrée'!$E$44)*52))</f>
        <v>16.658711101877199</v>
      </c>
      <c r="V511" s="4">
        <v>45.453421187287603</v>
      </c>
      <c r="W5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1" s="4">
        <v>234.5</v>
      </c>
      <c r="Y511" s="4">
        <f>(Base[[#This Row],['[Maladies']Coûts_évités_par_salarié]]+Base[[#This Row],['[Travail']Coûts_évités_par_salarié]])/Base[[#This Row],[Budget_santé_salarié]]</f>
        <v>1.0337065950219429E-3</v>
      </c>
      <c r="Z511" s="4">
        <v>0.8</v>
      </c>
      <c r="AA511" s="4">
        <f>Base[[#This Row],[Coût]]*Base[[#This Row],[Part_société_dépenses_santé]]</f>
        <v>3.7843200000000006</v>
      </c>
      <c r="AB511" s="4">
        <v>67635124</v>
      </c>
      <c r="AC511" s="4">
        <v>82.297079063317852</v>
      </c>
      <c r="AD511" s="4">
        <v>6.593568911523901E-4</v>
      </c>
      <c r="AE511" s="4">
        <f>Base[[#This Row],['[SC']Prévalence_travail]]*Base[[#This Row],[Population_emploi]]</f>
        <v>18264.185884921208</v>
      </c>
      <c r="AF511" s="4">
        <f>Base[[#This Row],[Risque]]*Base[[#This Row],['[SC']Patients_en_emploi]]</f>
        <v>7836.4598582746557</v>
      </c>
      <c r="AG511" s="4">
        <v>60180000</v>
      </c>
      <c r="AH511" s="4">
        <f>IFERROR(Base[[#This Row],['[SC']Prestations]]/Base[[#This Row],['[SC']Patients_en_emploi]],0)</f>
        <v>3294.9730351619019</v>
      </c>
      <c r="AI511" s="4">
        <v>51.7</v>
      </c>
      <c r="AJ5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1" s="4">
        <f>Base[[#This Row],['[SC']'[Travail']Coûts_évités]]/Base[[#This Row],[Population_emploi]]</f>
        <v>0.93216331856114254</v>
      </c>
      <c r="AL511" s="4">
        <f>Base[[#This Row],[Coût_société]]*10^9*Base[[#This Row],[Risque]]*Base[[#This Row],[Prévalence]]*Base[[#This Row],[Part_coûts_salarié]]/Base[[#This Row],[Population_emploi]]</f>
        <v>3.8649886966943332E-2</v>
      </c>
      <c r="AM511" s="4">
        <f>IF(Base[[#This Row],[Pathologie]]&lt;&gt;"Dépendance",0,14909.24243952)</f>
        <v>0</v>
      </c>
      <c r="AN511" s="4">
        <f>IF(Base[[#This Row],[Pathologie]]&lt;&gt;"Dépendance",0,1316000)</f>
        <v>0</v>
      </c>
      <c r="AO511" s="4">
        <f>IF(Base[[#This Row],[Pathologie]]&lt;&gt;"Dépendance",0,Base[[#This Row],['[SC']Coût_personne_dépendante]]*Base[[#This Row],['[SC']Nb_personnes_dépendantes]])</f>
        <v>0</v>
      </c>
      <c r="AP511" s="4">
        <f>IF(Base[[#This Row],[Pathologie]]&lt;&gt;"Dépendance",0,Base[[#This Row],['[SC']Coût_total_dépendance]]/Base[[#This Row],[Population_totale]])</f>
        <v>0</v>
      </c>
      <c r="AQ511" s="4">
        <f>IF(Base[[#This Row],[Pathologie]]&lt;&gt;"Dépendance",0,4.5)</f>
        <v>0</v>
      </c>
      <c r="AR511" s="4">
        <v>1.0077957276768601</v>
      </c>
      <c r="AS511" s="4">
        <f>Base[[#This Row],[Espérance_vie]]+Base[[#This Row],['[SC']Hausse_esp_de_vie]]-Base[[#This Row],['[SC']Durée_moyenne_dépendance_avt]]+Base[[#This Row],[Risque]]</f>
        <v>83.733936338421501</v>
      </c>
      <c r="AT5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1" s="4">
        <v>62.9</v>
      </c>
      <c r="AW511" s="4">
        <f t="shared" si="14"/>
        <v>336905600000</v>
      </c>
      <c r="AX511" s="4">
        <v>15049171</v>
      </c>
      <c r="AY511" s="4">
        <f>Base[[#This Row],['[SC']Budget_total_retraites]]/Base[[#This Row],['[SC']Nombre_de_retraités]]</f>
        <v>22386.987296509556</v>
      </c>
      <c r="AZ511" s="4">
        <f>Base[[#This Row],['[SC']Budget_par_retraité]]*Base[[#This Row],['[SC']Nb_personnes_dépendantes]]</f>
        <v>0</v>
      </c>
      <c r="BA511" s="4">
        <f>Base[[#This Row],['[SC']'[Dépendance']Coût_retraite_personnes_dépendantes]]/Base[[#This Row],[Population_totale]]</f>
        <v>0</v>
      </c>
      <c r="BB51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1" s="4">
        <f>Base[[#This Row],['[SC']'[Dépendance']Gains]]-Base[[#This Row],['[SC']'[Dépendance']Coûts]]</f>
        <v>0</v>
      </c>
      <c r="BD511" s="4">
        <f>IF(Base[[#This Row],[Pathologie]]&lt;&gt;"Mort prématurée",0,Base[[#This Row],[Risque]]*Base[[#This Row],[Prévalence]]*Base[[#This Row],[Population_totale]])</f>
        <v>0</v>
      </c>
      <c r="BE511" s="4">
        <v>52.74</v>
      </c>
      <c r="BF511" s="4">
        <f>Base[[#This Row],['[SC']Âge_moyen_retraite]]-Base[[#This Row],['[SC']'[Mort_prématurée']Âge_moyen_mort précoce]]</f>
        <v>10.159999999999997</v>
      </c>
      <c r="BG511" s="4">
        <f>Base[[#This Row],[Espérance_vie]]+Base[[#This Row],['[SC']Hausse_esp_de_vie]]-Base[[#This Row],['[SC']Âge_moyen_retraite]]</f>
        <v>20.404874790994718</v>
      </c>
      <c r="BH511" s="4">
        <v>106583.42676924677</v>
      </c>
      <c r="BI511" s="4">
        <v>97601.789429271477</v>
      </c>
      <c r="BJ511" s="4">
        <v>302038.31496633729</v>
      </c>
      <c r="BK511" s="4">
        <v>117293.58934859755</v>
      </c>
      <c r="BL511" s="4">
        <v>1523999.9999999995</v>
      </c>
      <c r="BM5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1" s="4">
        <v>294804.96027377353</v>
      </c>
      <c r="BO5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1" s="4">
        <f>(Base[[#This Row],['[SC']'[Mort_prématurée']Gains]]-Base[[#This Row],['[SC']'[Mort_prématurée']Coûts]])/Base[[#This Row],[Population_totale]]</f>
        <v>0</v>
      </c>
      <c r="BQ511" s="4">
        <f>IF(Base[[#This Row],[Pathologie]]&lt;&gt;"Mort prématurée",0,Base[[#This Row],[Risque]])</f>
        <v>0</v>
      </c>
      <c r="BR511" s="4">
        <v>2680</v>
      </c>
      <c r="BS5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1" s="4">
        <f>Base[[#This Row],[Prévalence_prod]]*(1-Base[[#This Row],[Risque]])*Base[[#This Row],[Durée_arrêt]]*Base[[#This Row],[Population_emploi]]</f>
        <v>473975.82311480673</v>
      </c>
      <c r="BV511" s="4">
        <f>Base[[#This Row],['[Prod']'[Absentéisme']Total_jours_absence_avant]]-Base[[#This Row],['[Prod']'[Absentéisme']Total_jours_absence_après]]</f>
        <v>356193.91055542993</v>
      </c>
      <c r="BW511" s="4">
        <f>IF(AND(Base[[#This Row],[Pathologie]]&lt;&gt;"Dépendance",Base[[#This Row],[Pathologie]]&lt;&gt;"Mort prématurée",Base[[#This Row],[Pathologie]]&lt;&gt;"Migraine"),0.0619,0)</f>
        <v>6.1899999999999997E-2</v>
      </c>
      <c r="BX511" s="4">
        <v>254</v>
      </c>
      <c r="BY511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1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1" s="4">
        <f>Base[[#This Row],[Prévalence_prod]]*Base[[#This Row],[Présentéisme]]*Base[[#This Row],['[Prod']Jours_ouvrés]]</f>
        <v>0</v>
      </c>
      <c r="CB511" s="4">
        <f>Base[[#This Row],[Prévalence_prod]]*(1-Base[[#This Row],[Risque]])*Base[[#This Row],[Présentéisme]]*Base[[#This Row],['[Prod']Jours_ouvrés]]</f>
        <v>0</v>
      </c>
      <c r="CC511" s="4">
        <f>Base[[#This Row],['[Prod']'[Présentéisme']Jours_avant]]-Base[[#This Row],['[Prod']'[Présentéisme']Jours_après]]</f>
        <v>0</v>
      </c>
      <c r="CD511" s="4">
        <f>Base[[#This Row],['[Prod']'[Présentéisme']Jours_gagnés]]/Base[[#This Row],['[Prod']Jours_ouvrés]]</f>
        <v>0</v>
      </c>
      <c r="CE511">
        <v>9.3428413505841454E-2</v>
      </c>
      <c r="CF511">
        <v>2.1038737314955848E-2</v>
      </c>
      <c r="CG511" s="4">
        <v>11</v>
      </c>
      <c r="CH511" s="4">
        <v>0.96913802401210614</v>
      </c>
      <c r="CI511" s="4">
        <v>0.10293966445307301</v>
      </c>
      <c r="CJ511" s="4">
        <f>IF(Base[[#This Row],[Secteur]]&lt;&gt;"Moyenne",Base[[#This Row],['[Prod']'[Turnover']DMC_initiale]]*(1+Base[[#This Row],['[Prod']'[Turnover']Ecart_accidents]]*Base[[#This Row],['[Prod']Impact_motifs_turnover]]),CJ494*CI494+CJ495*CI495+CJ496*CI496+CJ497*CI497+CJ498*CI498+CJ499*CI499+CJ500*CI500+CJ501*CI501+CJ502*CI502+CJ503*CI503+CJ504*CI504+CJ505*CI505+CJ506*CI506+CJ507*CI507+CJ508*CI508+CJ509*CI509+CJ510*CI510)</f>
        <v>11.224283843400386</v>
      </c>
      <c r="CK511" s="4">
        <f>1/Base[[#This Row],['[Prod']'[Turnover']DMC_initiale]]</f>
        <v>9.0909090909090912E-2</v>
      </c>
      <c r="CL511" s="4">
        <f>1/Base[[#This Row],['[Prod']'[Turnover']DMC_finale]]</f>
        <v>8.9092543805186858E-2</v>
      </c>
    </row>
    <row r="512" spans="2:90" x14ac:dyDescent="0.25">
      <c r="B512" s="4" t="s">
        <v>324</v>
      </c>
      <c r="C512">
        <v>30</v>
      </c>
      <c r="D512" t="s">
        <v>85</v>
      </c>
      <c r="E512" t="s">
        <v>5</v>
      </c>
      <c r="F512" s="3">
        <v>0.42906154742678049</v>
      </c>
      <c r="G512" s="3">
        <v>6.593568911523901E-4</v>
      </c>
      <c r="H512" s="3">
        <v>6.593568911523901E-4</v>
      </c>
      <c r="I512" s="3">
        <v>0</v>
      </c>
      <c r="J512" s="3">
        <v>4.7304000000000004</v>
      </c>
      <c r="K512" s="3">
        <v>7.0000000000000007E-2</v>
      </c>
      <c r="L512" s="2">
        <f>Base[[#This Row],[Coût]]*Base[[#This Row],[Part_ménages_dépenses_santé]]</f>
        <v>0.33112800000000003</v>
      </c>
      <c r="M512" s="2">
        <v>1</v>
      </c>
      <c r="N512" s="6">
        <v>27700000</v>
      </c>
      <c r="O512" s="7">
        <f>Base[[#This Row],[Coût_salarié]]*10^9*Base[[#This Row],[Risque]]*Base[[#This Row],[Prévalence]]*Base[[#This Row],[Part_coûts_salarié]]/Base[[#This Row],[Population_emploi]]</f>
        <v>3.3818651096075409E-3</v>
      </c>
      <c r="P512">
        <v>50</v>
      </c>
      <c r="Q512">
        <v>50</v>
      </c>
      <c r="R512" s="2">
        <v>9.9999999999999978E-2</v>
      </c>
      <c r="S512" s="2">
        <v>0.33340000000000003</v>
      </c>
      <c r="T512" s="4">
        <v>6.593568911523901E-4</v>
      </c>
      <c r="U512" s="4">
        <f>IF(Bases_annexes!$F$5=0,16.6587111018772,0.77*Bases_annexes!$F$5/(IF(OR(ISBLANK('Données_d''entrée'!$E$44),'Données_d''entrée'!$E$44=0),35,'Données_d''entrée'!$E$44)*52))</f>
        <v>16.658711101877199</v>
      </c>
      <c r="V512" s="4">
        <v>45.453421187287603</v>
      </c>
      <c r="W5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2" s="4">
        <v>234.5</v>
      </c>
      <c r="Y512" s="4">
        <f>(Base[[#This Row],['[Maladies']Coûts_évités_par_salarié]]+Base[[#This Row],['[Travail']Coûts_évités_par_salarié]])/Base[[#This Row],[Budget_santé_salarié]]</f>
        <v>1.0337065950219429E-3</v>
      </c>
      <c r="Z512" s="4">
        <v>0.8</v>
      </c>
      <c r="AA512" s="4">
        <f>Base[[#This Row],[Coût]]*Base[[#This Row],[Part_société_dépenses_santé]]</f>
        <v>3.7843200000000006</v>
      </c>
      <c r="AB512" s="4">
        <v>67635124</v>
      </c>
      <c r="AC512" s="4">
        <v>82.297079063317852</v>
      </c>
      <c r="AD512" s="4">
        <v>6.593568911523901E-4</v>
      </c>
      <c r="AE512" s="4">
        <f>Base[[#This Row],['[SC']Prévalence_travail]]*Base[[#This Row],[Population_emploi]]</f>
        <v>18264.185884921208</v>
      </c>
      <c r="AF512" s="4">
        <f>Base[[#This Row],[Risque]]*Base[[#This Row],['[SC']Patients_en_emploi]]</f>
        <v>7836.4598582746557</v>
      </c>
      <c r="AG512" s="4">
        <v>60180000</v>
      </c>
      <c r="AH512" s="4">
        <f>IFERROR(Base[[#This Row],['[SC']Prestations]]/Base[[#This Row],['[SC']Patients_en_emploi]],0)</f>
        <v>3294.9730351619019</v>
      </c>
      <c r="AI512" s="4">
        <v>51.7</v>
      </c>
      <c r="AJ5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2" s="4">
        <f>Base[[#This Row],['[SC']'[Travail']Coûts_évités]]/Base[[#This Row],[Population_emploi]]</f>
        <v>0.93216331856114254</v>
      </c>
      <c r="AL512" s="4">
        <f>Base[[#This Row],[Coût_société]]*10^9*Base[[#This Row],[Risque]]*Base[[#This Row],[Prévalence]]*Base[[#This Row],[Part_coûts_salarié]]/Base[[#This Row],[Population_emploi]]</f>
        <v>3.8649886966943332E-2</v>
      </c>
      <c r="AM512" s="4">
        <f>IF(Base[[#This Row],[Pathologie]]&lt;&gt;"Dépendance",0,14909.24243952)</f>
        <v>0</v>
      </c>
      <c r="AN512" s="4">
        <f>IF(Base[[#This Row],[Pathologie]]&lt;&gt;"Dépendance",0,1316000)</f>
        <v>0</v>
      </c>
      <c r="AO512" s="4">
        <f>IF(Base[[#This Row],[Pathologie]]&lt;&gt;"Dépendance",0,Base[[#This Row],['[SC']Coût_personne_dépendante]]*Base[[#This Row],['[SC']Nb_personnes_dépendantes]])</f>
        <v>0</v>
      </c>
      <c r="AP512" s="4">
        <f>IF(Base[[#This Row],[Pathologie]]&lt;&gt;"Dépendance",0,Base[[#This Row],['[SC']Coût_total_dépendance]]/Base[[#This Row],[Population_totale]])</f>
        <v>0</v>
      </c>
      <c r="AQ512" s="4">
        <f>IF(Base[[#This Row],[Pathologie]]&lt;&gt;"Dépendance",0,4.5)</f>
        <v>0</v>
      </c>
      <c r="AR512" s="4">
        <v>1.0077957276768601</v>
      </c>
      <c r="AS512" s="4">
        <f>Base[[#This Row],[Espérance_vie]]+Base[[#This Row],['[SC']Hausse_esp_de_vie]]-Base[[#This Row],['[SC']Durée_moyenne_dépendance_avt]]+Base[[#This Row],[Risque]]</f>
        <v>83.733936338421501</v>
      </c>
      <c r="AT5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2" s="4">
        <v>62.9</v>
      </c>
      <c r="AW512" s="4">
        <f t="shared" si="14"/>
        <v>336905600000</v>
      </c>
      <c r="AX512" s="4">
        <v>15049171</v>
      </c>
      <c r="AY512" s="4">
        <f>Base[[#This Row],['[SC']Budget_total_retraites]]/Base[[#This Row],['[SC']Nombre_de_retraités]]</f>
        <v>22386.987296509556</v>
      </c>
      <c r="AZ512" s="4">
        <f>Base[[#This Row],['[SC']Budget_par_retraité]]*Base[[#This Row],['[SC']Nb_personnes_dépendantes]]</f>
        <v>0</v>
      </c>
      <c r="BA512" s="4">
        <f>Base[[#This Row],['[SC']'[Dépendance']Coût_retraite_personnes_dépendantes]]/Base[[#This Row],[Population_totale]]</f>
        <v>0</v>
      </c>
      <c r="BB51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2" s="4">
        <f>Base[[#This Row],['[SC']'[Dépendance']Gains]]-Base[[#This Row],['[SC']'[Dépendance']Coûts]]</f>
        <v>0</v>
      </c>
      <c r="BD512" s="4">
        <f>IF(Base[[#This Row],[Pathologie]]&lt;&gt;"Mort prématurée",0,Base[[#This Row],[Risque]]*Base[[#This Row],[Prévalence]]*Base[[#This Row],[Population_totale]])</f>
        <v>0</v>
      </c>
      <c r="BE512" s="4">
        <v>52.74</v>
      </c>
      <c r="BF512" s="4">
        <f>Base[[#This Row],['[SC']Âge_moyen_retraite]]-Base[[#This Row],['[SC']'[Mort_prématurée']Âge_moyen_mort précoce]]</f>
        <v>10.159999999999997</v>
      </c>
      <c r="BG512" s="4">
        <f>Base[[#This Row],[Espérance_vie]]+Base[[#This Row],['[SC']Hausse_esp_de_vie]]-Base[[#This Row],['[SC']Âge_moyen_retraite]]</f>
        <v>20.404874790994718</v>
      </c>
      <c r="BH512" s="4">
        <v>106583.42676924677</v>
      </c>
      <c r="BI512" s="4">
        <v>97601.789429271477</v>
      </c>
      <c r="BJ512" s="4">
        <v>302038.31496633729</v>
      </c>
      <c r="BK512" s="4">
        <v>117293.58934859755</v>
      </c>
      <c r="BL512" s="4">
        <v>1523999.9999999995</v>
      </c>
      <c r="BM5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2" s="4">
        <v>294804.96027377353</v>
      </c>
      <c r="BO5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2" s="4">
        <f>(Base[[#This Row],['[SC']'[Mort_prématurée']Gains]]-Base[[#This Row],['[SC']'[Mort_prématurée']Coûts]])/Base[[#This Row],[Population_totale]]</f>
        <v>0</v>
      </c>
      <c r="BQ512" s="4">
        <f>IF(Base[[#This Row],[Pathologie]]&lt;&gt;"Mort prématurée",0,Base[[#This Row],[Risque]])</f>
        <v>0</v>
      </c>
      <c r="BR512" s="4">
        <v>2680</v>
      </c>
      <c r="BS5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2" s="4">
        <f>Base[[#This Row],[Prévalence_prod]]*(1-Base[[#This Row],[Risque]])*Base[[#This Row],[Durée_arrêt]]*Base[[#This Row],[Population_emploi]]</f>
        <v>473975.82311480673</v>
      </c>
      <c r="BV512" s="4">
        <f>Base[[#This Row],['[Prod']'[Absentéisme']Total_jours_absence_avant]]-Base[[#This Row],['[Prod']'[Absentéisme']Total_jours_absence_après]]</f>
        <v>356193.91055542993</v>
      </c>
      <c r="BW512" s="4">
        <f>IF(AND(Base[[#This Row],[Pathologie]]&lt;&gt;"Dépendance",Base[[#This Row],[Pathologie]]&lt;&gt;"Mort prématurée",Base[[#This Row],[Pathologie]]&lt;&gt;"Migraine"),0.0619,0)</f>
        <v>6.1899999999999997E-2</v>
      </c>
      <c r="BX512" s="4">
        <v>254</v>
      </c>
      <c r="BY512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2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2" s="4">
        <f>Base[[#This Row],[Prévalence_prod]]*Base[[#This Row],[Présentéisme]]*Base[[#This Row],['[Prod']Jours_ouvrés]]</f>
        <v>0</v>
      </c>
      <c r="CB512" s="4">
        <f>Base[[#This Row],[Prévalence_prod]]*(1-Base[[#This Row],[Risque]])*Base[[#This Row],[Présentéisme]]*Base[[#This Row],['[Prod']Jours_ouvrés]]</f>
        <v>0</v>
      </c>
      <c r="CC512" s="4">
        <f>Base[[#This Row],['[Prod']'[Présentéisme']Jours_avant]]-Base[[#This Row],['[Prod']'[Présentéisme']Jours_après]]</f>
        <v>0</v>
      </c>
      <c r="CD512" s="4">
        <f>Base[[#This Row],['[Prod']'[Présentéisme']Jours_gagnés]]/Base[[#This Row],['[Prod']Jours_ouvrés]]</f>
        <v>0</v>
      </c>
      <c r="CE512">
        <v>9.3428413505841454E-2</v>
      </c>
      <c r="CF512">
        <v>2.1038737314955848E-2</v>
      </c>
      <c r="CG512" s="4">
        <v>11</v>
      </c>
      <c r="CH512" s="4">
        <v>1.3987208237662601</v>
      </c>
      <c r="CI512" s="4">
        <v>2.1768516166491274E-2</v>
      </c>
      <c r="CJ512" s="4">
        <f>IF(Base[[#This Row],[Secteur]]&lt;&gt;"Moyenne",Base[[#This Row],['[Prod']'[Turnover']DMC_initiale]]*(1+Base[[#This Row],['[Prod']'[Turnover']Ecart_accidents]]*Base[[#This Row],['[Prod']Impact_motifs_turnover]]),CJ495*CI495+CJ496*CI496+CJ497*CI497+CJ498*CI498+CJ499*CI499+CJ500*CI500+CJ501*CI501+CJ502*CI502+CJ503*CI503+CJ504*CI504+CJ505*CI505+CJ506*CI506+CJ507*CI507+CJ508*CI508+CJ509*CI509+CJ510*CI510+CJ511*CI511)</f>
        <v>11.323700519869947</v>
      </c>
      <c r="CK512" s="4">
        <f>1/Base[[#This Row],['[Prod']'[Turnover']DMC_initiale]]</f>
        <v>9.0909090909090912E-2</v>
      </c>
      <c r="CL512" s="4">
        <f>1/Base[[#This Row],['[Prod']'[Turnover']DMC_finale]]</f>
        <v>8.8310353867561045E-2</v>
      </c>
    </row>
    <row r="513" spans="2:90" x14ac:dyDescent="0.25">
      <c r="B513" s="4" t="s">
        <v>325</v>
      </c>
      <c r="C513">
        <v>30</v>
      </c>
      <c r="D513" t="s">
        <v>85</v>
      </c>
      <c r="E513" t="s">
        <v>5</v>
      </c>
      <c r="F513" s="3">
        <v>0.42906154742678049</v>
      </c>
      <c r="G513" s="3">
        <v>6.593568911523901E-4</v>
      </c>
      <c r="H513" s="3">
        <v>6.593568911523901E-4</v>
      </c>
      <c r="I513" s="3">
        <v>0</v>
      </c>
      <c r="J513" s="3">
        <v>4.7304000000000004</v>
      </c>
      <c r="K513" s="3">
        <v>7.0000000000000007E-2</v>
      </c>
      <c r="L513" s="2">
        <f>Base[[#This Row],[Coût]]*Base[[#This Row],[Part_ménages_dépenses_santé]]</f>
        <v>0.33112800000000003</v>
      </c>
      <c r="M513" s="2">
        <v>1</v>
      </c>
      <c r="N513" s="6">
        <v>27700000</v>
      </c>
      <c r="O513" s="7">
        <f>Base[[#This Row],[Coût_salarié]]*10^9*Base[[#This Row],[Risque]]*Base[[#This Row],[Prévalence]]*Base[[#This Row],[Part_coûts_salarié]]/Base[[#This Row],[Population_emploi]]</f>
        <v>3.3818651096075409E-3</v>
      </c>
      <c r="P513">
        <v>50</v>
      </c>
      <c r="Q513">
        <v>50</v>
      </c>
      <c r="R513" s="2">
        <v>9.9999999999999978E-2</v>
      </c>
      <c r="S513" s="2">
        <v>0.33340000000000003</v>
      </c>
      <c r="T513" s="4">
        <v>6.593568911523901E-4</v>
      </c>
      <c r="U513" s="4">
        <f>IF(Bases_annexes!$F$5=0,16.6587111018772,0.77*Bases_annexes!$F$5/(IF(OR(ISBLANK('Données_d''entrée'!$E$44),'Données_d''entrée'!$E$44=0),35,'Données_d''entrée'!$E$44)*52))</f>
        <v>16.658711101877199</v>
      </c>
      <c r="V513" s="4">
        <v>45.453421187287603</v>
      </c>
      <c r="W5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3" s="4">
        <v>234.5</v>
      </c>
      <c r="Y513" s="4">
        <f>(Base[[#This Row],['[Maladies']Coûts_évités_par_salarié]]+Base[[#This Row],['[Travail']Coûts_évités_par_salarié]])/Base[[#This Row],[Budget_santé_salarié]]</f>
        <v>1.0337065950219429E-3</v>
      </c>
      <c r="Z513" s="4">
        <v>0.8</v>
      </c>
      <c r="AA513" s="4">
        <f>Base[[#This Row],[Coût]]*Base[[#This Row],[Part_société_dépenses_santé]]</f>
        <v>3.7843200000000006</v>
      </c>
      <c r="AB513" s="4">
        <v>67635124</v>
      </c>
      <c r="AC513" s="4">
        <v>82.297079063317852</v>
      </c>
      <c r="AD513" s="4">
        <v>6.593568911523901E-4</v>
      </c>
      <c r="AE513" s="4">
        <f>Base[[#This Row],['[SC']Prévalence_travail]]*Base[[#This Row],[Population_emploi]]</f>
        <v>18264.185884921208</v>
      </c>
      <c r="AF513" s="4">
        <f>Base[[#This Row],[Risque]]*Base[[#This Row],['[SC']Patients_en_emploi]]</f>
        <v>7836.4598582746557</v>
      </c>
      <c r="AG513" s="4">
        <v>60180000</v>
      </c>
      <c r="AH513" s="4">
        <f>IFERROR(Base[[#This Row],['[SC']Prestations]]/Base[[#This Row],['[SC']Patients_en_emploi]],0)</f>
        <v>3294.9730351619019</v>
      </c>
      <c r="AI513" s="4">
        <v>51.7</v>
      </c>
      <c r="AJ5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3" s="4">
        <f>Base[[#This Row],['[SC']'[Travail']Coûts_évités]]/Base[[#This Row],[Population_emploi]]</f>
        <v>0.93216331856114254</v>
      </c>
      <c r="AL513" s="4">
        <f>Base[[#This Row],[Coût_société]]*10^9*Base[[#This Row],[Risque]]*Base[[#This Row],[Prévalence]]*Base[[#This Row],[Part_coûts_salarié]]/Base[[#This Row],[Population_emploi]]</f>
        <v>3.8649886966943332E-2</v>
      </c>
      <c r="AM513" s="4">
        <f>IF(Base[[#This Row],[Pathologie]]&lt;&gt;"Dépendance",0,14909.24243952)</f>
        <v>0</v>
      </c>
      <c r="AN513" s="4">
        <f>IF(Base[[#This Row],[Pathologie]]&lt;&gt;"Dépendance",0,1316000)</f>
        <v>0</v>
      </c>
      <c r="AO513" s="4">
        <f>IF(Base[[#This Row],[Pathologie]]&lt;&gt;"Dépendance",0,Base[[#This Row],['[SC']Coût_personne_dépendante]]*Base[[#This Row],['[SC']Nb_personnes_dépendantes]])</f>
        <v>0</v>
      </c>
      <c r="AP513" s="4">
        <f>IF(Base[[#This Row],[Pathologie]]&lt;&gt;"Dépendance",0,Base[[#This Row],['[SC']Coût_total_dépendance]]/Base[[#This Row],[Population_totale]])</f>
        <v>0</v>
      </c>
      <c r="AQ513" s="4">
        <f>IF(Base[[#This Row],[Pathologie]]&lt;&gt;"Dépendance",0,4.5)</f>
        <v>0</v>
      </c>
      <c r="AR513" s="4">
        <v>1.0077957276768601</v>
      </c>
      <c r="AS513" s="4">
        <f>Base[[#This Row],[Espérance_vie]]+Base[[#This Row],['[SC']Hausse_esp_de_vie]]-Base[[#This Row],['[SC']Durée_moyenne_dépendance_avt]]+Base[[#This Row],[Risque]]</f>
        <v>83.733936338421501</v>
      </c>
      <c r="AT5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3" s="4">
        <v>62.9</v>
      </c>
      <c r="AW513" s="4">
        <f t="shared" si="14"/>
        <v>336905600000</v>
      </c>
      <c r="AX513" s="4">
        <v>15049171</v>
      </c>
      <c r="AY513" s="4">
        <f>Base[[#This Row],['[SC']Budget_total_retraites]]/Base[[#This Row],['[SC']Nombre_de_retraités]]</f>
        <v>22386.987296509556</v>
      </c>
      <c r="AZ513" s="4">
        <f>Base[[#This Row],['[SC']Budget_par_retraité]]*Base[[#This Row],['[SC']Nb_personnes_dépendantes]]</f>
        <v>0</v>
      </c>
      <c r="BA513" s="4">
        <f>Base[[#This Row],['[SC']'[Dépendance']Coût_retraite_personnes_dépendantes]]/Base[[#This Row],[Population_totale]]</f>
        <v>0</v>
      </c>
      <c r="BB51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3" s="4">
        <f>Base[[#This Row],['[SC']'[Dépendance']Gains]]-Base[[#This Row],['[SC']'[Dépendance']Coûts]]</f>
        <v>0</v>
      </c>
      <c r="BD513" s="4">
        <f>IF(Base[[#This Row],[Pathologie]]&lt;&gt;"Mort prématurée",0,Base[[#This Row],[Risque]]*Base[[#This Row],[Prévalence]]*Base[[#This Row],[Population_totale]])</f>
        <v>0</v>
      </c>
      <c r="BE513" s="4">
        <v>52.74</v>
      </c>
      <c r="BF513" s="4">
        <f>Base[[#This Row],['[SC']Âge_moyen_retraite]]-Base[[#This Row],['[SC']'[Mort_prématurée']Âge_moyen_mort précoce]]</f>
        <v>10.159999999999997</v>
      </c>
      <c r="BG513" s="4">
        <f>Base[[#This Row],[Espérance_vie]]+Base[[#This Row],['[SC']Hausse_esp_de_vie]]-Base[[#This Row],['[SC']Âge_moyen_retraite]]</f>
        <v>20.404874790994718</v>
      </c>
      <c r="BH513" s="4">
        <v>106583.42676924677</v>
      </c>
      <c r="BI513" s="4">
        <v>97601.789429271477</v>
      </c>
      <c r="BJ513" s="4">
        <v>302038.31496633729</v>
      </c>
      <c r="BK513" s="4">
        <v>117293.58934859755</v>
      </c>
      <c r="BL513" s="4">
        <v>1523999.9999999995</v>
      </c>
      <c r="BM5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3" s="4">
        <v>294804.96027377353</v>
      </c>
      <c r="BO5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3" s="4">
        <f>(Base[[#This Row],['[SC']'[Mort_prématurée']Gains]]-Base[[#This Row],['[SC']'[Mort_prématurée']Coûts]])/Base[[#This Row],[Population_totale]]</f>
        <v>0</v>
      </c>
      <c r="BQ513" s="4">
        <f>IF(Base[[#This Row],[Pathologie]]&lt;&gt;"Mort prématurée",0,Base[[#This Row],[Risque]])</f>
        <v>0</v>
      </c>
      <c r="BR513" s="4">
        <v>2680</v>
      </c>
      <c r="BS5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3" s="4">
        <f>Base[[#This Row],[Prévalence_prod]]*(1-Base[[#This Row],[Risque]])*Base[[#This Row],[Durée_arrêt]]*Base[[#This Row],[Population_emploi]]</f>
        <v>473975.82311480673</v>
      </c>
      <c r="BV513" s="4">
        <f>Base[[#This Row],['[Prod']'[Absentéisme']Total_jours_absence_avant]]-Base[[#This Row],['[Prod']'[Absentéisme']Total_jours_absence_après]]</f>
        <v>356193.91055542993</v>
      </c>
      <c r="BW513" s="4">
        <f>IF(AND(Base[[#This Row],[Pathologie]]&lt;&gt;"Dépendance",Base[[#This Row],[Pathologie]]&lt;&gt;"Mort prématurée",Base[[#This Row],[Pathologie]]&lt;&gt;"Migraine"),0.0619,0)</f>
        <v>6.1899999999999997E-2</v>
      </c>
      <c r="BX513" s="4">
        <v>254</v>
      </c>
      <c r="BY513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3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3" s="4">
        <f>Base[[#This Row],[Prévalence_prod]]*Base[[#This Row],[Présentéisme]]*Base[[#This Row],['[Prod']Jours_ouvrés]]</f>
        <v>0</v>
      </c>
      <c r="CB513" s="4">
        <f>Base[[#This Row],[Prévalence_prod]]*(1-Base[[#This Row],[Risque]])*Base[[#This Row],[Présentéisme]]*Base[[#This Row],['[Prod']Jours_ouvrés]]</f>
        <v>0</v>
      </c>
      <c r="CC513" s="4">
        <f>Base[[#This Row],['[Prod']'[Présentéisme']Jours_avant]]-Base[[#This Row],['[Prod']'[Présentéisme']Jours_après]]</f>
        <v>0</v>
      </c>
      <c r="CD513" s="4">
        <f>Base[[#This Row],['[Prod']'[Présentéisme']Jours_gagnés]]/Base[[#This Row],['[Prod']Jours_ouvrés]]</f>
        <v>0</v>
      </c>
      <c r="CE513">
        <v>9.3428413505841454E-2</v>
      </c>
      <c r="CF513">
        <v>2.1038737314955848E-2</v>
      </c>
      <c r="CG513" s="4">
        <v>11</v>
      </c>
      <c r="CH513" s="4">
        <v>1.1624525375985588</v>
      </c>
      <c r="CI513" s="4">
        <v>3.7953151649308701E-2</v>
      </c>
      <c r="CJ513" s="4">
        <f>IF(Base[[#This Row],[Secteur]]&lt;&gt;"Moyenne",Base[[#This Row],['[Prod']'[Turnover']DMC_initiale]]*(1+Base[[#This Row],['[Prod']'[Turnover']Ecart_accidents]]*Base[[#This Row],['[Prod']Impact_motifs_turnover]]),CJ496*CI496+CJ497*CI497+CJ498*CI498+CJ499*CI499+CJ500*CI500+CJ501*CI501+CJ502*CI502+CJ503*CI503+CJ504*CI504+CJ505*CI505+CJ506*CI506+CJ507*CI507+CJ508*CI508+CJ509*CI509+CJ510*CI510+CJ511*CI511+CJ512*CI512)</f>
        <v>11.269021869376038</v>
      </c>
      <c r="CK513" s="4">
        <f>1/Base[[#This Row],['[Prod']'[Turnover']DMC_initiale]]</f>
        <v>9.0909090909090912E-2</v>
      </c>
      <c r="CL513" s="4">
        <f>1/Base[[#This Row],['[Prod']'[Turnover']DMC_finale]]</f>
        <v>8.8738846333907204E-2</v>
      </c>
    </row>
    <row r="514" spans="2:90" x14ac:dyDescent="0.25">
      <c r="B514" s="4" t="s">
        <v>326</v>
      </c>
      <c r="C514">
        <v>30</v>
      </c>
      <c r="D514" t="s">
        <v>85</v>
      </c>
      <c r="E514" t="s">
        <v>5</v>
      </c>
      <c r="F514" s="3">
        <v>0.42906154742678049</v>
      </c>
      <c r="G514" s="3">
        <v>6.593568911523901E-4</v>
      </c>
      <c r="H514" s="3">
        <v>6.593568911523901E-4</v>
      </c>
      <c r="I514" s="3">
        <v>0</v>
      </c>
      <c r="J514" s="3">
        <v>4.7304000000000004</v>
      </c>
      <c r="K514" s="3">
        <v>7.0000000000000007E-2</v>
      </c>
      <c r="L514" s="2">
        <f>Base[[#This Row],[Coût]]*Base[[#This Row],[Part_ménages_dépenses_santé]]</f>
        <v>0.33112800000000003</v>
      </c>
      <c r="M514" s="2">
        <v>1</v>
      </c>
      <c r="N514" s="6">
        <v>27700000</v>
      </c>
      <c r="O514" s="7">
        <f>Base[[#This Row],[Coût_salarié]]*10^9*Base[[#This Row],[Risque]]*Base[[#This Row],[Prévalence]]*Base[[#This Row],[Part_coûts_salarié]]/Base[[#This Row],[Population_emploi]]</f>
        <v>3.3818651096075409E-3</v>
      </c>
      <c r="P514">
        <v>50</v>
      </c>
      <c r="Q514">
        <v>50</v>
      </c>
      <c r="R514" s="2">
        <v>9.9999999999999978E-2</v>
      </c>
      <c r="S514" s="2">
        <v>0.33340000000000003</v>
      </c>
      <c r="T514" s="4">
        <v>6.593568911523901E-4</v>
      </c>
      <c r="U514" s="4">
        <f>IF(Bases_annexes!$F$5=0,16.6587111018772,0.77*Bases_annexes!$F$5/(IF(OR(ISBLANK('Données_d''entrée'!$E$44),'Données_d''entrée'!$E$44=0),35,'Données_d''entrée'!$E$44)*52))</f>
        <v>16.658711101877199</v>
      </c>
      <c r="V514" s="4">
        <v>45.453421187287603</v>
      </c>
      <c r="W5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4" s="4">
        <v>234.5</v>
      </c>
      <c r="Y514" s="4">
        <f>(Base[[#This Row],['[Maladies']Coûts_évités_par_salarié]]+Base[[#This Row],['[Travail']Coûts_évités_par_salarié]])/Base[[#This Row],[Budget_santé_salarié]]</f>
        <v>1.0337065950219429E-3</v>
      </c>
      <c r="Z514" s="4">
        <v>0.8</v>
      </c>
      <c r="AA514" s="4">
        <f>Base[[#This Row],[Coût]]*Base[[#This Row],[Part_société_dépenses_santé]]</f>
        <v>3.7843200000000006</v>
      </c>
      <c r="AB514" s="4">
        <v>67635124</v>
      </c>
      <c r="AC514" s="4">
        <v>82.297079063317852</v>
      </c>
      <c r="AD514" s="4">
        <v>6.593568911523901E-4</v>
      </c>
      <c r="AE514" s="4">
        <f>Base[[#This Row],['[SC']Prévalence_travail]]*Base[[#This Row],[Population_emploi]]</f>
        <v>18264.185884921208</v>
      </c>
      <c r="AF514" s="4">
        <f>Base[[#This Row],[Risque]]*Base[[#This Row],['[SC']Patients_en_emploi]]</f>
        <v>7836.4598582746557</v>
      </c>
      <c r="AG514" s="4">
        <v>60180000</v>
      </c>
      <c r="AH514" s="4">
        <f>IFERROR(Base[[#This Row],['[SC']Prestations]]/Base[[#This Row],['[SC']Patients_en_emploi]],0)</f>
        <v>3294.9730351619019</v>
      </c>
      <c r="AI514" s="4">
        <v>51.7</v>
      </c>
      <c r="AJ5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4" s="4">
        <f>Base[[#This Row],['[SC']'[Travail']Coûts_évités]]/Base[[#This Row],[Population_emploi]]</f>
        <v>0.93216331856114254</v>
      </c>
      <c r="AL514" s="4">
        <f>Base[[#This Row],[Coût_société]]*10^9*Base[[#This Row],[Risque]]*Base[[#This Row],[Prévalence]]*Base[[#This Row],[Part_coûts_salarié]]/Base[[#This Row],[Population_emploi]]</f>
        <v>3.8649886966943332E-2</v>
      </c>
      <c r="AM514" s="4">
        <f>IF(Base[[#This Row],[Pathologie]]&lt;&gt;"Dépendance",0,14909.24243952)</f>
        <v>0</v>
      </c>
      <c r="AN514" s="4">
        <f>IF(Base[[#This Row],[Pathologie]]&lt;&gt;"Dépendance",0,1316000)</f>
        <v>0</v>
      </c>
      <c r="AO514" s="4">
        <f>IF(Base[[#This Row],[Pathologie]]&lt;&gt;"Dépendance",0,Base[[#This Row],['[SC']Coût_personne_dépendante]]*Base[[#This Row],['[SC']Nb_personnes_dépendantes]])</f>
        <v>0</v>
      </c>
      <c r="AP514" s="4">
        <f>IF(Base[[#This Row],[Pathologie]]&lt;&gt;"Dépendance",0,Base[[#This Row],['[SC']Coût_total_dépendance]]/Base[[#This Row],[Population_totale]])</f>
        <v>0</v>
      </c>
      <c r="AQ514" s="4">
        <f>IF(Base[[#This Row],[Pathologie]]&lt;&gt;"Dépendance",0,4.5)</f>
        <v>0</v>
      </c>
      <c r="AR514" s="4">
        <v>1.0077957276768601</v>
      </c>
      <c r="AS514" s="4">
        <f>Base[[#This Row],[Espérance_vie]]+Base[[#This Row],['[SC']Hausse_esp_de_vie]]-Base[[#This Row],['[SC']Durée_moyenne_dépendance_avt]]+Base[[#This Row],[Risque]]</f>
        <v>83.733936338421501</v>
      </c>
      <c r="AT5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4" s="4">
        <v>62.9</v>
      </c>
      <c r="AW514" s="4">
        <f t="shared" si="14"/>
        <v>336905600000</v>
      </c>
      <c r="AX514" s="4">
        <v>15049171</v>
      </c>
      <c r="AY514" s="4">
        <f>Base[[#This Row],['[SC']Budget_total_retraites]]/Base[[#This Row],['[SC']Nombre_de_retraités]]</f>
        <v>22386.987296509556</v>
      </c>
      <c r="AZ514" s="4">
        <f>Base[[#This Row],['[SC']Budget_par_retraité]]*Base[[#This Row],['[SC']Nb_personnes_dépendantes]]</f>
        <v>0</v>
      </c>
      <c r="BA514" s="4">
        <f>Base[[#This Row],['[SC']'[Dépendance']Coût_retraite_personnes_dépendantes]]/Base[[#This Row],[Population_totale]]</f>
        <v>0</v>
      </c>
      <c r="BB51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4" s="4">
        <f>Base[[#This Row],['[SC']'[Dépendance']Gains]]-Base[[#This Row],['[SC']'[Dépendance']Coûts]]</f>
        <v>0</v>
      </c>
      <c r="BD514" s="4">
        <f>IF(Base[[#This Row],[Pathologie]]&lt;&gt;"Mort prématurée",0,Base[[#This Row],[Risque]]*Base[[#This Row],[Prévalence]]*Base[[#This Row],[Population_totale]])</f>
        <v>0</v>
      </c>
      <c r="BE514" s="4">
        <v>52.74</v>
      </c>
      <c r="BF514" s="4">
        <f>Base[[#This Row],['[SC']Âge_moyen_retraite]]-Base[[#This Row],['[SC']'[Mort_prématurée']Âge_moyen_mort précoce]]</f>
        <v>10.159999999999997</v>
      </c>
      <c r="BG514" s="4">
        <f>Base[[#This Row],[Espérance_vie]]+Base[[#This Row],['[SC']Hausse_esp_de_vie]]-Base[[#This Row],['[SC']Âge_moyen_retraite]]</f>
        <v>20.404874790994718</v>
      </c>
      <c r="BH514" s="4">
        <v>106583.42676924677</v>
      </c>
      <c r="BI514" s="4">
        <v>97601.789429271477</v>
      </c>
      <c r="BJ514" s="4">
        <v>302038.31496633729</v>
      </c>
      <c r="BK514" s="4">
        <v>117293.58934859755</v>
      </c>
      <c r="BL514" s="4">
        <v>1523999.9999999995</v>
      </c>
      <c r="BM5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4" s="4">
        <v>294804.96027377353</v>
      </c>
      <c r="BO5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4" s="4">
        <f>(Base[[#This Row],['[SC']'[Mort_prématurée']Gains]]-Base[[#This Row],['[SC']'[Mort_prématurée']Coûts]])/Base[[#This Row],[Population_totale]]</f>
        <v>0</v>
      </c>
      <c r="BQ514" s="4">
        <f>IF(Base[[#This Row],[Pathologie]]&lt;&gt;"Mort prématurée",0,Base[[#This Row],[Risque]])</f>
        <v>0</v>
      </c>
      <c r="BR514" s="4">
        <v>2680</v>
      </c>
      <c r="BS5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4" s="4">
        <f>Base[[#This Row],[Prévalence_prod]]*(1-Base[[#This Row],[Risque]])*Base[[#This Row],[Durée_arrêt]]*Base[[#This Row],[Population_emploi]]</f>
        <v>473975.82311480673</v>
      </c>
      <c r="BV514" s="4">
        <f>Base[[#This Row],['[Prod']'[Absentéisme']Total_jours_absence_avant]]-Base[[#This Row],['[Prod']'[Absentéisme']Total_jours_absence_après]]</f>
        <v>356193.91055542993</v>
      </c>
      <c r="BW514" s="4">
        <f>IF(AND(Base[[#This Row],[Pathologie]]&lt;&gt;"Dépendance",Base[[#This Row],[Pathologie]]&lt;&gt;"Mort prématurée",Base[[#This Row],[Pathologie]]&lt;&gt;"Migraine"),0.0619,0)</f>
        <v>6.1899999999999997E-2</v>
      </c>
      <c r="BX514" s="4">
        <v>254</v>
      </c>
      <c r="BY514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4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4" s="4">
        <f>Base[[#This Row],[Prévalence_prod]]*Base[[#This Row],[Présentéisme]]*Base[[#This Row],['[Prod']Jours_ouvrés]]</f>
        <v>0</v>
      </c>
      <c r="CB514" s="4">
        <f>Base[[#This Row],[Prévalence_prod]]*(1-Base[[#This Row],[Risque]])*Base[[#This Row],[Présentéisme]]*Base[[#This Row],['[Prod']Jours_ouvrés]]</f>
        <v>0</v>
      </c>
      <c r="CC514" s="4">
        <f>Base[[#This Row],['[Prod']'[Présentéisme']Jours_avant]]-Base[[#This Row],['[Prod']'[Présentéisme']Jours_après]]</f>
        <v>0</v>
      </c>
      <c r="CD514" s="4">
        <f>Base[[#This Row],['[Prod']'[Présentéisme']Jours_gagnés]]/Base[[#This Row],['[Prod']Jours_ouvrés]]</f>
        <v>0</v>
      </c>
      <c r="CE514">
        <v>9.3428413505841454E-2</v>
      </c>
      <c r="CF514">
        <v>2.1038737314955848E-2</v>
      </c>
      <c r="CG514" s="4">
        <v>11</v>
      </c>
      <c r="CH514" s="4">
        <v>0.19346787829229528</v>
      </c>
      <c r="CI514" s="4">
        <v>2.8126549817953091E-2</v>
      </c>
      <c r="CJ514" s="4">
        <f>IF(Base[[#This Row],[Secteur]]&lt;&gt;"Moyenne",Base[[#This Row],['[Prod']'[Turnover']DMC_initiale]]*(1+Base[[#This Row],['[Prod']'[Turnover']Ecart_accidents]]*Base[[#This Row],['[Prod']Impact_motifs_turnover]]),CJ497*CI497+CJ498*CI498+CJ499*CI499+CJ500*CI500+CJ501*CI501+CJ502*CI502+CJ503*CI503+CJ504*CI504+CJ505*CI505+CJ506*CI506+CJ507*CI507+CJ508*CI508+CJ509*CI509+CJ510*CI510+CJ511*CI511+CJ512*CI512+CJ513*CI513)</f>
        <v>11.044773518573008</v>
      </c>
      <c r="CK514" s="4">
        <f>1/Base[[#This Row],['[Prod']'[Turnover']DMC_initiale]]</f>
        <v>9.0909090909090912E-2</v>
      </c>
      <c r="CL514" s="4">
        <f>1/Base[[#This Row],['[Prod']'[Turnover']DMC_finale]]</f>
        <v>9.0540561861082031E-2</v>
      </c>
    </row>
    <row r="515" spans="2:90" x14ac:dyDescent="0.25">
      <c r="B515" s="4" t="s">
        <v>327</v>
      </c>
      <c r="C515">
        <v>30</v>
      </c>
      <c r="D515" t="s">
        <v>85</v>
      </c>
      <c r="E515" t="s">
        <v>5</v>
      </c>
      <c r="F515" s="3">
        <v>0.42906154742678049</v>
      </c>
      <c r="G515" s="3">
        <v>6.593568911523901E-4</v>
      </c>
      <c r="H515" s="3">
        <v>6.593568911523901E-4</v>
      </c>
      <c r="I515" s="3">
        <v>0</v>
      </c>
      <c r="J515" s="3">
        <v>4.7304000000000004</v>
      </c>
      <c r="K515" s="3">
        <v>7.0000000000000007E-2</v>
      </c>
      <c r="L515" s="2">
        <f>Base[[#This Row],[Coût]]*Base[[#This Row],[Part_ménages_dépenses_santé]]</f>
        <v>0.33112800000000003</v>
      </c>
      <c r="M515" s="2">
        <v>1</v>
      </c>
      <c r="N515" s="6">
        <v>27700000</v>
      </c>
      <c r="O515" s="7">
        <f>Base[[#This Row],[Coût_salarié]]*10^9*Base[[#This Row],[Risque]]*Base[[#This Row],[Prévalence]]*Base[[#This Row],[Part_coûts_salarié]]/Base[[#This Row],[Population_emploi]]</f>
        <v>3.3818651096075409E-3</v>
      </c>
      <c r="P515">
        <v>50</v>
      </c>
      <c r="Q515">
        <v>50</v>
      </c>
      <c r="R515" s="2">
        <v>9.9999999999999978E-2</v>
      </c>
      <c r="S515" s="2">
        <v>0.33340000000000003</v>
      </c>
      <c r="T515" s="4">
        <v>6.593568911523901E-4</v>
      </c>
      <c r="U515" s="4">
        <f>IF(Bases_annexes!$F$5=0,16.6587111018772,0.77*Bases_annexes!$F$5/(IF(OR(ISBLANK('Données_d''entrée'!$E$44),'Données_d''entrée'!$E$44=0),35,'Données_d''entrée'!$E$44)*52))</f>
        <v>16.658711101877199</v>
      </c>
      <c r="V515" s="4">
        <v>45.453421187287603</v>
      </c>
      <c r="W5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5" s="4">
        <v>234.5</v>
      </c>
      <c r="Y515" s="4">
        <f>(Base[[#This Row],['[Maladies']Coûts_évités_par_salarié]]+Base[[#This Row],['[Travail']Coûts_évités_par_salarié]])/Base[[#This Row],[Budget_santé_salarié]]</f>
        <v>1.0337065950219429E-3</v>
      </c>
      <c r="Z515" s="4">
        <v>0.8</v>
      </c>
      <c r="AA515" s="4">
        <f>Base[[#This Row],[Coût]]*Base[[#This Row],[Part_société_dépenses_santé]]</f>
        <v>3.7843200000000006</v>
      </c>
      <c r="AB515" s="4">
        <v>67635124</v>
      </c>
      <c r="AC515" s="4">
        <v>82.297079063317852</v>
      </c>
      <c r="AD515" s="4">
        <v>6.593568911523901E-4</v>
      </c>
      <c r="AE515" s="4">
        <f>Base[[#This Row],['[SC']Prévalence_travail]]*Base[[#This Row],[Population_emploi]]</f>
        <v>18264.185884921208</v>
      </c>
      <c r="AF515" s="4">
        <f>Base[[#This Row],[Risque]]*Base[[#This Row],['[SC']Patients_en_emploi]]</f>
        <v>7836.4598582746557</v>
      </c>
      <c r="AG515" s="4">
        <v>60180000</v>
      </c>
      <c r="AH515" s="4">
        <f>IFERROR(Base[[#This Row],['[SC']Prestations]]/Base[[#This Row],['[SC']Patients_en_emploi]],0)</f>
        <v>3294.9730351619019</v>
      </c>
      <c r="AI515" s="4">
        <v>51.7</v>
      </c>
      <c r="AJ5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5" s="4">
        <f>Base[[#This Row],['[SC']'[Travail']Coûts_évités]]/Base[[#This Row],[Population_emploi]]</f>
        <v>0.93216331856114254</v>
      </c>
      <c r="AL515" s="4">
        <f>Base[[#This Row],[Coût_société]]*10^9*Base[[#This Row],[Risque]]*Base[[#This Row],[Prévalence]]*Base[[#This Row],[Part_coûts_salarié]]/Base[[#This Row],[Population_emploi]]</f>
        <v>3.8649886966943332E-2</v>
      </c>
      <c r="AM515" s="4">
        <f>IF(Base[[#This Row],[Pathologie]]&lt;&gt;"Dépendance",0,14909.24243952)</f>
        <v>0</v>
      </c>
      <c r="AN515" s="4">
        <f>IF(Base[[#This Row],[Pathologie]]&lt;&gt;"Dépendance",0,1316000)</f>
        <v>0</v>
      </c>
      <c r="AO515" s="4">
        <f>IF(Base[[#This Row],[Pathologie]]&lt;&gt;"Dépendance",0,Base[[#This Row],['[SC']Coût_personne_dépendante]]*Base[[#This Row],['[SC']Nb_personnes_dépendantes]])</f>
        <v>0</v>
      </c>
      <c r="AP515" s="4">
        <f>IF(Base[[#This Row],[Pathologie]]&lt;&gt;"Dépendance",0,Base[[#This Row],['[SC']Coût_total_dépendance]]/Base[[#This Row],[Population_totale]])</f>
        <v>0</v>
      </c>
      <c r="AQ515" s="4">
        <f>IF(Base[[#This Row],[Pathologie]]&lt;&gt;"Dépendance",0,4.5)</f>
        <v>0</v>
      </c>
      <c r="AR515" s="4">
        <v>1.0077957276768601</v>
      </c>
      <c r="AS515" s="4">
        <f>Base[[#This Row],[Espérance_vie]]+Base[[#This Row],['[SC']Hausse_esp_de_vie]]-Base[[#This Row],['[SC']Durée_moyenne_dépendance_avt]]+Base[[#This Row],[Risque]]</f>
        <v>83.733936338421501</v>
      </c>
      <c r="AT5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5" s="4">
        <v>62.9</v>
      </c>
      <c r="AW515" s="4">
        <f t="shared" si="14"/>
        <v>336905600000</v>
      </c>
      <c r="AX515" s="4">
        <v>15049171</v>
      </c>
      <c r="AY515" s="4">
        <f>Base[[#This Row],['[SC']Budget_total_retraites]]/Base[[#This Row],['[SC']Nombre_de_retraités]]</f>
        <v>22386.987296509556</v>
      </c>
      <c r="AZ515" s="4">
        <f>Base[[#This Row],['[SC']Budget_par_retraité]]*Base[[#This Row],['[SC']Nb_personnes_dépendantes]]</f>
        <v>0</v>
      </c>
      <c r="BA515" s="4">
        <f>Base[[#This Row],['[SC']'[Dépendance']Coût_retraite_personnes_dépendantes]]/Base[[#This Row],[Population_totale]]</f>
        <v>0</v>
      </c>
      <c r="BB51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5" s="4">
        <f>Base[[#This Row],['[SC']'[Dépendance']Gains]]-Base[[#This Row],['[SC']'[Dépendance']Coûts]]</f>
        <v>0</v>
      </c>
      <c r="BD515" s="4">
        <f>IF(Base[[#This Row],[Pathologie]]&lt;&gt;"Mort prématurée",0,Base[[#This Row],[Risque]]*Base[[#This Row],[Prévalence]]*Base[[#This Row],[Population_totale]])</f>
        <v>0</v>
      </c>
      <c r="BE515" s="4">
        <v>52.74</v>
      </c>
      <c r="BF515" s="4">
        <f>Base[[#This Row],['[SC']Âge_moyen_retraite]]-Base[[#This Row],['[SC']'[Mort_prématurée']Âge_moyen_mort précoce]]</f>
        <v>10.159999999999997</v>
      </c>
      <c r="BG515" s="4">
        <f>Base[[#This Row],[Espérance_vie]]+Base[[#This Row],['[SC']Hausse_esp_de_vie]]-Base[[#This Row],['[SC']Âge_moyen_retraite]]</f>
        <v>20.404874790994718</v>
      </c>
      <c r="BH515" s="4">
        <v>106583.42676924677</v>
      </c>
      <c r="BI515" s="4">
        <v>97601.789429271477</v>
      </c>
      <c r="BJ515" s="4">
        <v>302038.31496633729</v>
      </c>
      <c r="BK515" s="4">
        <v>117293.58934859755</v>
      </c>
      <c r="BL515" s="4">
        <v>1523999.9999999995</v>
      </c>
      <c r="BM5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5" s="4">
        <v>294804.96027377353</v>
      </c>
      <c r="BO5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5" s="4">
        <f>(Base[[#This Row],['[SC']'[Mort_prématurée']Gains]]-Base[[#This Row],['[SC']'[Mort_prématurée']Coûts]])/Base[[#This Row],[Population_totale]]</f>
        <v>0</v>
      </c>
      <c r="BQ515" s="4">
        <f>IF(Base[[#This Row],[Pathologie]]&lt;&gt;"Mort prématurée",0,Base[[#This Row],[Risque]])</f>
        <v>0</v>
      </c>
      <c r="BR515" s="4">
        <v>2680</v>
      </c>
      <c r="BS5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5" s="4">
        <f>Base[[#This Row],[Prévalence_prod]]*(1-Base[[#This Row],[Risque]])*Base[[#This Row],[Durée_arrêt]]*Base[[#This Row],[Population_emploi]]</f>
        <v>473975.82311480673</v>
      </c>
      <c r="BV515" s="4">
        <f>Base[[#This Row],['[Prod']'[Absentéisme']Total_jours_absence_avant]]-Base[[#This Row],['[Prod']'[Absentéisme']Total_jours_absence_après]]</f>
        <v>356193.91055542993</v>
      </c>
      <c r="BW515" s="4">
        <f>IF(AND(Base[[#This Row],[Pathologie]]&lt;&gt;"Dépendance",Base[[#This Row],[Pathologie]]&lt;&gt;"Mort prématurée",Base[[#This Row],[Pathologie]]&lt;&gt;"Migraine"),0.0619,0)</f>
        <v>6.1899999999999997E-2</v>
      </c>
      <c r="BX515" s="4">
        <v>254</v>
      </c>
      <c r="BY515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5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5" s="4">
        <f>Base[[#This Row],[Prévalence_prod]]*Base[[#This Row],[Présentéisme]]*Base[[#This Row],['[Prod']Jours_ouvrés]]</f>
        <v>0</v>
      </c>
      <c r="CB515" s="4">
        <f>Base[[#This Row],[Prévalence_prod]]*(1-Base[[#This Row],[Risque]])*Base[[#This Row],[Présentéisme]]*Base[[#This Row],['[Prod']Jours_ouvrés]]</f>
        <v>0</v>
      </c>
      <c r="CC515" s="4">
        <f>Base[[#This Row],['[Prod']'[Présentéisme']Jours_avant]]-Base[[#This Row],['[Prod']'[Présentéisme']Jours_après]]</f>
        <v>0</v>
      </c>
      <c r="CD515" s="4">
        <f>Base[[#This Row],['[Prod']'[Présentéisme']Jours_gagnés]]/Base[[#This Row],['[Prod']Jours_ouvrés]]</f>
        <v>0</v>
      </c>
      <c r="CE515">
        <v>9.3428413505841454E-2</v>
      </c>
      <c r="CF515">
        <v>2.1038737314955848E-2</v>
      </c>
      <c r="CG515" s="4">
        <v>11</v>
      </c>
      <c r="CH515" s="4">
        <v>0.13729577077682142</v>
      </c>
      <c r="CI515" s="4">
        <v>1.373516710817578E-2</v>
      </c>
      <c r="CJ515" s="4">
        <f>IF(Base[[#This Row],[Secteur]]&lt;&gt;"Moyenne",Base[[#This Row],['[Prod']'[Turnover']DMC_initiale]]*(1+Base[[#This Row],['[Prod']'[Turnover']Ecart_accidents]]*Base[[#This Row],['[Prod']Impact_motifs_turnover]]),CJ498*CI498+CJ499*CI499+CJ500*CI500+CJ501*CI501+CJ502*CI502+CJ503*CI503+CJ504*CI504+CJ505*CI505+CJ506*CI506+CJ507*CI507+CJ508*CI508+CJ509*CI509+CJ510*CI510+CJ511*CI511+CJ512*CI512+CJ513*CI513+CJ514*CI514)</f>
        <v>11.031773826214106</v>
      </c>
      <c r="CK515" s="4">
        <f>1/Base[[#This Row],['[Prod']'[Turnover']DMC_initiale]]</f>
        <v>9.0909090909090912E-2</v>
      </c>
      <c r="CL515" s="4">
        <f>1/Base[[#This Row],['[Prod']'[Turnover']DMC_finale]]</f>
        <v>9.0647253628764871E-2</v>
      </c>
    </row>
    <row r="516" spans="2:90" x14ac:dyDescent="0.25">
      <c r="B516" s="4" t="s">
        <v>328</v>
      </c>
      <c r="C516">
        <v>30</v>
      </c>
      <c r="D516" t="s">
        <v>85</v>
      </c>
      <c r="E516" t="s">
        <v>5</v>
      </c>
      <c r="F516" s="3">
        <v>0.42906154742678049</v>
      </c>
      <c r="G516" s="3">
        <v>6.593568911523901E-4</v>
      </c>
      <c r="H516" s="3">
        <v>6.593568911523901E-4</v>
      </c>
      <c r="I516" s="3">
        <v>0</v>
      </c>
      <c r="J516" s="3">
        <v>4.7304000000000004</v>
      </c>
      <c r="K516" s="3">
        <v>7.0000000000000007E-2</v>
      </c>
      <c r="L516" s="2">
        <f>Base[[#This Row],[Coût]]*Base[[#This Row],[Part_ménages_dépenses_santé]]</f>
        <v>0.33112800000000003</v>
      </c>
      <c r="M516" s="2">
        <v>1</v>
      </c>
      <c r="N516" s="6">
        <v>27700000</v>
      </c>
      <c r="O516" s="7">
        <f>Base[[#This Row],[Coût_salarié]]*10^9*Base[[#This Row],[Risque]]*Base[[#This Row],[Prévalence]]*Base[[#This Row],[Part_coûts_salarié]]/Base[[#This Row],[Population_emploi]]</f>
        <v>3.3818651096075409E-3</v>
      </c>
      <c r="P516">
        <v>50</v>
      </c>
      <c r="Q516">
        <v>50</v>
      </c>
      <c r="R516" s="2">
        <v>9.9999999999999978E-2</v>
      </c>
      <c r="S516" s="2">
        <v>0.33340000000000003</v>
      </c>
      <c r="T516" s="4">
        <v>6.593568911523901E-4</v>
      </c>
      <c r="U516" s="4">
        <f>IF(Bases_annexes!$F$5=0,16.6587111018772,0.77*Bases_annexes!$F$5/(IF(OR(ISBLANK('Données_d''entrée'!$E$44),'Données_d''entrée'!$E$44=0),35,'Données_d''entrée'!$E$44)*52))</f>
        <v>16.658711101877199</v>
      </c>
      <c r="V516" s="4">
        <v>45.453421187287603</v>
      </c>
      <c r="W5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6" s="4">
        <v>234.5</v>
      </c>
      <c r="Y516" s="4">
        <f>(Base[[#This Row],['[Maladies']Coûts_évités_par_salarié]]+Base[[#This Row],['[Travail']Coûts_évités_par_salarié]])/Base[[#This Row],[Budget_santé_salarié]]</f>
        <v>1.0337065950219429E-3</v>
      </c>
      <c r="Z516" s="4">
        <v>0.8</v>
      </c>
      <c r="AA516" s="4">
        <f>Base[[#This Row],[Coût]]*Base[[#This Row],[Part_société_dépenses_santé]]</f>
        <v>3.7843200000000006</v>
      </c>
      <c r="AB516" s="4">
        <v>67635124</v>
      </c>
      <c r="AC516" s="4">
        <v>82.297079063317852</v>
      </c>
      <c r="AD516" s="4">
        <v>6.593568911523901E-4</v>
      </c>
      <c r="AE516" s="4">
        <f>Base[[#This Row],['[SC']Prévalence_travail]]*Base[[#This Row],[Population_emploi]]</f>
        <v>18264.185884921208</v>
      </c>
      <c r="AF516" s="4">
        <f>Base[[#This Row],[Risque]]*Base[[#This Row],['[SC']Patients_en_emploi]]</f>
        <v>7836.4598582746557</v>
      </c>
      <c r="AG516" s="4">
        <v>60180000</v>
      </c>
      <c r="AH516" s="4">
        <f>IFERROR(Base[[#This Row],['[SC']Prestations]]/Base[[#This Row],['[SC']Patients_en_emploi]],0)</f>
        <v>3294.9730351619019</v>
      </c>
      <c r="AI516" s="4">
        <v>51.7</v>
      </c>
      <c r="AJ5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6" s="4">
        <f>Base[[#This Row],['[SC']'[Travail']Coûts_évités]]/Base[[#This Row],[Population_emploi]]</f>
        <v>0.93216331856114254</v>
      </c>
      <c r="AL516" s="4">
        <f>Base[[#This Row],[Coût_société]]*10^9*Base[[#This Row],[Risque]]*Base[[#This Row],[Prévalence]]*Base[[#This Row],[Part_coûts_salarié]]/Base[[#This Row],[Population_emploi]]</f>
        <v>3.8649886966943332E-2</v>
      </c>
      <c r="AM516" s="4">
        <f>IF(Base[[#This Row],[Pathologie]]&lt;&gt;"Dépendance",0,14909.24243952)</f>
        <v>0</v>
      </c>
      <c r="AN516" s="4">
        <f>IF(Base[[#This Row],[Pathologie]]&lt;&gt;"Dépendance",0,1316000)</f>
        <v>0</v>
      </c>
      <c r="AO516" s="4">
        <f>IF(Base[[#This Row],[Pathologie]]&lt;&gt;"Dépendance",0,Base[[#This Row],['[SC']Coût_personne_dépendante]]*Base[[#This Row],['[SC']Nb_personnes_dépendantes]])</f>
        <v>0</v>
      </c>
      <c r="AP516" s="4">
        <f>IF(Base[[#This Row],[Pathologie]]&lt;&gt;"Dépendance",0,Base[[#This Row],['[SC']Coût_total_dépendance]]/Base[[#This Row],[Population_totale]])</f>
        <v>0</v>
      </c>
      <c r="AQ516" s="4">
        <f>IF(Base[[#This Row],[Pathologie]]&lt;&gt;"Dépendance",0,4.5)</f>
        <v>0</v>
      </c>
      <c r="AR516" s="4">
        <v>1.0077957276768601</v>
      </c>
      <c r="AS516" s="4">
        <f>Base[[#This Row],[Espérance_vie]]+Base[[#This Row],['[SC']Hausse_esp_de_vie]]-Base[[#This Row],['[SC']Durée_moyenne_dépendance_avt]]+Base[[#This Row],[Risque]]</f>
        <v>83.733936338421501</v>
      </c>
      <c r="AT5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6" s="4">
        <v>62.9</v>
      </c>
      <c r="AW516" s="4">
        <f t="shared" si="14"/>
        <v>336905600000</v>
      </c>
      <c r="AX516" s="4">
        <v>15049171</v>
      </c>
      <c r="AY516" s="4">
        <f>Base[[#This Row],['[SC']Budget_total_retraites]]/Base[[#This Row],['[SC']Nombre_de_retraités]]</f>
        <v>22386.987296509556</v>
      </c>
      <c r="AZ516" s="4">
        <f>Base[[#This Row],['[SC']Budget_par_retraité]]*Base[[#This Row],['[SC']Nb_personnes_dépendantes]]</f>
        <v>0</v>
      </c>
      <c r="BA516" s="4">
        <f>Base[[#This Row],['[SC']'[Dépendance']Coût_retraite_personnes_dépendantes]]/Base[[#This Row],[Population_totale]]</f>
        <v>0</v>
      </c>
      <c r="BB51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6" s="4">
        <f>Base[[#This Row],['[SC']'[Dépendance']Gains]]-Base[[#This Row],['[SC']'[Dépendance']Coûts]]</f>
        <v>0</v>
      </c>
      <c r="BD516" s="4">
        <f>IF(Base[[#This Row],[Pathologie]]&lt;&gt;"Mort prématurée",0,Base[[#This Row],[Risque]]*Base[[#This Row],[Prévalence]]*Base[[#This Row],[Population_totale]])</f>
        <v>0</v>
      </c>
      <c r="BE516" s="4">
        <v>52.74</v>
      </c>
      <c r="BF516" s="4">
        <f>Base[[#This Row],['[SC']Âge_moyen_retraite]]-Base[[#This Row],['[SC']'[Mort_prématurée']Âge_moyen_mort précoce]]</f>
        <v>10.159999999999997</v>
      </c>
      <c r="BG516" s="4">
        <f>Base[[#This Row],[Espérance_vie]]+Base[[#This Row],['[SC']Hausse_esp_de_vie]]-Base[[#This Row],['[SC']Âge_moyen_retraite]]</f>
        <v>20.404874790994718</v>
      </c>
      <c r="BH516" s="4">
        <v>106583.42676924677</v>
      </c>
      <c r="BI516" s="4">
        <v>97601.789429271477</v>
      </c>
      <c r="BJ516" s="4">
        <v>302038.31496633729</v>
      </c>
      <c r="BK516" s="4">
        <v>117293.58934859755</v>
      </c>
      <c r="BL516" s="4">
        <v>1523999.9999999995</v>
      </c>
      <c r="BM5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6" s="4">
        <v>294804.96027377353</v>
      </c>
      <c r="BO5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6" s="4">
        <f>(Base[[#This Row],['[SC']'[Mort_prématurée']Gains]]-Base[[#This Row],['[SC']'[Mort_prématurée']Coûts]])/Base[[#This Row],[Population_totale]]</f>
        <v>0</v>
      </c>
      <c r="BQ516" s="4">
        <f>IF(Base[[#This Row],[Pathologie]]&lt;&gt;"Mort prématurée",0,Base[[#This Row],[Risque]])</f>
        <v>0</v>
      </c>
      <c r="BR516" s="4">
        <v>2680</v>
      </c>
      <c r="BS5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6" s="4">
        <f>Base[[#This Row],[Prévalence_prod]]*(1-Base[[#This Row],[Risque]])*Base[[#This Row],[Durée_arrêt]]*Base[[#This Row],[Population_emploi]]</f>
        <v>473975.82311480673</v>
      </c>
      <c r="BV516" s="4">
        <f>Base[[#This Row],['[Prod']'[Absentéisme']Total_jours_absence_avant]]-Base[[#This Row],['[Prod']'[Absentéisme']Total_jours_absence_après]]</f>
        <v>356193.91055542993</v>
      </c>
      <c r="BW516" s="4">
        <f>IF(AND(Base[[#This Row],[Pathologie]]&lt;&gt;"Dépendance",Base[[#This Row],[Pathologie]]&lt;&gt;"Mort prématurée",Base[[#This Row],[Pathologie]]&lt;&gt;"Migraine"),0.0619,0)</f>
        <v>6.1899999999999997E-2</v>
      </c>
      <c r="BX516" s="4">
        <v>254</v>
      </c>
      <c r="BY516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6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6" s="4">
        <f>Base[[#This Row],[Prévalence_prod]]*Base[[#This Row],[Présentéisme]]*Base[[#This Row],['[Prod']Jours_ouvrés]]</f>
        <v>0</v>
      </c>
      <c r="CB516" s="4">
        <f>Base[[#This Row],[Prévalence_prod]]*(1-Base[[#This Row],[Risque]])*Base[[#This Row],[Présentéisme]]*Base[[#This Row],['[Prod']Jours_ouvrés]]</f>
        <v>0</v>
      </c>
      <c r="CC516" s="4">
        <f>Base[[#This Row],['[Prod']'[Présentéisme']Jours_avant]]-Base[[#This Row],['[Prod']'[Présentéisme']Jours_après]]</f>
        <v>0</v>
      </c>
      <c r="CD516" s="4">
        <f>Base[[#This Row],['[Prod']'[Présentéisme']Jours_gagnés]]/Base[[#This Row],['[Prod']Jours_ouvrés]]</f>
        <v>0</v>
      </c>
      <c r="CE516">
        <v>9.3428413505841454E-2</v>
      </c>
      <c r="CF516">
        <v>2.1038737314955848E-2</v>
      </c>
      <c r="CG516" s="4">
        <v>11</v>
      </c>
      <c r="CH516" s="4">
        <v>0.60922528771817497</v>
      </c>
      <c r="CI516" s="4">
        <v>3.8601807163334179E-3</v>
      </c>
      <c r="CJ516" s="4">
        <f>IF(Base[[#This Row],[Secteur]]&lt;&gt;"Moyenne",Base[[#This Row],['[Prod']'[Turnover']DMC_initiale]]*(1+Base[[#This Row],['[Prod']'[Turnover']Ecart_accidents]]*Base[[#This Row],['[Prod']Impact_motifs_turnover]]),CJ499*CI499+CJ500*CI500+CJ501*CI501+CJ502*CI502+CJ503*CI503+CJ504*CI504+CJ505*CI505+CJ506*CI506+CJ507*CI507+CJ508*CI508+CJ509*CI509+CJ510*CI510+CJ511*CI511+CJ512*CI512+CJ513*CI513+CJ514*CI514+CJ515*CI515)</f>
        <v>11.140990638733241</v>
      </c>
      <c r="CK516" s="4">
        <f>1/Base[[#This Row],['[Prod']'[Turnover']DMC_initiale]]</f>
        <v>9.0909090909090912E-2</v>
      </c>
      <c r="CL516" s="4">
        <f>1/Base[[#This Row],['[Prod']'[Turnover']DMC_finale]]</f>
        <v>8.9758624921859057E-2</v>
      </c>
    </row>
    <row r="517" spans="2:90" x14ac:dyDescent="0.25">
      <c r="B517" s="4" t="s">
        <v>329</v>
      </c>
      <c r="C517">
        <v>30</v>
      </c>
      <c r="D517" t="s">
        <v>85</v>
      </c>
      <c r="E517" t="s">
        <v>5</v>
      </c>
      <c r="F517" s="3">
        <v>0.42906154742678049</v>
      </c>
      <c r="G517" s="3">
        <v>6.593568911523901E-4</v>
      </c>
      <c r="H517" s="3">
        <v>6.593568911523901E-4</v>
      </c>
      <c r="I517" s="3">
        <v>0</v>
      </c>
      <c r="J517" s="3">
        <v>4.7304000000000004</v>
      </c>
      <c r="K517" s="3">
        <v>7.0000000000000007E-2</v>
      </c>
      <c r="L517" s="2">
        <f>Base[[#This Row],[Coût]]*Base[[#This Row],[Part_ménages_dépenses_santé]]</f>
        <v>0.33112800000000003</v>
      </c>
      <c r="M517" s="2">
        <v>1</v>
      </c>
      <c r="N517" s="6">
        <v>27700000</v>
      </c>
      <c r="O517" s="7">
        <f>Base[[#This Row],[Coût_salarié]]*10^9*Base[[#This Row],[Risque]]*Base[[#This Row],[Prévalence]]*Base[[#This Row],[Part_coûts_salarié]]/Base[[#This Row],[Population_emploi]]</f>
        <v>3.3818651096075409E-3</v>
      </c>
      <c r="P517">
        <v>50</v>
      </c>
      <c r="Q517">
        <v>50</v>
      </c>
      <c r="R517" s="2">
        <v>9.9999999999999978E-2</v>
      </c>
      <c r="S517" s="2">
        <v>0.33340000000000003</v>
      </c>
      <c r="T517" s="4">
        <v>6.593568911523901E-4</v>
      </c>
      <c r="U517" s="4">
        <f>IF(Bases_annexes!$F$5=0,16.6587111018772,0.77*Bases_annexes!$F$5/(IF(OR(ISBLANK('Données_d''entrée'!$E$44),'Données_d''entrée'!$E$44=0),35,'Données_d''entrée'!$E$44)*52))</f>
        <v>16.658711101877199</v>
      </c>
      <c r="V517" s="4">
        <v>45.453421187287603</v>
      </c>
      <c r="W5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7" s="4">
        <v>234.5</v>
      </c>
      <c r="Y517" s="4">
        <f>(Base[[#This Row],['[Maladies']Coûts_évités_par_salarié]]+Base[[#This Row],['[Travail']Coûts_évités_par_salarié]])/Base[[#This Row],[Budget_santé_salarié]]</f>
        <v>1.0337065950219429E-3</v>
      </c>
      <c r="Z517" s="4">
        <v>0.8</v>
      </c>
      <c r="AA517" s="4">
        <f>Base[[#This Row],[Coût]]*Base[[#This Row],[Part_société_dépenses_santé]]</f>
        <v>3.7843200000000006</v>
      </c>
      <c r="AB517" s="4">
        <v>67635124</v>
      </c>
      <c r="AC517" s="4">
        <v>82.297079063317852</v>
      </c>
      <c r="AD517" s="4">
        <v>6.593568911523901E-4</v>
      </c>
      <c r="AE517" s="4">
        <f>Base[[#This Row],['[SC']Prévalence_travail]]*Base[[#This Row],[Population_emploi]]</f>
        <v>18264.185884921208</v>
      </c>
      <c r="AF517" s="4">
        <f>Base[[#This Row],[Risque]]*Base[[#This Row],['[SC']Patients_en_emploi]]</f>
        <v>7836.4598582746557</v>
      </c>
      <c r="AG517" s="4">
        <v>60180000</v>
      </c>
      <c r="AH517" s="4">
        <f>IFERROR(Base[[#This Row],['[SC']Prestations]]/Base[[#This Row],['[SC']Patients_en_emploi]],0)</f>
        <v>3294.9730351619019</v>
      </c>
      <c r="AI517" s="4">
        <v>51.7</v>
      </c>
      <c r="AJ5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7" s="4">
        <f>Base[[#This Row],['[SC']'[Travail']Coûts_évités]]/Base[[#This Row],[Population_emploi]]</f>
        <v>0.93216331856114254</v>
      </c>
      <c r="AL517" s="4">
        <f>Base[[#This Row],[Coût_société]]*10^9*Base[[#This Row],[Risque]]*Base[[#This Row],[Prévalence]]*Base[[#This Row],[Part_coûts_salarié]]/Base[[#This Row],[Population_emploi]]</f>
        <v>3.8649886966943332E-2</v>
      </c>
      <c r="AM517" s="4">
        <f>IF(Base[[#This Row],[Pathologie]]&lt;&gt;"Dépendance",0,14909.24243952)</f>
        <v>0</v>
      </c>
      <c r="AN517" s="4">
        <f>IF(Base[[#This Row],[Pathologie]]&lt;&gt;"Dépendance",0,1316000)</f>
        <v>0</v>
      </c>
      <c r="AO517" s="4">
        <f>IF(Base[[#This Row],[Pathologie]]&lt;&gt;"Dépendance",0,Base[[#This Row],['[SC']Coût_personne_dépendante]]*Base[[#This Row],['[SC']Nb_personnes_dépendantes]])</f>
        <v>0</v>
      </c>
      <c r="AP517" s="4">
        <f>IF(Base[[#This Row],[Pathologie]]&lt;&gt;"Dépendance",0,Base[[#This Row],['[SC']Coût_total_dépendance]]/Base[[#This Row],[Population_totale]])</f>
        <v>0</v>
      </c>
      <c r="AQ517" s="4">
        <f>IF(Base[[#This Row],[Pathologie]]&lt;&gt;"Dépendance",0,4.5)</f>
        <v>0</v>
      </c>
      <c r="AR517" s="4">
        <v>1.0077957276768601</v>
      </c>
      <c r="AS517" s="4">
        <f>Base[[#This Row],[Espérance_vie]]+Base[[#This Row],['[SC']Hausse_esp_de_vie]]-Base[[#This Row],['[SC']Durée_moyenne_dépendance_avt]]+Base[[#This Row],[Risque]]</f>
        <v>83.733936338421501</v>
      </c>
      <c r="AT5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7" s="4">
        <v>62.9</v>
      </c>
      <c r="AW517" s="4">
        <f t="shared" si="14"/>
        <v>336905600000</v>
      </c>
      <c r="AX517" s="4">
        <v>15049171</v>
      </c>
      <c r="AY517" s="4">
        <f>Base[[#This Row],['[SC']Budget_total_retraites]]/Base[[#This Row],['[SC']Nombre_de_retraités]]</f>
        <v>22386.987296509556</v>
      </c>
      <c r="AZ517" s="4">
        <f>Base[[#This Row],['[SC']Budget_par_retraité]]*Base[[#This Row],['[SC']Nb_personnes_dépendantes]]</f>
        <v>0</v>
      </c>
      <c r="BA517" s="4">
        <f>Base[[#This Row],['[SC']'[Dépendance']Coût_retraite_personnes_dépendantes]]/Base[[#This Row],[Population_totale]]</f>
        <v>0</v>
      </c>
      <c r="BB51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7" s="4">
        <f>Base[[#This Row],['[SC']'[Dépendance']Gains]]-Base[[#This Row],['[SC']'[Dépendance']Coûts]]</f>
        <v>0</v>
      </c>
      <c r="BD517" s="4">
        <f>IF(Base[[#This Row],[Pathologie]]&lt;&gt;"Mort prématurée",0,Base[[#This Row],[Risque]]*Base[[#This Row],[Prévalence]]*Base[[#This Row],[Population_totale]])</f>
        <v>0</v>
      </c>
      <c r="BE517" s="4">
        <v>52.74</v>
      </c>
      <c r="BF517" s="4">
        <f>Base[[#This Row],['[SC']Âge_moyen_retraite]]-Base[[#This Row],['[SC']'[Mort_prématurée']Âge_moyen_mort précoce]]</f>
        <v>10.159999999999997</v>
      </c>
      <c r="BG517" s="4">
        <f>Base[[#This Row],[Espérance_vie]]+Base[[#This Row],['[SC']Hausse_esp_de_vie]]-Base[[#This Row],['[SC']Âge_moyen_retraite]]</f>
        <v>20.404874790994718</v>
      </c>
      <c r="BH517" s="4">
        <v>106583.42676924677</v>
      </c>
      <c r="BI517" s="4">
        <v>97601.789429271477</v>
      </c>
      <c r="BJ517" s="4">
        <v>302038.31496633729</v>
      </c>
      <c r="BK517" s="4">
        <v>117293.58934859755</v>
      </c>
      <c r="BL517" s="4">
        <v>1523999.9999999995</v>
      </c>
      <c r="BM5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7" s="4">
        <v>294804.96027377353</v>
      </c>
      <c r="BO5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7" s="4">
        <f>(Base[[#This Row],['[SC']'[Mort_prématurée']Gains]]-Base[[#This Row],['[SC']'[Mort_prématurée']Coûts]])/Base[[#This Row],[Population_totale]]</f>
        <v>0</v>
      </c>
      <c r="BQ517" s="4">
        <f>IF(Base[[#This Row],[Pathologie]]&lt;&gt;"Mort prématurée",0,Base[[#This Row],[Risque]])</f>
        <v>0</v>
      </c>
      <c r="BR517" s="4">
        <v>2680</v>
      </c>
      <c r="BS5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7" s="4">
        <f>Base[[#This Row],[Prévalence_prod]]*(1-Base[[#This Row],[Risque]])*Base[[#This Row],[Durée_arrêt]]*Base[[#This Row],[Population_emploi]]</f>
        <v>473975.82311480673</v>
      </c>
      <c r="BV517" s="4">
        <f>Base[[#This Row],['[Prod']'[Absentéisme']Total_jours_absence_avant]]-Base[[#This Row],['[Prod']'[Absentéisme']Total_jours_absence_après]]</f>
        <v>356193.91055542993</v>
      </c>
      <c r="BW517" s="4">
        <f>IF(AND(Base[[#This Row],[Pathologie]]&lt;&gt;"Dépendance",Base[[#This Row],[Pathologie]]&lt;&gt;"Mort prématurée",Base[[#This Row],[Pathologie]]&lt;&gt;"Migraine"),0.0619,0)</f>
        <v>6.1899999999999997E-2</v>
      </c>
      <c r="BX517" s="4">
        <v>254</v>
      </c>
      <c r="BY517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7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7" s="4">
        <f>Base[[#This Row],[Prévalence_prod]]*Base[[#This Row],[Présentéisme]]*Base[[#This Row],['[Prod']Jours_ouvrés]]</f>
        <v>0</v>
      </c>
      <c r="CB517" s="4">
        <f>Base[[#This Row],[Prévalence_prod]]*(1-Base[[#This Row],[Risque]])*Base[[#This Row],[Présentéisme]]*Base[[#This Row],['[Prod']Jours_ouvrés]]</f>
        <v>0</v>
      </c>
      <c r="CC517" s="4">
        <f>Base[[#This Row],['[Prod']'[Présentéisme']Jours_avant]]-Base[[#This Row],['[Prod']'[Présentéisme']Jours_après]]</f>
        <v>0</v>
      </c>
      <c r="CD517" s="4">
        <f>Base[[#This Row],['[Prod']'[Présentéisme']Jours_gagnés]]/Base[[#This Row],['[Prod']Jours_ouvrés]]</f>
        <v>0</v>
      </c>
      <c r="CE517">
        <v>9.3428413505841454E-2</v>
      </c>
      <c r="CF517">
        <v>2.1038737314955848E-2</v>
      </c>
      <c r="CG517" s="4">
        <v>11</v>
      </c>
      <c r="CH517" s="4">
        <v>0.78414927716175975</v>
      </c>
      <c r="CI517" s="4">
        <v>0.12835819090128339</v>
      </c>
      <c r="CJ517" s="4">
        <f>IF(Base[[#This Row],[Secteur]]&lt;&gt;"Moyenne",Base[[#This Row],['[Prod']'[Turnover']DMC_initiale]]*(1+Base[[#This Row],['[Prod']'[Turnover']Ecart_accidents]]*Base[[#This Row],['[Prod']Impact_motifs_turnover]]),CJ500*CI500+CJ501*CI501+CJ502*CI502+CJ503*CI503+CJ504*CI504+CJ505*CI505+CJ506*CI506+CJ507*CI507+CJ508*CI508+CJ509*CI509+CJ510*CI510+CJ511*CI511+CJ512*CI512+CJ513*CI513+CJ514*CI514+CJ515*CI515+CJ516*CI516)</f>
        <v>11.181472617237107</v>
      </c>
      <c r="CK517" s="4">
        <f>1/Base[[#This Row],['[Prod']'[Turnover']DMC_initiale]]</f>
        <v>9.0909090909090912E-2</v>
      </c>
      <c r="CL517" s="4">
        <f>1/Base[[#This Row],['[Prod']'[Turnover']DMC_finale]]</f>
        <v>8.9433658180088235E-2</v>
      </c>
    </row>
    <row r="518" spans="2:90" x14ac:dyDescent="0.25">
      <c r="B518" s="4" t="s">
        <v>330</v>
      </c>
      <c r="C518">
        <v>30</v>
      </c>
      <c r="D518" t="s">
        <v>85</v>
      </c>
      <c r="E518" t="s">
        <v>5</v>
      </c>
      <c r="F518" s="3">
        <v>0.42906154742678049</v>
      </c>
      <c r="G518" s="3">
        <v>6.593568911523901E-4</v>
      </c>
      <c r="H518" s="3">
        <v>6.593568911523901E-4</v>
      </c>
      <c r="I518" s="3">
        <v>0</v>
      </c>
      <c r="J518" s="3">
        <v>4.7304000000000004</v>
      </c>
      <c r="K518" s="3">
        <v>7.0000000000000007E-2</v>
      </c>
      <c r="L518" s="2">
        <f>Base[[#This Row],[Coût]]*Base[[#This Row],[Part_ménages_dépenses_santé]]</f>
        <v>0.33112800000000003</v>
      </c>
      <c r="M518" s="2">
        <v>1</v>
      </c>
      <c r="N518" s="6">
        <v>27700000</v>
      </c>
      <c r="O518" s="7">
        <f>Base[[#This Row],[Coût_salarié]]*10^9*Base[[#This Row],[Risque]]*Base[[#This Row],[Prévalence]]*Base[[#This Row],[Part_coûts_salarié]]/Base[[#This Row],[Population_emploi]]</f>
        <v>3.3818651096075409E-3</v>
      </c>
      <c r="P518">
        <v>50</v>
      </c>
      <c r="Q518">
        <v>50</v>
      </c>
      <c r="R518" s="2">
        <v>9.9999999999999978E-2</v>
      </c>
      <c r="S518" s="2">
        <v>0.33340000000000003</v>
      </c>
      <c r="T518" s="4">
        <v>6.593568911523901E-4</v>
      </c>
      <c r="U518" s="4">
        <f>IF(Bases_annexes!$F$5=0,16.6587111018772,0.77*Bases_annexes!$F$5/(IF(OR(ISBLANK('Données_d''entrée'!$E$44),'Données_d''entrée'!$E$44=0),35,'Données_d''entrée'!$E$44)*52))</f>
        <v>16.658711101877199</v>
      </c>
      <c r="V518" s="4">
        <v>45.453421187287603</v>
      </c>
      <c r="W5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8" s="4">
        <v>234.5</v>
      </c>
      <c r="Y518" s="4">
        <f>(Base[[#This Row],['[Maladies']Coûts_évités_par_salarié]]+Base[[#This Row],['[Travail']Coûts_évités_par_salarié]])/Base[[#This Row],[Budget_santé_salarié]]</f>
        <v>1.0337065950219429E-3</v>
      </c>
      <c r="Z518" s="4">
        <v>0.8</v>
      </c>
      <c r="AA518" s="4">
        <f>Base[[#This Row],[Coût]]*Base[[#This Row],[Part_société_dépenses_santé]]</f>
        <v>3.7843200000000006</v>
      </c>
      <c r="AB518" s="4">
        <v>67635124</v>
      </c>
      <c r="AC518" s="4">
        <v>82.297079063317852</v>
      </c>
      <c r="AD518" s="4">
        <v>6.593568911523901E-4</v>
      </c>
      <c r="AE518" s="4">
        <f>Base[[#This Row],['[SC']Prévalence_travail]]*Base[[#This Row],[Population_emploi]]</f>
        <v>18264.185884921208</v>
      </c>
      <c r="AF518" s="4">
        <f>Base[[#This Row],[Risque]]*Base[[#This Row],['[SC']Patients_en_emploi]]</f>
        <v>7836.4598582746557</v>
      </c>
      <c r="AG518" s="4">
        <v>60180000</v>
      </c>
      <c r="AH518" s="4">
        <f>IFERROR(Base[[#This Row],['[SC']Prestations]]/Base[[#This Row],['[SC']Patients_en_emploi]],0)</f>
        <v>3294.9730351619019</v>
      </c>
      <c r="AI518" s="4">
        <v>51.7</v>
      </c>
      <c r="AJ5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8" s="4">
        <f>Base[[#This Row],['[SC']'[Travail']Coûts_évités]]/Base[[#This Row],[Population_emploi]]</f>
        <v>0.93216331856114254</v>
      </c>
      <c r="AL518" s="4">
        <f>Base[[#This Row],[Coût_société]]*10^9*Base[[#This Row],[Risque]]*Base[[#This Row],[Prévalence]]*Base[[#This Row],[Part_coûts_salarié]]/Base[[#This Row],[Population_emploi]]</f>
        <v>3.8649886966943332E-2</v>
      </c>
      <c r="AM518" s="4">
        <f>IF(Base[[#This Row],[Pathologie]]&lt;&gt;"Dépendance",0,14909.24243952)</f>
        <v>0</v>
      </c>
      <c r="AN518" s="4">
        <f>IF(Base[[#This Row],[Pathologie]]&lt;&gt;"Dépendance",0,1316000)</f>
        <v>0</v>
      </c>
      <c r="AO518" s="4">
        <f>IF(Base[[#This Row],[Pathologie]]&lt;&gt;"Dépendance",0,Base[[#This Row],['[SC']Coût_personne_dépendante]]*Base[[#This Row],['[SC']Nb_personnes_dépendantes]])</f>
        <v>0</v>
      </c>
      <c r="AP518" s="4">
        <f>IF(Base[[#This Row],[Pathologie]]&lt;&gt;"Dépendance",0,Base[[#This Row],['[SC']Coût_total_dépendance]]/Base[[#This Row],[Population_totale]])</f>
        <v>0</v>
      </c>
      <c r="AQ518" s="4">
        <f>IF(Base[[#This Row],[Pathologie]]&lt;&gt;"Dépendance",0,4.5)</f>
        <v>0</v>
      </c>
      <c r="AR518" s="4">
        <v>1.0077957276768601</v>
      </c>
      <c r="AS518" s="4">
        <f>Base[[#This Row],[Espérance_vie]]+Base[[#This Row],['[SC']Hausse_esp_de_vie]]-Base[[#This Row],['[SC']Durée_moyenne_dépendance_avt]]+Base[[#This Row],[Risque]]</f>
        <v>83.733936338421501</v>
      </c>
      <c r="AT5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8" s="4">
        <v>62.9</v>
      </c>
      <c r="AW518" s="4">
        <f t="shared" si="14"/>
        <v>336905600000</v>
      </c>
      <c r="AX518" s="4">
        <v>15049171</v>
      </c>
      <c r="AY518" s="4">
        <f>Base[[#This Row],['[SC']Budget_total_retraites]]/Base[[#This Row],['[SC']Nombre_de_retraités]]</f>
        <v>22386.987296509556</v>
      </c>
      <c r="AZ518" s="4">
        <f>Base[[#This Row],['[SC']Budget_par_retraité]]*Base[[#This Row],['[SC']Nb_personnes_dépendantes]]</f>
        <v>0</v>
      </c>
      <c r="BA518" s="4">
        <f>Base[[#This Row],['[SC']'[Dépendance']Coût_retraite_personnes_dépendantes]]/Base[[#This Row],[Population_totale]]</f>
        <v>0</v>
      </c>
      <c r="BB51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8" s="4">
        <f>Base[[#This Row],['[SC']'[Dépendance']Gains]]-Base[[#This Row],['[SC']'[Dépendance']Coûts]]</f>
        <v>0</v>
      </c>
      <c r="BD518" s="4">
        <f>IF(Base[[#This Row],[Pathologie]]&lt;&gt;"Mort prématurée",0,Base[[#This Row],[Risque]]*Base[[#This Row],[Prévalence]]*Base[[#This Row],[Population_totale]])</f>
        <v>0</v>
      </c>
      <c r="BE518" s="4">
        <v>52.74</v>
      </c>
      <c r="BF518" s="4">
        <f>Base[[#This Row],['[SC']Âge_moyen_retraite]]-Base[[#This Row],['[SC']'[Mort_prématurée']Âge_moyen_mort précoce]]</f>
        <v>10.159999999999997</v>
      </c>
      <c r="BG518" s="4">
        <f>Base[[#This Row],[Espérance_vie]]+Base[[#This Row],['[SC']Hausse_esp_de_vie]]-Base[[#This Row],['[SC']Âge_moyen_retraite]]</f>
        <v>20.404874790994718</v>
      </c>
      <c r="BH518" s="4">
        <v>106583.42676924677</v>
      </c>
      <c r="BI518" s="4">
        <v>97601.789429271477</v>
      </c>
      <c r="BJ518" s="4">
        <v>302038.31496633729</v>
      </c>
      <c r="BK518" s="4">
        <v>117293.58934859755</v>
      </c>
      <c r="BL518" s="4">
        <v>1523999.9999999995</v>
      </c>
      <c r="BM5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8" s="4">
        <v>294804.96027377353</v>
      </c>
      <c r="BO5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8" s="4">
        <f>(Base[[#This Row],['[SC']'[Mort_prématurée']Gains]]-Base[[#This Row],['[SC']'[Mort_prématurée']Coûts]])/Base[[#This Row],[Population_totale]]</f>
        <v>0</v>
      </c>
      <c r="BQ518" s="4">
        <f>IF(Base[[#This Row],[Pathologie]]&lt;&gt;"Mort prématurée",0,Base[[#This Row],[Risque]])</f>
        <v>0</v>
      </c>
      <c r="BR518" s="4">
        <v>2680</v>
      </c>
      <c r="BS5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8" s="4">
        <f>Base[[#This Row],[Prévalence_prod]]*(1-Base[[#This Row],[Risque]])*Base[[#This Row],[Durée_arrêt]]*Base[[#This Row],[Population_emploi]]</f>
        <v>473975.82311480673</v>
      </c>
      <c r="BV518" s="4">
        <f>Base[[#This Row],['[Prod']'[Absentéisme']Total_jours_absence_avant]]-Base[[#This Row],['[Prod']'[Absentéisme']Total_jours_absence_après]]</f>
        <v>356193.91055542993</v>
      </c>
      <c r="BW518" s="4">
        <f>IF(AND(Base[[#This Row],[Pathologie]]&lt;&gt;"Dépendance",Base[[#This Row],[Pathologie]]&lt;&gt;"Mort prématurée",Base[[#This Row],[Pathologie]]&lt;&gt;"Migraine"),0.0619,0)</f>
        <v>6.1899999999999997E-2</v>
      </c>
      <c r="BX518" s="4">
        <v>254</v>
      </c>
      <c r="BY518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8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8" s="4">
        <f>Base[[#This Row],[Prévalence_prod]]*Base[[#This Row],[Présentéisme]]*Base[[#This Row],['[Prod']Jours_ouvrés]]</f>
        <v>0</v>
      </c>
      <c r="CB518" s="4">
        <f>Base[[#This Row],[Prévalence_prod]]*(1-Base[[#This Row],[Risque]])*Base[[#This Row],[Présentéisme]]*Base[[#This Row],['[Prod']Jours_ouvrés]]</f>
        <v>0</v>
      </c>
      <c r="CC518" s="4">
        <f>Base[[#This Row],['[Prod']'[Présentéisme']Jours_avant]]-Base[[#This Row],['[Prod']'[Présentéisme']Jours_après]]</f>
        <v>0</v>
      </c>
      <c r="CD518" s="4">
        <f>Base[[#This Row],['[Prod']'[Présentéisme']Jours_gagnés]]/Base[[#This Row],['[Prod']Jours_ouvrés]]</f>
        <v>0</v>
      </c>
      <c r="CE518">
        <v>9.3428413505841454E-2</v>
      </c>
      <c r="CF518">
        <v>2.1038737314955848E-2</v>
      </c>
      <c r="CG518" s="4">
        <v>11</v>
      </c>
      <c r="CH518" s="4">
        <v>0.99648427619813984</v>
      </c>
      <c r="CI518" s="4">
        <v>0.42377466100567313</v>
      </c>
      <c r="CJ518" s="4">
        <f>IF(Base[[#This Row],[Secteur]]&lt;&gt;"Moyenne",Base[[#This Row],['[Prod']'[Turnover']DMC_initiale]]*(1+Base[[#This Row],['[Prod']'[Turnover']Ecart_accidents]]*Base[[#This Row],['[Prod']Impact_motifs_turnover]]),CJ501*CI501+CJ502*CI502+CJ503*CI503+CJ504*CI504+CJ505*CI505+CJ506*CI506+CJ507*CI507+CJ508*CI508+CJ509*CI509+CJ510*CI510+CJ511*CI511+CJ512*CI512+CJ513*CI513+CJ514*CI514+CJ515*CI515+CJ516*CI516+CJ517*CI517)</f>
        <v>11.230612480179582</v>
      </c>
      <c r="CK518" s="4">
        <f>1/Base[[#This Row],['[Prod']'[Turnover']DMC_initiale]]</f>
        <v>9.0909090909090912E-2</v>
      </c>
      <c r="CL518" s="4">
        <f>1/Base[[#This Row],['[Prod']'[Turnover']DMC_finale]]</f>
        <v>8.9042338676083466E-2</v>
      </c>
    </row>
    <row r="519" spans="2:90" x14ac:dyDescent="0.25">
      <c r="B519" s="4" t="s">
        <v>331</v>
      </c>
      <c r="C519">
        <v>30</v>
      </c>
      <c r="D519" t="s">
        <v>85</v>
      </c>
      <c r="E519" t="s">
        <v>5</v>
      </c>
      <c r="F519" s="3">
        <v>0.42906154742678049</v>
      </c>
      <c r="G519" s="3">
        <v>6.593568911523901E-4</v>
      </c>
      <c r="H519" s="3">
        <v>6.593568911523901E-4</v>
      </c>
      <c r="I519" s="3">
        <v>0</v>
      </c>
      <c r="J519" s="3">
        <v>4.7304000000000004</v>
      </c>
      <c r="K519" s="3">
        <v>7.0000000000000007E-2</v>
      </c>
      <c r="L519" s="2">
        <f>Base[[#This Row],[Coût]]*Base[[#This Row],[Part_ménages_dépenses_santé]]</f>
        <v>0.33112800000000003</v>
      </c>
      <c r="M519" s="2">
        <v>1</v>
      </c>
      <c r="N519" s="6">
        <v>27700000</v>
      </c>
      <c r="O519" s="7">
        <f>Base[[#This Row],[Coût_salarié]]*10^9*Base[[#This Row],[Risque]]*Base[[#This Row],[Prévalence]]*Base[[#This Row],[Part_coûts_salarié]]/Base[[#This Row],[Population_emploi]]</f>
        <v>3.3818651096075409E-3</v>
      </c>
      <c r="P519">
        <v>50</v>
      </c>
      <c r="Q519">
        <v>50</v>
      </c>
      <c r="R519" s="2">
        <v>9.9999999999999978E-2</v>
      </c>
      <c r="S519" s="2">
        <v>0.33340000000000003</v>
      </c>
      <c r="T519" s="4">
        <v>6.593568911523901E-4</v>
      </c>
      <c r="U519" s="4">
        <f>IF(Bases_annexes!$F$5=0,16.6587111018772,0.77*Bases_annexes!$F$5/(IF(OR(ISBLANK('Données_d''entrée'!$E$44),'Données_d''entrée'!$E$44=0),35,'Données_d''entrée'!$E$44)*52))</f>
        <v>16.658711101877199</v>
      </c>
      <c r="V519" s="4">
        <v>45.453421187287603</v>
      </c>
      <c r="W5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19" s="4">
        <v>234.5</v>
      </c>
      <c r="Y519" s="4">
        <f>(Base[[#This Row],['[Maladies']Coûts_évités_par_salarié]]+Base[[#This Row],['[Travail']Coûts_évités_par_salarié]])/Base[[#This Row],[Budget_santé_salarié]]</f>
        <v>1.0337065950219429E-3</v>
      </c>
      <c r="Z519" s="4">
        <v>0.8</v>
      </c>
      <c r="AA519" s="4">
        <f>Base[[#This Row],[Coût]]*Base[[#This Row],[Part_société_dépenses_santé]]</f>
        <v>3.7843200000000006</v>
      </c>
      <c r="AB519" s="4">
        <v>67635124</v>
      </c>
      <c r="AC519" s="4">
        <v>82.297079063317852</v>
      </c>
      <c r="AD519" s="4">
        <v>6.593568911523901E-4</v>
      </c>
      <c r="AE519" s="4">
        <f>Base[[#This Row],['[SC']Prévalence_travail]]*Base[[#This Row],[Population_emploi]]</f>
        <v>18264.185884921208</v>
      </c>
      <c r="AF519" s="4">
        <f>Base[[#This Row],[Risque]]*Base[[#This Row],['[SC']Patients_en_emploi]]</f>
        <v>7836.4598582746557</v>
      </c>
      <c r="AG519" s="4">
        <v>60180000</v>
      </c>
      <c r="AH519" s="4">
        <f>IFERROR(Base[[#This Row],['[SC']Prestations]]/Base[[#This Row],['[SC']Patients_en_emploi]],0)</f>
        <v>3294.9730351619019</v>
      </c>
      <c r="AI519" s="4">
        <v>51.7</v>
      </c>
      <c r="AJ5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19" s="4">
        <f>Base[[#This Row],['[SC']'[Travail']Coûts_évités]]/Base[[#This Row],[Population_emploi]]</f>
        <v>0.93216331856114254</v>
      </c>
      <c r="AL519" s="4">
        <f>Base[[#This Row],[Coût_société]]*10^9*Base[[#This Row],[Risque]]*Base[[#This Row],[Prévalence]]*Base[[#This Row],[Part_coûts_salarié]]/Base[[#This Row],[Population_emploi]]</f>
        <v>3.8649886966943332E-2</v>
      </c>
      <c r="AM519" s="4">
        <f>IF(Base[[#This Row],[Pathologie]]&lt;&gt;"Dépendance",0,14909.24243952)</f>
        <v>0</v>
      </c>
      <c r="AN519" s="4">
        <f>IF(Base[[#This Row],[Pathologie]]&lt;&gt;"Dépendance",0,1316000)</f>
        <v>0</v>
      </c>
      <c r="AO519" s="4">
        <f>IF(Base[[#This Row],[Pathologie]]&lt;&gt;"Dépendance",0,Base[[#This Row],['[SC']Coût_personne_dépendante]]*Base[[#This Row],['[SC']Nb_personnes_dépendantes]])</f>
        <v>0</v>
      </c>
      <c r="AP519" s="4">
        <f>IF(Base[[#This Row],[Pathologie]]&lt;&gt;"Dépendance",0,Base[[#This Row],['[SC']Coût_total_dépendance]]/Base[[#This Row],[Population_totale]])</f>
        <v>0</v>
      </c>
      <c r="AQ519" s="4">
        <f>IF(Base[[#This Row],[Pathologie]]&lt;&gt;"Dépendance",0,4.5)</f>
        <v>0</v>
      </c>
      <c r="AR519" s="4">
        <v>1.0077957276768601</v>
      </c>
      <c r="AS519" s="4">
        <f>Base[[#This Row],[Espérance_vie]]+Base[[#This Row],['[SC']Hausse_esp_de_vie]]-Base[[#This Row],['[SC']Durée_moyenne_dépendance_avt]]+Base[[#This Row],[Risque]]</f>
        <v>83.733936338421501</v>
      </c>
      <c r="AT5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19" s="4">
        <v>62.9</v>
      </c>
      <c r="AW519" s="4">
        <f t="shared" si="14"/>
        <v>336905600000</v>
      </c>
      <c r="AX519" s="4">
        <v>15049171</v>
      </c>
      <c r="AY519" s="4">
        <f>Base[[#This Row],['[SC']Budget_total_retraites]]/Base[[#This Row],['[SC']Nombre_de_retraités]]</f>
        <v>22386.987296509556</v>
      </c>
      <c r="AZ519" s="4">
        <f>Base[[#This Row],['[SC']Budget_par_retraité]]*Base[[#This Row],['[SC']Nb_personnes_dépendantes]]</f>
        <v>0</v>
      </c>
      <c r="BA519" s="4">
        <f>Base[[#This Row],['[SC']'[Dépendance']Coût_retraite_personnes_dépendantes]]/Base[[#This Row],[Population_totale]]</f>
        <v>0</v>
      </c>
      <c r="BB51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19" s="4">
        <f>Base[[#This Row],['[SC']'[Dépendance']Gains]]-Base[[#This Row],['[SC']'[Dépendance']Coûts]]</f>
        <v>0</v>
      </c>
      <c r="BD519" s="4">
        <f>IF(Base[[#This Row],[Pathologie]]&lt;&gt;"Mort prématurée",0,Base[[#This Row],[Risque]]*Base[[#This Row],[Prévalence]]*Base[[#This Row],[Population_totale]])</f>
        <v>0</v>
      </c>
      <c r="BE519" s="4">
        <v>52.74</v>
      </c>
      <c r="BF519" s="4">
        <f>Base[[#This Row],['[SC']Âge_moyen_retraite]]-Base[[#This Row],['[SC']'[Mort_prématurée']Âge_moyen_mort précoce]]</f>
        <v>10.159999999999997</v>
      </c>
      <c r="BG519" s="4">
        <f>Base[[#This Row],[Espérance_vie]]+Base[[#This Row],['[SC']Hausse_esp_de_vie]]-Base[[#This Row],['[SC']Âge_moyen_retraite]]</f>
        <v>20.404874790994718</v>
      </c>
      <c r="BH519" s="4">
        <v>106583.42676924677</v>
      </c>
      <c r="BI519" s="4">
        <v>97601.789429271477</v>
      </c>
      <c r="BJ519" s="4">
        <v>302038.31496633729</v>
      </c>
      <c r="BK519" s="4">
        <v>117293.58934859755</v>
      </c>
      <c r="BL519" s="4">
        <v>1523999.9999999995</v>
      </c>
      <c r="BM5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19" s="4">
        <v>294804.96027377353</v>
      </c>
      <c r="BO5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19" s="4">
        <f>(Base[[#This Row],['[SC']'[Mort_prématurée']Gains]]-Base[[#This Row],['[SC']'[Mort_prématurée']Coûts]])/Base[[#This Row],[Population_totale]]</f>
        <v>0</v>
      </c>
      <c r="BQ519" s="4">
        <f>IF(Base[[#This Row],[Pathologie]]&lt;&gt;"Mort prématurée",0,Base[[#This Row],[Risque]])</f>
        <v>0</v>
      </c>
      <c r="BR519" s="4">
        <v>2680</v>
      </c>
      <c r="BS5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19" s="4">
        <f>Base[[#This Row],[Prévalence_prod]]*(1-Base[[#This Row],[Risque]])*Base[[#This Row],[Durée_arrêt]]*Base[[#This Row],[Population_emploi]]</f>
        <v>473975.82311480673</v>
      </c>
      <c r="BV519" s="4">
        <f>Base[[#This Row],['[Prod']'[Absentéisme']Total_jours_absence_avant]]-Base[[#This Row],['[Prod']'[Absentéisme']Total_jours_absence_après]]</f>
        <v>356193.91055542993</v>
      </c>
      <c r="BW519" s="4">
        <f>IF(AND(Base[[#This Row],[Pathologie]]&lt;&gt;"Dépendance",Base[[#This Row],[Pathologie]]&lt;&gt;"Mort prématurée",Base[[#This Row],[Pathologie]]&lt;&gt;"Migraine"),0.0619,0)</f>
        <v>6.1899999999999997E-2</v>
      </c>
      <c r="BX519" s="4">
        <v>254</v>
      </c>
      <c r="BY519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19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19" s="4">
        <f>Base[[#This Row],[Prévalence_prod]]*Base[[#This Row],[Présentéisme]]*Base[[#This Row],['[Prod']Jours_ouvrés]]</f>
        <v>0</v>
      </c>
      <c r="CB519" s="4">
        <f>Base[[#This Row],[Prévalence_prod]]*(1-Base[[#This Row],[Risque]])*Base[[#This Row],[Présentéisme]]*Base[[#This Row],['[Prod']Jours_ouvrés]]</f>
        <v>0</v>
      </c>
      <c r="CC519" s="4">
        <f>Base[[#This Row],['[Prod']'[Présentéisme']Jours_avant]]-Base[[#This Row],['[Prod']'[Présentéisme']Jours_après]]</f>
        <v>0</v>
      </c>
      <c r="CD519" s="4">
        <f>Base[[#This Row],['[Prod']'[Présentéisme']Jours_gagnés]]/Base[[#This Row],['[Prod']Jours_ouvrés]]</f>
        <v>0</v>
      </c>
      <c r="CE519">
        <v>9.3428413505841454E-2</v>
      </c>
      <c r="CF519">
        <v>2.1038737314955848E-2</v>
      </c>
      <c r="CG519" s="4">
        <v>11</v>
      </c>
      <c r="CH519" s="4">
        <v>1.1593596509901765</v>
      </c>
      <c r="CI519" s="4">
        <v>4.0741311947357597E-2</v>
      </c>
      <c r="CJ519" s="4">
        <f>IF(Base[[#This Row],[Secteur]]&lt;&gt;"Moyenne",Base[[#This Row],['[Prod']'[Turnover']DMC_initiale]]*(1+Base[[#This Row],['[Prod']'[Turnover']Ecart_accidents]]*Base[[#This Row],['[Prod']Impact_motifs_turnover]]),CJ502*CI502+CJ503*CI503+CJ504*CI504+CJ505*CI505+CJ506*CI506+CJ507*CI507+CJ508*CI508+CJ509*CI509+CJ510*CI510+CJ511*CI511+CJ512*CI512+CJ513*CI513+CJ514*CI514+CJ515*CI515+CJ516*CI516+CJ517*CI517+CJ518*CI518)</f>
        <v>11.268306094658152</v>
      </c>
      <c r="CK519" s="4">
        <f>1/Base[[#This Row],['[Prod']'[Turnover']DMC_initiale]]</f>
        <v>9.0909090909090912E-2</v>
      </c>
      <c r="CL519" s="4">
        <f>1/Base[[#This Row],['[Prod']'[Turnover']DMC_finale]]</f>
        <v>8.8744483119256007E-2</v>
      </c>
    </row>
    <row r="520" spans="2:90" x14ac:dyDescent="0.25">
      <c r="B520" s="4" t="s">
        <v>332</v>
      </c>
      <c r="C520">
        <v>30</v>
      </c>
      <c r="D520" t="s">
        <v>85</v>
      </c>
      <c r="E520" t="s">
        <v>5</v>
      </c>
      <c r="F520" s="3">
        <v>0.42906154742678049</v>
      </c>
      <c r="G520" s="3">
        <v>6.593568911523901E-4</v>
      </c>
      <c r="H520" s="3">
        <v>6.593568911523901E-4</v>
      </c>
      <c r="I520" s="3">
        <v>0</v>
      </c>
      <c r="J520" s="3">
        <v>4.7304000000000004</v>
      </c>
      <c r="K520" s="3">
        <v>7.0000000000000007E-2</v>
      </c>
      <c r="L520" s="2">
        <f>Base[[#This Row],[Coût]]*Base[[#This Row],[Part_ménages_dépenses_santé]]</f>
        <v>0.33112800000000003</v>
      </c>
      <c r="M520" s="2">
        <v>1</v>
      </c>
      <c r="N520" s="6">
        <v>27700000</v>
      </c>
      <c r="O520" s="7">
        <f>Base[[#This Row],[Coût_salarié]]*10^9*Base[[#This Row],[Risque]]*Base[[#This Row],[Prévalence]]*Base[[#This Row],[Part_coûts_salarié]]/Base[[#This Row],[Population_emploi]]</f>
        <v>3.3818651096075409E-3</v>
      </c>
      <c r="P520">
        <v>50</v>
      </c>
      <c r="Q520">
        <v>50</v>
      </c>
      <c r="R520" s="2">
        <v>9.9999999999999978E-2</v>
      </c>
      <c r="S520" s="2">
        <v>0.33340000000000003</v>
      </c>
      <c r="T520" s="4">
        <v>6.593568911523901E-4</v>
      </c>
      <c r="U520" s="4">
        <f>IF(Bases_annexes!$F$5=0,16.6587111018772,0.77*Bases_annexes!$F$5/(IF(OR(ISBLANK('Données_d''entrée'!$E$44),'Données_d''entrée'!$E$44=0),35,'Données_d''entrée'!$E$44)*52))</f>
        <v>16.658711101877199</v>
      </c>
      <c r="V520" s="4">
        <v>45.453421187287603</v>
      </c>
      <c r="W5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0.23902233142303808</v>
      </c>
      <c r="X520" s="4">
        <v>234.5</v>
      </c>
      <c r="Y520" s="4">
        <f>(Base[[#This Row],['[Maladies']Coûts_évités_par_salarié]]+Base[[#This Row],['[Travail']Coûts_évités_par_salarié]])/Base[[#This Row],[Budget_santé_salarié]]</f>
        <v>1.0337065950219429E-3</v>
      </c>
      <c r="Z520" s="4">
        <v>0.8</v>
      </c>
      <c r="AA520" s="4">
        <f>Base[[#This Row],[Coût]]*Base[[#This Row],[Part_société_dépenses_santé]]</f>
        <v>3.7843200000000006</v>
      </c>
      <c r="AB520" s="4">
        <v>67635124</v>
      </c>
      <c r="AC520" s="4">
        <v>82.297079063317852</v>
      </c>
      <c r="AD520" s="4">
        <v>6.593568911523901E-4</v>
      </c>
      <c r="AE520" s="4">
        <f>Base[[#This Row],['[SC']Prévalence_travail]]*Base[[#This Row],[Population_emploi]]</f>
        <v>18264.185884921208</v>
      </c>
      <c r="AF520" s="4">
        <f>Base[[#This Row],[Risque]]*Base[[#This Row],['[SC']Patients_en_emploi]]</f>
        <v>7836.4598582746557</v>
      </c>
      <c r="AG520" s="4">
        <v>60180000</v>
      </c>
      <c r="AH520" s="4">
        <f>IFERROR(Base[[#This Row],['[SC']Prestations]]/Base[[#This Row],['[SC']Patients_en_emploi]],0)</f>
        <v>3294.9730351619019</v>
      </c>
      <c r="AI520" s="4">
        <v>51.7</v>
      </c>
      <c r="AJ5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25820923.92414365</v>
      </c>
      <c r="AK520" s="4">
        <f>Base[[#This Row],['[SC']'[Travail']Coûts_évités]]/Base[[#This Row],[Population_emploi]]</f>
        <v>0.93216331856114254</v>
      </c>
      <c r="AL520" s="4">
        <f>Base[[#This Row],[Coût_société]]*10^9*Base[[#This Row],[Risque]]*Base[[#This Row],[Prévalence]]*Base[[#This Row],[Part_coûts_salarié]]/Base[[#This Row],[Population_emploi]]</f>
        <v>3.8649886966943332E-2</v>
      </c>
      <c r="AM520" s="4">
        <f>IF(Base[[#This Row],[Pathologie]]&lt;&gt;"Dépendance",0,14909.24243952)</f>
        <v>0</v>
      </c>
      <c r="AN520" s="4">
        <f>IF(Base[[#This Row],[Pathologie]]&lt;&gt;"Dépendance",0,1316000)</f>
        <v>0</v>
      </c>
      <c r="AO520" s="4">
        <f>IF(Base[[#This Row],[Pathologie]]&lt;&gt;"Dépendance",0,Base[[#This Row],['[SC']Coût_personne_dépendante]]*Base[[#This Row],['[SC']Nb_personnes_dépendantes]])</f>
        <v>0</v>
      </c>
      <c r="AP520" s="4">
        <f>IF(Base[[#This Row],[Pathologie]]&lt;&gt;"Dépendance",0,Base[[#This Row],['[SC']Coût_total_dépendance]]/Base[[#This Row],[Population_totale]])</f>
        <v>0</v>
      </c>
      <c r="AQ520" s="4">
        <f>IF(Base[[#This Row],[Pathologie]]&lt;&gt;"Dépendance",0,4.5)</f>
        <v>0</v>
      </c>
      <c r="AR520" s="4">
        <v>1.0077957276768601</v>
      </c>
      <c r="AS520" s="4">
        <f>Base[[#This Row],[Espérance_vie]]+Base[[#This Row],['[SC']Hausse_esp_de_vie]]-Base[[#This Row],['[SC']Durée_moyenne_dépendance_avt]]+Base[[#This Row],[Risque]]</f>
        <v>83.733936338421501</v>
      </c>
      <c r="AT5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0" s="4">
        <v>62.9</v>
      </c>
      <c r="AW520" s="4">
        <f t="shared" si="14"/>
        <v>336905600000</v>
      </c>
      <c r="AX520" s="4">
        <v>15049171</v>
      </c>
      <c r="AY520" s="4">
        <f>Base[[#This Row],['[SC']Budget_total_retraites]]/Base[[#This Row],['[SC']Nombre_de_retraités]]</f>
        <v>22386.987296509556</v>
      </c>
      <c r="AZ520" s="4">
        <f>Base[[#This Row],['[SC']Budget_par_retraité]]*Base[[#This Row],['[SC']Nb_personnes_dépendantes]]</f>
        <v>0</v>
      </c>
      <c r="BA520" s="4">
        <f>Base[[#This Row],['[SC']'[Dépendance']Coût_retraite_personnes_dépendantes]]/Base[[#This Row],[Population_totale]]</f>
        <v>0</v>
      </c>
      <c r="BB52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0" s="4">
        <f>Base[[#This Row],['[SC']'[Dépendance']Gains]]-Base[[#This Row],['[SC']'[Dépendance']Coûts]]</f>
        <v>0</v>
      </c>
      <c r="BD520" s="4">
        <f>IF(Base[[#This Row],[Pathologie]]&lt;&gt;"Mort prématurée",0,Base[[#This Row],[Risque]]*Base[[#This Row],[Prévalence]]*Base[[#This Row],[Population_totale]])</f>
        <v>0</v>
      </c>
      <c r="BE520" s="4">
        <v>52.74</v>
      </c>
      <c r="BF520" s="4">
        <f>Base[[#This Row],['[SC']Âge_moyen_retraite]]-Base[[#This Row],['[SC']'[Mort_prématurée']Âge_moyen_mort précoce]]</f>
        <v>10.159999999999997</v>
      </c>
      <c r="BG520" s="4">
        <f>Base[[#This Row],[Espérance_vie]]+Base[[#This Row],['[SC']Hausse_esp_de_vie]]-Base[[#This Row],['[SC']Âge_moyen_retraite]]</f>
        <v>20.404874790994718</v>
      </c>
      <c r="BH520" s="4">
        <v>106583.42676924677</v>
      </c>
      <c r="BI520" s="4">
        <v>97601.789429271477</v>
      </c>
      <c r="BJ520" s="4">
        <v>302038.31496633729</v>
      </c>
      <c r="BK520" s="4">
        <v>117293.58934859755</v>
      </c>
      <c r="BL520" s="4">
        <v>1523999.9999999995</v>
      </c>
      <c r="BM5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0" s="4">
        <v>294804.96027377353</v>
      </c>
      <c r="BO5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0" s="4">
        <f>(Base[[#This Row],['[SC']'[Mort_prématurée']Gains]]-Base[[#This Row],['[SC']'[Mort_prématurée']Coûts]])/Base[[#This Row],[Population_totale]]</f>
        <v>0</v>
      </c>
      <c r="BQ520" s="4">
        <f>IF(Base[[#This Row],[Pathologie]]&lt;&gt;"Mort prématurée",0,Base[[#This Row],[Risque]])</f>
        <v>0</v>
      </c>
      <c r="BR520" s="4">
        <v>2680</v>
      </c>
      <c r="BS5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3.6224373340600221E-4</v>
      </c>
      <c r="BT5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830169.73367023666</v>
      </c>
      <c r="BU520" s="4">
        <f>Base[[#This Row],[Prévalence_prod]]*(1-Base[[#This Row],[Risque]])*Base[[#This Row],[Durée_arrêt]]*Base[[#This Row],[Population_emploi]]</f>
        <v>473975.82311480673</v>
      </c>
      <c r="BV520" s="4">
        <f>Base[[#This Row],['[Prod']'[Absentéisme']Total_jours_absence_avant]]-Base[[#This Row],['[Prod']'[Absentéisme']Total_jours_absence_après]]</f>
        <v>356193.91055542993</v>
      </c>
      <c r="BW520" s="4">
        <f>IF(AND(Base[[#This Row],[Pathologie]]&lt;&gt;"Dépendance",Base[[#This Row],[Pathologie]]&lt;&gt;"Mort prématurée",Base[[#This Row],[Pathologie]]&lt;&gt;"Migraine"),0.0619,0)</f>
        <v>6.1899999999999997E-2</v>
      </c>
      <c r="BX520" s="4">
        <v>254</v>
      </c>
      <c r="BY520" s="4">
        <f>Base[[#This Row],['[Prod']'[Absentéisme']Taux_initial]]*Base[[#This Row],['[Prod']Jours_ouvrés]]*Base[[#This Row],[Population_emploi]]*Base[[#This Row],['[Prod']'[Absentéisme']Total_jours_absence_avant]]/211051099.251489</f>
        <v>1713102.7491199889</v>
      </c>
      <c r="BZ520" s="4">
        <f>(Base[[#This Row],['[Prod']'[Absentéisme']Jours_théoriques]]-Base[[#This Row],['[Prod']'[Absentéisme']Total_jours_absence_évités]])/(Base[[#This Row],[Population_emploi]]*Base[[#This Row],['[Prod']Jours_ouvrés]])</f>
        <v>1.9285778995488203E-4</v>
      </c>
      <c r="CA520" s="4">
        <f>Base[[#This Row],[Prévalence_prod]]*Base[[#This Row],[Présentéisme]]*Base[[#This Row],['[Prod']Jours_ouvrés]]</f>
        <v>0</v>
      </c>
      <c r="CB520" s="4">
        <f>Base[[#This Row],[Prévalence_prod]]*(1-Base[[#This Row],[Risque]])*Base[[#This Row],[Présentéisme]]*Base[[#This Row],['[Prod']Jours_ouvrés]]</f>
        <v>0</v>
      </c>
      <c r="CC520" s="4">
        <f>Base[[#This Row],['[Prod']'[Présentéisme']Jours_avant]]-Base[[#This Row],['[Prod']'[Présentéisme']Jours_après]]</f>
        <v>0</v>
      </c>
      <c r="CD520" s="4">
        <f>Base[[#This Row],['[Prod']'[Présentéisme']Jours_gagnés]]/Base[[#This Row],['[Prod']Jours_ouvrés]]</f>
        <v>0</v>
      </c>
      <c r="CE520">
        <v>9.3428413505841454E-2</v>
      </c>
      <c r="CF520">
        <v>2.1038737314955848E-2</v>
      </c>
      <c r="CG520" s="4">
        <v>11</v>
      </c>
      <c r="CH520" s="4">
        <v>0.85076983926913452</v>
      </c>
      <c r="CI520" s="4">
        <v>0</v>
      </c>
      <c r="CJ520" s="4">
        <f>IF(Base[[#This Row],[Secteur]]&lt;&gt;"Moyenne",Base[[#This Row],['[Prod']'[Turnover']DMC_initiale]]*(1+Base[[#This Row],['[Prod']'[Turnover']Ecart_accidents]]*Base[[#This Row],['[Prod']Impact_motifs_turnover]]),CJ503*CI503+CJ504*CI504+CJ505*CI505+CJ506*CI506+CJ507*CI507+CJ508*CI508+CJ509*CI509+CJ510*CI510+CJ511*CI511+CJ512*CI512+CJ513*CI513+CJ514*CI514+CJ515*CI515+CJ516*CI516+CJ517*CI517+CJ518*CI518+CJ519*CI519)</f>
        <v>11.196890354802576</v>
      </c>
      <c r="CK520" s="4">
        <f>1/Base[[#This Row],['[Prod']'[Turnover']DMC_initiale]]</f>
        <v>9.0909090909090912E-2</v>
      </c>
      <c r="CL520" s="4">
        <f>1/Base[[#This Row],['[Prod']'[Turnover']DMC_finale]]</f>
        <v>8.9310511071592255E-2</v>
      </c>
    </row>
    <row r="521" spans="2:90" x14ac:dyDescent="0.25">
      <c r="B521" s="4" t="s">
        <v>315</v>
      </c>
      <c r="C521">
        <v>30</v>
      </c>
      <c r="D521" t="s">
        <v>85</v>
      </c>
      <c r="E521" t="s">
        <v>6</v>
      </c>
      <c r="F521" s="3">
        <v>0.2394762125172728</v>
      </c>
      <c r="G521" s="3">
        <v>8.741584028593305E-3</v>
      </c>
      <c r="H521" s="3">
        <v>8.741584028593305E-3</v>
      </c>
      <c r="I521" s="3">
        <v>6.8000000000000005E-2</v>
      </c>
      <c r="J521" s="3">
        <v>16.260750000000002</v>
      </c>
      <c r="K521" s="3">
        <v>7.0000000000000007E-2</v>
      </c>
      <c r="L521" s="2">
        <f>Base[[#This Row],[Coût]]*Base[[#This Row],[Part_ménages_dépenses_santé]]</f>
        <v>1.1382525000000001</v>
      </c>
      <c r="M521" s="2">
        <v>0.99809973356799431</v>
      </c>
      <c r="N521" s="6">
        <v>27700000</v>
      </c>
      <c r="O521" s="7">
        <f>Base[[#This Row],[Coût_salarié]]*10^9*Base[[#This Row],[Risque]]*Base[[#This Row],[Prévalence]]*Base[[#This Row],[Part_coûts_salarié]]/Base[[#This Row],[Population_emploi]]</f>
        <v>8.5858896196795667E-2</v>
      </c>
      <c r="P521">
        <v>50</v>
      </c>
      <c r="Q521">
        <v>50</v>
      </c>
      <c r="R521" s="2">
        <v>9.9999999999999978E-2</v>
      </c>
      <c r="S521" s="2">
        <v>0.33340000000000003</v>
      </c>
      <c r="T521" s="4">
        <v>8.741584028593305E-3</v>
      </c>
      <c r="U521" s="4">
        <f>IF(Bases_annexes!$F$5=0,16.6587111018772,0.77*Bases_annexes!$F$5/(IF(OR(ISBLANK('Données_d''entrée'!$E$44),'Données_d''entrée'!$E$44=0),35,'Données_d''entrée'!$E$44)*52))</f>
        <v>16.658711101877199</v>
      </c>
      <c r="V521" s="4">
        <v>80.324106187301894</v>
      </c>
      <c r="W5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1" s="4">
        <v>234.5</v>
      </c>
      <c r="Y521" s="4">
        <f>(Base[[#This Row],['[Maladies']Coûts_évités_par_salarié]]+Base[[#This Row],['[Travail']Coûts_évités_par_salarié]])/Base[[#This Row],[Budget_santé_salarié]]</f>
        <v>5.6915831714551314E-3</v>
      </c>
      <c r="Z521" s="4">
        <v>0.8</v>
      </c>
      <c r="AA521" s="4">
        <f>Base[[#This Row],[Coût]]*Base[[#This Row],[Part_société_dépenses_santé]]</f>
        <v>13.008600000000001</v>
      </c>
      <c r="AB521" s="4">
        <v>67635124</v>
      </c>
      <c r="AC521" s="4">
        <v>82.297079063317852</v>
      </c>
      <c r="AD521" s="4">
        <v>8.741584028593305E-3</v>
      </c>
      <c r="AE521" s="4">
        <f>Base[[#This Row],['[SC']Prévalence_travail]]*Base[[#This Row],[Population_emploi]]</f>
        <v>242141.87759203455</v>
      </c>
      <c r="AF521" s="4">
        <f>Base[[#This Row],[Risque]]*Base[[#This Row],['[SC']Patients_en_emploi]]</f>
        <v>57987.219737561521</v>
      </c>
      <c r="AG521" s="4">
        <v>1022040000</v>
      </c>
      <c r="AH521" s="4">
        <f>IFERROR(Base[[#This Row],['[SC']Prestations]]/Base[[#This Row],['[SC']Patients_en_emploi]],0)</f>
        <v>4220.8312340005614</v>
      </c>
      <c r="AI521" s="4">
        <v>51.7</v>
      </c>
      <c r="AJ5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1" s="4">
        <f>Base[[#This Row],['[SC']'[Travail']Coûts_évités]]/Base[[#This Row],[Population_emploi]]</f>
        <v>8.8358941603304508</v>
      </c>
      <c r="AL521" s="4">
        <f>Base[[#This Row],[Coût_société]]*10^9*Base[[#This Row],[Risque]]*Base[[#This Row],[Prévalence]]*Base[[#This Row],[Part_coûts_salarié]]/Base[[#This Row],[Population_emploi]]</f>
        <v>0.98124452796337913</v>
      </c>
      <c r="AM521" s="4">
        <f>IF(Base[[#This Row],[Pathologie]]&lt;&gt;"Dépendance",0,14909.24243952)</f>
        <v>0</v>
      </c>
      <c r="AN521" s="4">
        <f>IF(Base[[#This Row],[Pathologie]]&lt;&gt;"Dépendance",0,1316000)</f>
        <v>0</v>
      </c>
      <c r="AO521" s="4">
        <f>IF(Base[[#This Row],[Pathologie]]&lt;&gt;"Dépendance",0,Base[[#This Row],['[SC']Coût_personne_dépendante]]*Base[[#This Row],['[SC']Nb_personnes_dépendantes]])</f>
        <v>0</v>
      </c>
      <c r="AP521" s="4">
        <f>IF(Base[[#This Row],[Pathologie]]&lt;&gt;"Dépendance",0,Base[[#This Row],['[SC']Coût_total_dépendance]]/Base[[#This Row],[Population_totale]])</f>
        <v>0</v>
      </c>
      <c r="AQ521" s="4">
        <f>IF(Base[[#This Row],[Pathologie]]&lt;&gt;"Dépendance",0,4.5)</f>
        <v>0</v>
      </c>
      <c r="AR521" s="4">
        <v>1.0077957276768601</v>
      </c>
      <c r="AS521" s="4">
        <f>Base[[#This Row],[Espérance_vie]]+Base[[#This Row],['[SC']Hausse_esp_de_vie]]-Base[[#This Row],['[SC']Durée_moyenne_dépendance_avt]]+Base[[#This Row],[Risque]]</f>
        <v>83.544351003511991</v>
      </c>
      <c r="AT5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1" s="4">
        <v>62.9</v>
      </c>
      <c r="AW521" s="4">
        <f t="shared" si="0"/>
        <v>336905600000</v>
      </c>
      <c r="AX521" s="4">
        <v>15049171</v>
      </c>
      <c r="AY521" s="4">
        <f>Base[[#This Row],['[SC']Budget_total_retraites]]/Base[[#This Row],['[SC']Nombre_de_retraités]]</f>
        <v>22386.987296509556</v>
      </c>
      <c r="AZ521" s="4">
        <f>Base[[#This Row],['[SC']Budget_par_retraité]]*Base[[#This Row],['[SC']Nb_personnes_dépendantes]]</f>
        <v>0</v>
      </c>
      <c r="BA521" s="4">
        <f>Base[[#This Row],['[SC']'[Dépendance']Coût_retraite_personnes_dépendantes]]/Base[[#This Row],[Population_totale]]</f>
        <v>0</v>
      </c>
      <c r="BB52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1" s="4">
        <f>Base[[#This Row],['[SC']'[Dépendance']Gains]]-Base[[#This Row],['[SC']'[Dépendance']Coûts]]</f>
        <v>0</v>
      </c>
      <c r="BD521" s="4">
        <f>IF(Base[[#This Row],[Pathologie]]&lt;&gt;"Mort prématurée",0,Base[[#This Row],[Risque]]*Base[[#This Row],[Prévalence]]*Base[[#This Row],[Population_totale]])</f>
        <v>0</v>
      </c>
      <c r="BE521" s="4">
        <v>52.74</v>
      </c>
      <c r="BF521" s="4">
        <f>Base[[#This Row],['[SC']Âge_moyen_retraite]]-Base[[#This Row],['[SC']'[Mort_prématurée']Âge_moyen_mort précoce]]</f>
        <v>10.159999999999997</v>
      </c>
      <c r="BG521" s="4">
        <f>Base[[#This Row],[Espérance_vie]]+Base[[#This Row],['[SC']Hausse_esp_de_vie]]-Base[[#This Row],['[SC']Âge_moyen_retraite]]</f>
        <v>20.404874790994718</v>
      </c>
      <c r="BH521" s="4">
        <v>106583.42676924677</v>
      </c>
      <c r="BI521" s="4">
        <v>97601.789429271477</v>
      </c>
      <c r="BJ521" s="4">
        <v>302038.31496633729</v>
      </c>
      <c r="BK521" s="4">
        <v>117293.58934859755</v>
      </c>
      <c r="BL521" s="4">
        <v>1523999.9999999995</v>
      </c>
      <c r="BM5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1" s="4">
        <v>294804.96027377353</v>
      </c>
      <c r="BO5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1" s="4">
        <f>(Base[[#This Row],['[SC']'[Mort_prématurée']Gains]]-Base[[#This Row],['[SC']'[Mort_prématurée']Coûts]])/Base[[#This Row],[Population_totale]]</f>
        <v>0</v>
      </c>
      <c r="BQ521" s="4">
        <f>IF(Base[[#This Row],[Pathologie]]&lt;&gt;"Mort prématurée",0,Base[[#This Row],[Risque]])</f>
        <v>0</v>
      </c>
      <c r="BR521" s="4">
        <v>2680</v>
      </c>
      <c r="BS5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1" s="4">
        <f>Base[[#This Row],[Prévalence_prod]]*(1-Base[[#This Row],[Risque]])*Base[[#This Row],[Durée_arrêt]]*Base[[#This Row],[Population_emploi]]</f>
        <v>14792058.292388938</v>
      </c>
      <c r="BV521" s="4">
        <f>Base[[#This Row],['[Prod']'[Absentéisme']Total_jours_absence_avant]]-Base[[#This Row],['[Prod']'[Absentéisme']Total_jours_absence_après]]</f>
        <v>4657771.5957063027</v>
      </c>
      <c r="BW521" s="4">
        <f>IF(AND(Base[[#This Row],[Pathologie]]&lt;&gt;"Dépendance",Base[[#This Row],[Pathologie]]&lt;&gt;"Mort prématurée",Base[[#This Row],[Pathologie]]&lt;&gt;"Migraine"),0.0619,0)</f>
        <v>6.1899999999999997E-2</v>
      </c>
      <c r="BX521" s="4">
        <v>254</v>
      </c>
      <c r="BY52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1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1" s="4">
        <f>Base[[#This Row],[Prévalence_prod]]*Base[[#This Row],[Présentéisme]]*Base[[#This Row],['[Prod']Jours_ouvrés]]</f>
        <v>0.15098463934186357</v>
      </c>
      <c r="CB521" s="4">
        <f>Base[[#This Row],[Prévalence_prod]]*(1-Base[[#This Row],[Risque]])*Base[[#This Row],[Présentéisme]]*Base[[#This Row],['[Prod']Jours_ouvrés]]</f>
        <v>0.11482740976398766</v>
      </c>
      <c r="CC521" s="4">
        <f>Base[[#This Row],['[Prod']'[Présentéisme']Jours_avant]]-Base[[#This Row],['[Prod']'[Présentéisme']Jours_après]]</f>
        <v>3.6157229577875913E-2</v>
      </c>
      <c r="CD521" s="4">
        <f>Base[[#This Row],['[Prod']'[Présentéisme']Jours_gagnés]]/Base[[#This Row],['[Prod']Jours_ouvrés]]</f>
        <v>1.4235129755069256E-4</v>
      </c>
      <c r="CE521">
        <v>9.3428413505841454E-2</v>
      </c>
      <c r="CF521">
        <v>2.1038737314955848E-2</v>
      </c>
      <c r="CG521" s="4">
        <v>11</v>
      </c>
      <c r="CH521" s="4">
        <v>1.3966184516047948</v>
      </c>
      <c r="CI521" s="4">
        <v>1.4392894727292521E-2</v>
      </c>
      <c r="CJ521" s="4">
        <f>IF(Base[[#This Row],[Secteur]]&lt;&gt;"Moyenne",Base[[#This Row],['[Prod']'[Turnover']DMC_initiale]]*(1+Base[[#This Row],['[Prod']'[Turnover']Ecart_accidents]]*Base[[#This Row],['[Prod']Impact_motifs_turnover]]),CJ504*CI504+CJ505*CI505+CJ506*CI506+CJ507*CI507+CJ508*CI508+CJ509*CI509+CJ510*CI510+CJ511*CI511+CJ512*CI512+CJ513*CI513+CJ514*CI514+CJ515*CI515+CJ516*CI516+CJ517*CI517+CJ518*CI518+CJ519*CI519+CJ520*CI520)</f>
        <v>11.32321397605787</v>
      </c>
      <c r="CK521" s="4">
        <f>1/Base[[#This Row],['[Prod']'[Turnover']DMC_initiale]]</f>
        <v>9.0909090909090912E-2</v>
      </c>
      <c r="CL521" s="4">
        <f>1/Base[[#This Row],['[Prod']'[Turnover']DMC_finale]]</f>
        <v>8.8314148448879345E-2</v>
      </c>
    </row>
    <row r="522" spans="2:90" x14ac:dyDescent="0.25">
      <c r="B522" s="4" t="s">
        <v>316</v>
      </c>
      <c r="C522">
        <v>30</v>
      </c>
      <c r="D522" t="s">
        <v>85</v>
      </c>
      <c r="E522" t="s">
        <v>6</v>
      </c>
      <c r="F522" s="3">
        <v>0.2394762125172728</v>
      </c>
      <c r="G522" s="3">
        <v>8.741584028593305E-3</v>
      </c>
      <c r="H522" s="3">
        <v>8.741584028593305E-3</v>
      </c>
      <c r="I522" s="3">
        <v>6.8000000000000005E-2</v>
      </c>
      <c r="J522" s="3">
        <v>16.260750000000002</v>
      </c>
      <c r="K522" s="3">
        <v>7.0000000000000007E-2</v>
      </c>
      <c r="L522" s="2">
        <f>Base[[#This Row],[Coût]]*Base[[#This Row],[Part_ménages_dépenses_santé]]</f>
        <v>1.1382525000000001</v>
      </c>
      <c r="M522" s="2">
        <v>0.99809973356799431</v>
      </c>
      <c r="N522" s="6">
        <v>27700000</v>
      </c>
      <c r="O522" s="7">
        <f>Base[[#This Row],[Coût_salarié]]*10^9*Base[[#This Row],[Risque]]*Base[[#This Row],[Prévalence]]*Base[[#This Row],[Part_coûts_salarié]]/Base[[#This Row],[Population_emploi]]</f>
        <v>8.5858896196795667E-2</v>
      </c>
      <c r="P522">
        <v>50</v>
      </c>
      <c r="Q522">
        <v>50</v>
      </c>
      <c r="R522" s="2">
        <v>9.9999999999999978E-2</v>
      </c>
      <c r="S522" s="2">
        <v>0.33340000000000003</v>
      </c>
      <c r="T522" s="4">
        <v>8.741584028593305E-3</v>
      </c>
      <c r="U522" s="4">
        <f>IF(Bases_annexes!$F$5=0,16.6587111018772,0.77*Bases_annexes!$F$5/(IF(OR(ISBLANK('Données_d''entrée'!$E$44),'Données_d''entrée'!$E$44=0),35,'Données_d''entrée'!$E$44)*52))</f>
        <v>16.658711101877199</v>
      </c>
      <c r="V522" s="4">
        <v>80.324106187301894</v>
      </c>
      <c r="W5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2" s="4">
        <v>234.5</v>
      </c>
      <c r="Y522" s="4">
        <f>(Base[[#This Row],['[Maladies']Coûts_évités_par_salarié]]+Base[[#This Row],['[Travail']Coûts_évités_par_salarié]])/Base[[#This Row],[Budget_santé_salarié]]</f>
        <v>5.6915831714551314E-3</v>
      </c>
      <c r="Z522" s="4">
        <v>0.8</v>
      </c>
      <c r="AA522" s="4">
        <f>Base[[#This Row],[Coût]]*Base[[#This Row],[Part_société_dépenses_santé]]</f>
        <v>13.008600000000001</v>
      </c>
      <c r="AB522" s="4">
        <v>67635124</v>
      </c>
      <c r="AC522" s="4">
        <v>82.297079063317852</v>
      </c>
      <c r="AD522" s="4">
        <v>8.741584028593305E-3</v>
      </c>
      <c r="AE522" s="4">
        <f>Base[[#This Row],['[SC']Prévalence_travail]]*Base[[#This Row],[Population_emploi]]</f>
        <v>242141.87759203455</v>
      </c>
      <c r="AF522" s="4">
        <f>Base[[#This Row],[Risque]]*Base[[#This Row],['[SC']Patients_en_emploi]]</f>
        <v>57987.219737561521</v>
      </c>
      <c r="AG522" s="4">
        <v>1022040000</v>
      </c>
      <c r="AH522" s="4">
        <f>IFERROR(Base[[#This Row],['[SC']Prestations]]/Base[[#This Row],['[SC']Patients_en_emploi]],0)</f>
        <v>4220.8312340005614</v>
      </c>
      <c r="AI522" s="4">
        <v>51.7</v>
      </c>
      <c r="AJ5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2" s="4">
        <f>Base[[#This Row],['[SC']'[Travail']Coûts_évités]]/Base[[#This Row],[Population_emploi]]</f>
        <v>8.8358941603304508</v>
      </c>
      <c r="AL522" s="4">
        <f>Base[[#This Row],[Coût_société]]*10^9*Base[[#This Row],[Risque]]*Base[[#This Row],[Prévalence]]*Base[[#This Row],[Part_coûts_salarié]]/Base[[#This Row],[Population_emploi]]</f>
        <v>0.98124452796337913</v>
      </c>
      <c r="AM522" s="4">
        <f>IF(Base[[#This Row],[Pathologie]]&lt;&gt;"Dépendance",0,14909.24243952)</f>
        <v>0</v>
      </c>
      <c r="AN522" s="4">
        <f>IF(Base[[#This Row],[Pathologie]]&lt;&gt;"Dépendance",0,1316000)</f>
        <v>0</v>
      </c>
      <c r="AO522" s="4">
        <f>IF(Base[[#This Row],[Pathologie]]&lt;&gt;"Dépendance",0,Base[[#This Row],['[SC']Coût_personne_dépendante]]*Base[[#This Row],['[SC']Nb_personnes_dépendantes]])</f>
        <v>0</v>
      </c>
      <c r="AP522" s="4">
        <f>IF(Base[[#This Row],[Pathologie]]&lt;&gt;"Dépendance",0,Base[[#This Row],['[SC']Coût_total_dépendance]]/Base[[#This Row],[Population_totale]])</f>
        <v>0</v>
      </c>
      <c r="AQ522" s="4">
        <f>IF(Base[[#This Row],[Pathologie]]&lt;&gt;"Dépendance",0,4.5)</f>
        <v>0</v>
      </c>
      <c r="AR522" s="4">
        <v>1.0077957276768601</v>
      </c>
      <c r="AS522" s="4">
        <f>Base[[#This Row],[Espérance_vie]]+Base[[#This Row],['[SC']Hausse_esp_de_vie]]-Base[[#This Row],['[SC']Durée_moyenne_dépendance_avt]]+Base[[#This Row],[Risque]]</f>
        <v>83.544351003511991</v>
      </c>
      <c r="AT5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2" s="4">
        <v>62.9</v>
      </c>
      <c r="AW522" s="4">
        <f t="shared" ref="AW522:AW538" si="15">336905600000</f>
        <v>336905600000</v>
      </c>
      <c r="AX522" s="4">
        <v>15049171</v>
      </c>
      <c r="AY522" s="4">
        <f>Base[[#This Row],['[SC']Budget_total_retraites]]/Base[[#This Row],['[SC']Nombre_de_retraités]]</f>
        <v>22386.987296509556</v>
      </c>
      <c r="AZ522" s="4">
        <f>Base[[#This Row],['[SC']Budget_par_retraité]]*Base[[#This Row],['[SC']Nb_personnes_dépendantes]]</f>
        <v>0</v>
      </c>
      <c r="BA522" s="4">
        <f>Base[[#This Row],['[SC']'[Dépendance']Coût_retraite_personnes_dépendantes]]/Base[[#This Row],[Population_totale]]</f>
        <v>0</v>
      </c>
      <c r="BB52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2" s="4">
        <f>Base[[#This Row],['[SC']'[Dépendance']Gains]]-Base[[#This Row],['[SC']'[Dépendance']Coûts]]</f>
        <v>0</v>
      </c>
      <c r="BD522" s="4">
        <f>IF(Base[[#This Row],[Pathologie]]&lt;&gt;"Mort prématurée",0,Base[[#This Row],[Risque]]*Base[[#This Row],[Prévalence]]*Base[[#This Row],[Population_totale]])</f>
        <v>0</v>
      </c>
      <c r="BE522" s="4">
        <v>52.74</v>
      </c>
      <c r="BF522" s="4">
        <f>Base[[#This Row],['[SC']Âge_moyen_retraite]]-Base[[#This Row],['[SC']'[Mort_prématurée']Âge_moyen_mort précoce]]</f>
        <v>10.159999999999997</v>
      </c>
      <c r="BG522" s="4">
        <f>Base[[#This Row],[Espérance_vie]]+Base[[#This Row],['[SC']Hausse_esp_de_vie]]-Base[[#This Row],['[SC']Âge_moyen_retraite]]</f>
        <v>20.404874790994718</v>
      </c>
      <c r="BH522" s="4">
        <v>106583.42676924677</v>
      </c>
      <c r="BI522" s="4">
        <v>97601.789429271477</v>
      </c>
      <c r="BJ522" s="4">
        <v>302038.31496633729</v>
      </c>
      <c r="BK522" s="4">
        <v>117293.58934859755</v>
      </c>
      <c r="BL522" s="4">
        <v>1523999.9999999995</v>
      </c>
      <c r="BM5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2" s="4">
        <v>294804.96027377353</v>
      </c>
      <c r="BO5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2" s="4">
        <f>(Base[[#This Row],['[SC']'[Mort_prématurée']Gains]]-Base[[#This Row],['[SC']'[Mort_prématurée']Coûts]])/Base[[#This Row],[Population_totale]]</f>
        <v>0</v>
      </c>
      <c r="BQ522" s="4">
        <f>IF(Base[[#This Row],[Pathologie]]&lt;&gt;"Mort prématurée",0,Base[[#This Row],[Risque]])</f>
        <v>0</v>
      </c>
      <c r="BR522" s="4">
        <v>2680</v>
      </c>
      <c r="BS5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2" s="4">
        <f>Base[[#This Row],[Prévalence_prod]]*(1-Base[[#This Row],[Risque]])*Base[[#This Row],[Durée_arrêt]]*Base[[#This Row],[Population_emploi]]</f>
        <v>14792058.292388938</v>
      </c>
      <c r="BV522" s="4">
        <f>Base[[#This Row],['[Prod']'[Absentéisme']Total_jours_absence_avant]]-Base[[#This Row],['[Prod']'[Absentéisme']Total_jours_absence_après]]</f>
        <v>4657771.5957063027</v>
      </c>
      <c r="BW522" s="4">
        <f>IF(AND(Base[[#This Row],[Pathologie]]&lt;&gt;"Dépendance",Base[[#This Row],[Pathologie]]&lt;&gt;"Mort prématurée",Base[[#This Row],[Pathologie]]&lt;&gt;"Migraine"),0.0619,0)</f>
        <v>6.1899999999999997E-2</v>
      </c>
      <c r="BX522" s="4">
        <v>254</v>
      </c>
      <c r="BY52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2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2" s="4">
        <f>Base[[#This Row],[Prévalence_prod]]*Base[[#This Row],[Présentéisme]]*Base[[#This Row],['[Prod']Jours_ouvrés]]</f>
        <v>0.15098463934186357</v>
      </c>
      <c r="CB522" s="4">
        <f>Base[[#This Row],[Prévalence_prod]]*(1-Base[[#This Row],[Risque]])*Base[[#This Row],[Présentéisme]]*Base[[#This Row],['[Prod']Jours_ouvrés]]</f>
        <v>0.11482740976398766</v>
      </c>
      <c r="CC522" s="4">
        <f>Base[[#This Row],['[Prod']'[Présentéisme']Jours_avant]]-Base[[#This Row],['[Prod']'[Présentéisme']Jours_après]]</f>
        <v>3.6157229577875913E-2</v>
      </c>
      <c r="CD522" s="4">
        <f>Base[[#This Row],['[Prod']'[Présentéisme']Jours_gagnés]]/Base[[#This Row],['[Prod']Jours_ouvrés]]</f>
        <v>1.4235129755069256E-4</v>
      </c>
      <c r="CE522">
        <v>9.3428413505841454E-2</v>
      </c>
      <c r="CF522">
        <v>2.1038737314955848E-2</v>
      </c>
      <c r="CG522" s="4">
        <v>11</v>
      </c>
      <c r="CH522" s="4">
        <v>0.68054183762612652</v>
      </c>
      <c r="CI522" s="4">
        <v>1.2135452577082654E-2</v>
      </c>
      <c r="CJ522" s="4">
        <f>IF(Base[[#This Row],[Secteur]]&lt;&gt;"Moyenne",Base[[#This Row],['[Prod']'[Turnover']DMC_initiale]]*(1+Base[[#This Row],['[Prod']'[Turnover']Ecart_accidents]]*Base[[#This Row],['[Prod']Impact_motifs_turnover]]),CJ505*CI505+CJ506*CI506+CJ507*CI507+CJ508*CI508+CJ509*CI509+CJ510*CI510+CJ511*CI511+CJ512*CI512+CJ513*CI513+CJ514*CI514+CJ515*CI515+CJ516*CI516+CJ517*CI517+CJ518*CI518+CJ519*CI519+CJ520*CI520+CJ521*CI521)</f>
        <v>11.157495150490188</v>
      </c>
      <c r="CK522" s="4">
        <f>1/Base[[#This Row],['[Prod']'[Turnover']DMC_initiale]]</f>
        <v>9.0909090909090912E-2</v>
      </c>
      <c r="CL522" s="4">
        <f>1/Base[[#This Row],['[Prod']'[Turnover']DMC_finale]]</f>
        <v>8.9625851189015879E-2</v>
      </c>
    </row>
    <row r="523" spans="2:90" x14ac:dyDescent="0.25">
      <c r="B523" s="4" t="s">
        <v>317</v>
      </c>
      <c r="C523">
        <v>30</v>
      </c>
      <c r="D523" t="s">
        <v>85</v>
      </c>
      <c r="E523" t="s">
        <v>6</v>
      </c>
      <c r="F523" s="3">
        <v>0.2394762125172728</v>
      </c>
      <c r="G523" s="3">
        <v>8.741584028593305E-3</v>
      </c>
      <c r="H523" s="3">
        <v>8.741584028593305E-3</v>
      </c>
      <c r="I523" s="3">
        <v>6.8000000000000005E-2</v>
      </c>
      <c r="J523" s="3">
        <v>16.260750000000002</v>
      </c>
      <c r="K523" s="3">
        <v>7.0000000000000007E-2</v>
      </c>
      <c r="L523" s="2">
        <f>Base[[#This Row],[Coût]]*Base[[#This Row],[Part_ménages_dépenses_santé]]</f>
        <v>1.1382525000000001</v>
      </c>
      <c r="M523" s="2">
        <v>0.99809973356799431</v>
      </c>
      <c r="N523" s="6">
        <v>27700000</v>
      </c>
      <c r="O523" s="7">
        <f>Base[[#This Row],[Coût_salarié]]*10^9*Base[[#This Row],[Risque]]*Base[[#This Row],[Prévalence]]*Base[[#This Row],[Part_coûts_salarié]]/Base[[#This Row],[Population_emploi]]</f>
        <v>8.5858896196795667E-2</v>
      </c>
      <c r="P523">
        <v>50</v>
      </c>
      <c r="Q523">
        <v>50</v>
      </c>
      <c r="R523" s="2">
        <v>9.9999999999999978E-2</v>
      </c>
      <c r="S523" s="2">
        <v>0.33340000000000003</v>
      </c>
      <c r="T523" s="4">
        <v>8.741584028593305E-3</v>
      </c>
      <c r="U523" s="4">
        <f>IF(Bases_annexes!$F$5=0,16.6587111018772,0.77*Bases_annexes!$F$5/(IF(OR(ISBLANK('Données_d''entrée'!$E$44),'Données_d''entrée'!$E$44=0),35,'Données_d''entrée'!$E$44)*52))</f>
        <v>16.658711101877199</v>
      </c>
      <c r="V523" s="4">
        <v>80.324106187301894</v>
      </c>
      <c r="W5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3" s="4">
        <v>234.5</v>
      </c>
      <c r="Y523" s="4">
        <f>(Base[[#This Row],['[Maladies']Coûts_évités_par_salarié]]+Base[[#This Row],['[Travail']Coûts_évités_par_salarié]])/Base[[#This Row],[Budget_santé_salarié]]</f>
        <v>5.6915831714551314E-3</v>
      </c>
      <c r="Z523" s="4">
        <v>0.8</v>
      </c>
      <c r="AA523" s="4">
        <f>Base[[#This Row],[Coût]]*Base[[#This Row],[Part_société_dépenses_santé]]</f>
        <v>13.008600000000001</v>
      </c>
      <c r="AB523" s="4">
        <v>67635124</v>
      </c>
      <c r="AC523" s="4">
        <v>82.297079063317852</v>
      </c>
      <c r="AD523" s="4">
        <v>8.741584028593305E-3</v>
      </c>
      <c r="AE523" s="4">
        <f>Base[[#This Row],['[SC']Prévalence_travail]]*Base[[#This Row],[Population_emploi]]</f>
        <v>242141.87759203455</v>
      </c>
      <c r="AF523" s="4">
        <f>Base[[#This Row],[Risque]]*Base[[#This Row],['[SC']Patients_en_emploi]]</f>
        <v>57987.219737561521</v>
      </c>
      <c r="AG523" s="4">
        <v>1022040000</v>
      </c>
      <c r="AH523" s="4">
        <f>IFERROR(Base[[#This Row],['[SC']Prestations]]/Base[[#This Row],['[SC']Patients_en_emploi]],0)</f>
        <v>4220.8312340005614</v>
      </c>
      <c r="AI523" s="4">
        <v>51.7</v>
      </c>
      <c r="AJ5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3" s="4">
        <f>Base[[#This Row],['[SC']'[Travail']Coûts_évités]]/Base[[#This Row],[Population_emploi]]</f>
        <v>8.8358941603304508</v>
      </c>
      <c r="AL523" s="4">
        <f>Base[[#This Row],[Coût_société]]*10^9*Base[[#This Row],[Risque]]*Base[[#This Row],[Prévalence]]*Base[[#This Row],[Part_coûts_salarié]]/Base[[#This Row],[Population_emploi]]</f>
        <v>0.98124452796337913</v>
      </c>
      <c r="AM523" s="4">
        <f>IF(Base[[#This Row],[Pathologie]]&lt;&gt;"Dépendance",0,14909.24243952)</f>
        <v>0</v>
      </c>
      <c r="AN523" s="4">
        <f>IF(Base[[#This Row],[Pathologie]]&lt;&gt;"Dépendance",0,1316000)</f>
        <v>0</v>
      </c>
      <c r="AO523" s="4">
        <f>IF(Base[[#This Row],[Pathologie]]&lt;&gt;"Dépendance",0,Base[[#This Row],['[SC']Coût_personne_dépendante]]*Base[[#This Row],['[SC']Nb_personnes_dépendantes]])</f>
        <v>0</v>
      </c>
      <c r="AP523" s="4">
        <f>IF(Base[[#This Row],[Pathologie]]&lt;&gt;"Dépendance",0,Base[[#This Row],['[SC']Coût_total_dépendance]]/Base[[#This Row],[Population_totale]])</f>
        <v>0</v>
      </c>
      <c r="AQ523" s="4">
        <f>IF(Base[[#This Row],[Pathologie]]&lt;&gt;"Dépendance",0,4.5)</f>
        <v>0</v>
      </c>
      <c r="AR523" s="4">
        <v>1.0077957276768601</v>
      </c>
      <c r="AS523" s="4">
        <f>Base[[#This Row],[Espérance_vie]]+Base[[#This Row],['[SC']Hausse_esp_de_vie]]-Base[[#This Row],['[SC']Durée_moyenne_dépendance_avt]]+Base[[#This Row],[Risque]]</f>
        <v>83.544351003511991</v>
      </c>
      <c r="AT5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3" s="4">
        <v>62.9</v>
      </c>
      <c r="AW523" s="4">
        <f t="shared" si="15"/>
        <v>336905600000</v>
      </c>
      <c r="AX523" s="4">
        <v>15049171</v>
      </c>
      <c r="AY523" s="4">
        <f>Base[[#This Row],['[SC']Budget_total_retraites]]/Base[[#This Row],['[SC']Nombre_de_retraités]]</f>
        <v>22386.987296509556</v>
      </c>
      <c r="AZ523" s="4">
        <f>Base[[#This Row],['[SC']Budget_par_retraité]]*Base[[#This Row],['[SC']Nb_personnes_dépendantes]]</f>
        <v>0</v>
      </c>
      <c r="BA523" s="4">
        <f>Base[[#This Row],['[SC']'[Dépendance']Coût_retraite_personnes_dépendantes]]/Base[[#This Row],[Population_totale]]</f>
        <v>0</v>
      </c>
      <c r="BB52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3" s="4">
        <f>Base[[#This Row],['[SC']'[Dépendance']Gains]]-Base[[#This Row],['[SC']'[Dépendance']Coûts]]</f>
        <v>0</v>
      </c>
      <c r="BD523" s="4">
        <f>IF(Base[[#This Row],[Pathologie]]&lt;&gt;"Mort prématurée",0,Base[[#This Row],[Risque]]*Base[[#This Row],[Prévalence]]*Base[[#This Row],[Population_totale]])</f>
        <v>0</v>
      </c>
      <c r="BE523" s="4">
        <v>52.74</v>
      </c>
      <c r="BF523" s="4">
        <f>Base[[#This Row],['[SC']Âge_moyen_retraite]]-Base[[#This Row],['[SC']'[Mort_prématurée']Âge_moyen_mort précoce]]</f>
        <v>10.159999999999997</v>
      </c>
      <c r="BG523" s="4">
        <f>Base[[#This Row],[Espérance_vie]]+Base[[#This Row],['[SC']Hausse_esp_de_vie]]-Base[[#This Row],['[SC']Âge_moyen_retraite]]</f>
        <v>20.404874790994718</v>
      </c>
      <c r="BH523" s="4">
        <v>106583.42676924677</v>
      </c>
      <c r="BI523" s="4">
        <v>97601.789429271477</v>
      </c>
      <c r="BJ523" s="4">
        <v>302038.31496633729</v>
      </c>
      <c r="BK523" s="4">
        <v>117293.58934859755</v>
      </c>
      <c r="BL523" s="4">
        <v>1523999.9999999995</v>
      </c>
      <c r="BM5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3" s="4">
        <v>294804.96027377353</v>
      </c>
      <c r="BO5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3" s="4">
        <f>(Base[[#This Row],['[SC']'[Mort_prématurée']Gains]]-Base[[#This Row],['[SC']'[Mort_prématurée']Coûts]])/Base[[#This Row],[Population_totale]]</f>
        <v>0</v>
      </c>
      <c r="BQ523" s="4">
        <f>IF(Base[[#This Row],[Pathologie]]&lt;&gt;"Mort prématurée",0,Base[[#This Row],[Risque]])</f>
        <v>0</v>
      </c>
      <c r="BR523" s="4">
        <v>2680</v>
      </c>
      <c r="BS5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3" s="4">
        <f>Base[[#This Row],[Prévalence_prod]]*(1-Base[[#This Row],[Risque]])*Base[[#This Row],[Durée_arrêt]]*Base[[#This Row],[Population_emploi]]</f>
        <v>14792058.292388938</v>
      </c>
      <c r="BV523" s="4">
        <f>Base[[#This Row],['[Prod']'[Absentéisme']Total_jours_absence_avant]]-Base[[#This Row],['[Prod']'[Absentéisme']Total_jours_absence_après]]</f>
        <v>4657771.5957063027</v>
      </c>
      <c r="BW523" s="4">
        <f>IF(AND(Base[[#This Row],[Pathologie]]&lt;&gt;"Dépendance",Base[[#This Row],[Pathologie]]&lt;&gt;"Mort prématurée",Base[[#This Row],[Pathologie]]&lt;&gt;"Migraine"),0.0619,0)</f>
        <v>6.1899999999999997E-2</v>
      </c>
      <c r="BX523" s="4">
        <v>254</v>
      </c>
      <c r="BY523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3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3" s="4">
        <f>Base[[#This Row],[Prévalence_prod]]*Base[[#This Row],[Présentéisme]]*Base[[#This Row],['[Prod']Jours_ouvrés]]</f>
        <v>0.15098463934186357</v>
      </c>
      <c r="CB523" s="4">
        <f>Base[[#This Row],[Prévalence_prod]]*(1-Base[[#This Row],[Risque]])*Base[[#This Row],[Présentéisme]]*Base[[#This Row],['[Prod']Jours_ouvrés]]</f>
        <v>0.11482740976398766</v>
      </c>
      <c r="CC523" s="4">
        <f>Base[[#This Row],['[Prod']'[Présentéisme']Jours_avant]]-Base[[#This Row],['[Prod']'[Présentéisme']Jours_après]]</f>
        <v>3.6157229577875913E-2</v>
      </c>
      <c r="CD523" s="4">
        <f>Base[[#This Row],['[Prod']'[Présentéisme']Jours_gagnés]]/Base[[#This Row],['[Prod']Jours_ouvrés]]</f>
        <v>1.4235129755069256E-4</v>
      </c>
      <c r="CE523">
        <v>9.3428413505841454E-2</v>
      </c>
      <c r="CF523">
        <v>2.1038737314955848E-2</v>
      </c>
      <c r="CG523" s="4">
        <v>11</v>
      </c>
      <c r="CH523" s="4">
        <v>0.31563677172153043</v>
      </c>
      <c r="CI523" s="4">
        <v>1.3003350630813707E-4</v>
      </c>
      <c r="CJ523" s="4">
        <f>IF(Base[[#This Row],[Secteur]]&lt;&gt;"Moyenne",Base[[#This Row],['[Prod']'[Turnover']DMC_initiale]]*(1+Base[[#This Row],['[Prod']'[Turnover']Ecart_accidents]]*Base[[#This Row],['[Prod']Impact_motifs_turnover]]),CJ506*CI506+CJ507*CI507+CJ508*CI508+CJ509*CI509+CJ510*CI510+CJ511*CI511+CJ512*CI512+CJ513*CI513+CJ514*CI514+CJ515*CI515+CJ516*CI516+CJ517*CI517+CJ518*CI518+CJ519*CI519+CJ520*CI520+CJ521*CI521+CJ522*CI522)</f>
        <v>11.073046590399091</v>
      </c>
      <c r="CK523" s="4">
        <f>1/Base[[#This Row],['[Prod']'[Turnover']DMC_initiale]]</f>
        <v>9.0909090909090912E-2</v>
      </c>
      <c r="CL523" s="4">
        <f>1/Base[[#This Row],['[Prod']'[Turnover']DMC_finale]]</f>
        <v>9.030938250246795E-2</v>
      </c>
    </row>
    <row r="524" spans="2:90" x14ac:dyDescent="0.25">
      <c r="B524" s="4" t="s">
        <v>318</v>
      </c>
      <c r="C524">
        <v>30</v>
      </c>
      <c r="D524" t="s">
        <v>85</v>
      </c>
      <c r="E524" t="s">
        <v>6</v>
      </c>
      <c r="F524" s="3">
        <v>0.2394762125172728</v>
      </c>
      <c r="G524" s="3">
        <v>8.741584028593305E-3</v>
      </c>
      <c r="H524" s="3">
        <v>8.741584028593305E-3</v>
      </c>
      <c r="I524" s="3">
        <v>6.8000000000000005E-2</v>
      </c>
      <c r="J524" s="3">
        <v>16.260750000000002</v>
      </c>
      <c r="K524" s="3">
        <v>7.0000000000000007E-2</v>
      </c>
      <c r="L524" s="2">
        <f>Base[[#This Row],[Coût]]*Base[[#This Row],[Part_ménages_dépenses_santé]]</f>
        <v>1.1382525000000001</v>
      </c>
      <c r="M524" s="2">
        <v>0.99809973356799431</v>
      </c>
      <c r="N524" s="6">
        <v>27700000</v>
      </c>
      <c r="O524" s="7">
        <f>Base[[#This Row],[Coût_salarié]]*10^9*Base[[#This Row],[Risque]]*Base[[#This Row],[Prévalence]]*Base[[#This Row],[Part_coûts_salarié]]/Base[[#This Row],[Population_emploi]]</f>
        <v>8.5858896196795667E-2</v>
      </c>
      <c r="P524">
        <v>50</v>
      </c>
      <c r="Q524">
        <v>50</v>
      </c>
      <c r="R524" s="2">
        <v>9.9999999999999978E-2</v>
      </c>
      <c r="S524" s="2">
        <v>0.33340000000000003</v>
      </c>
      <c r="T524" s="4">
        <v>8.741584028593305E-3</v>
      </c>
      <c r="U524" s="4">
        <f>IF(Bases_annexes!$F$5=0,16.6587111018772,0.77*Bases_annexes!$F$5/(IF(OR(ISBLANK('Données_d''entrée'!$E$44),'Données_d''entrée'!$E$44=0),35,'Données_d''entrée'!$E$44)*52))</f>
        <v>16.658711101877199</v>
      </c>
      <c r="V524" s="4">
        <v>80.324106187301894</v>
      </c>
      <c r="W5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4" s="4">
        <v>234.5</v>
      </c>
      <c r="Y524" s="4">
        <f>(Base[[#This Row],['[Maladies']Coûts_évités_par_salarié]]+Base[[#This Row],['[Travail']Coûts_évités_par_salarié]])/Base[[#This Row],[Budget_santé_salarié]]</f>
        <v>5.6915831714551314E-3</v>
      </c>
      <c r="Z524" s="4">
        <v>0.8</v>
      </c>
      <c r="AA524" s="4">
        <f>Base[[#This Row],[Coût]]*Base[[#This Row],[Part_société_dépenses_santé]]</f>
        <v>13.008600000000001</v>
      </c>
      <c r="AB524" s="4">
        <v>67635124</v>
      </c>
      <c r="AC524" s="4">
        <v>82.297079063317852</v>
      </c>
      <c r="AD524" s="4">
        <v>8.741584028593305E-3</v>
      </c>
      <c r="AE524" s="4">
        <f>Base[[#This Row],['[SC']Prévalence_travail]]*Base[[#This Row],[Population_emploi]]</f>
        <v>242141.87759203455</v>
      </c>
      <c r="AF524" s="4">
        <f>Base[[#This Row],[Risque]]*Base[[#This Row],['[SC']Patients_en_emploi]]</f>
        <v>57987.219737561521</v>
      </c>
      <c r="AG524" s="4">
        <v>1022040000</v>
      </c>
      <c r="AH524" s="4">
        <f>IFERROR(Base[[#This Row],['[SC']Prestations]]/Base[[#This Row],['[SC']Patients_en_emploi]],0)</f>
        <v>4220.8312340005614</v>
      </c>
      <c r="AI524" s="4">
        <v>51.7</v>
      </c>
      <c r="AJ5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4" s="4">
        <f>Base[[#This Row],['[SC']'[Travail']Coûts_évités]]/Base[[#This Row],[Population_emploi]]</f>
        <v>8.8358941603304508</v>
      </c>
      <c r="AL524" s="4">
        <f>Base[[#This Row],[Coût_société]]*10^9*Base[[#This Row],[Risque]]*Base[[#This Row],[Prévalence]]*Base[[#This Row],[Part_coûts_salarié]]/Base[[#This Row],[Population_emploi]]</f>
        <v>0.98124452796337913</v>
      </c>
      <c r="AM524" s="4">
        <f>IF(Base[[#This Row],[Pathologie]]&lt;&gt;"Dépendance",0,14909.24243952)</f>
        <v>0</v>
      </c>
      <c r="AN524" s="4">
        <f>IF(Base[[#This Row],[Pathologie]]&lt;&gt;"Dépendance",0,1316000)</f>
        <v>0</v>
      </c>
      <c r="AO524" s="4">
        <f>IF(Base[[#This Row],[Pathologie]]&lt;&gt;"Dépendance",0,Base[[#This Row],['[SC']Coût_personne_dépendante]]*Base[[#This Row],['[SC']Nb_personnes_dépendantes]])</f>
        <v>0</v>
      </c>
      <c r="AP524" s="4">
        <f>IF(Base[[#This Row],[Pathologie]]&lt;&gt;"Dépendance",0,Base[[#This Row],['[SC']Coût_total_dépendance]]/Base[[#This Row],[Population_totale]])</f>
        <v>0</v>
      </c>
      <c r="AQ524" s="4">
        <f>IF(Base[[#This Row],[Pathologie]]&lt;&gt;"Dépendance",0,4.5)</f>
        <v>0</v>
      </c>
      <c r="AR524" s="4">
        <v>1.0077957276768601</v>
      </c>
      <c r="AS524" s="4">
        <f>Base[[#This Row],[Espérance_vie]]+Base[[#This Row],['[SC']Hausse_esp_de_vie]]-Base[[#This Row],['[SC']Durée_moyenne_dépendance_avt]]+Base[[#This Row],[Risque]]</f>
        <v>83.544351003511991</v>
      </c>
      <c r="AT5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4" s="4">
        <v>62.9</v>
      </c>
      <c r="AW524" s="4">
        <f t="shared" si="15"/>
        <v>336905600000</v>
      </c>
      <c r="AX524" s="4">
        <v>15049171</v>
      </c>
      <c r="AY524" s="4">
        <f>Base[[#This Row],['[SC']Budget_total_retraites]]/Base[[#This Row],['[SC']Nombre_de_retraités]]</f>
        <v>22386.987296509556</v>
      </c>
      <c r="AZ524" s="4">
        <f>Base[[#This Row],['[SC']Budget_par_retraité]]*Base[[#This Row],['[SC']Nb_personnes_dépendantes]]</f>
        <v>0</v>
      </c>
      <c r="BA524" s="4">
        <f>Base[[#This Row],['[SC']'[Dépendance']Coût_retraite_personnes_dépendantes]]/Base[[#This Row],[Population_totale]]</f>
        <v>0</v>
      </c>
      <c r="BB52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4" s="4">
        <f>Base[[#This Row],['[SC']'[Dépendance']Gains]]-Base[[#This Row],['[SC']'[Dépendance']Coûts]]</f>
        <v>0</v>
      </c>
      <c r="BD524" s="4">
        <f>IF(Base[[#This Row],[Pathologie]]&lt;&gt;"Mort prématurée",0,Base[[#This Row],[Risque]]*Base[[#This Row],[Prévalence]]*Base[[#This Row],[Population_totale]])</f>
        <v>0</v>
      </c>
      <c r="BE524" s="4">
        <v>52.74</v>
      </c>
      <c r="BF524" s="4">
        <f>Base[[#This Row],['[SC']Âge_moyen_retraite]]-Base[[#This Row],['[SC']'[Mort_prématurée']Âge_moyen_mort précoce]]</f>
        <v>10.159999999999997</v>
      </c>
      <c r="BG524" s="4">
        <f>Base[[#This Row],[Espérance_vie]]+Base[[#This Row],['[SC']Hausse_esp_de_vie]]-Base[[#This Row],['[SC']Âge_moyen_retraite]]</f>
        <v>20.404874790994718</v>
      </c>
      <c r="BH524" s="4">
        <v>106583.42676924677</v>
      </c>
      <c r="BI524" s="4">
        <v>97601.789429271477</v>
      </c>
      <c r="BJ524" s="4">
        <v>302038.31496633729</v>
      </c>
      <c r="BK524" s="4">
        <v>117293.58934859755</v>
      </c>
      <c r="BL524" s="4">
        <v>1523999.9999999995</v>
      </c>
      <c r="BM5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4" s="4">
        <v>294804.96027377353</v>
      </c>
      <c r="BO5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4" s="4">
        <f>(Base[[#This Row],['[SC']'[Mort_prématurée']Gains]]-Base[[#This Row],['[SC']'[Mort_prématurée']Coûts]])/Base[[#This Row],[Population_totale]]</f>
        <v>0</v>
      </c>
      <c r="BQ524" s="4">
        <f>IF(Base[[#This Row],[Pathologie]]&lt;&gt;"Mort prématurée",0,Base[[#This Row],[Risque]])</f>
        <v>0</v>
      </c>
      <c r="BR524" s="4">
        <v>2680</v>
      </c>
      <c r="BS5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4" s="4">
        <f>Base[[#This Row],[Prévalence_prod]]*(1-Base[[#This Row],[Risque]])*Base[[#This Row],[Durée_arrêt]]*Base[[#This Row],[Population_emploi]]</f>
        <v>14792058.292388938</v>
      </c>
      <c r="BV524" s="4">
        <f>Base[[#This Row],['[Prod']'[Absentéisme']Total_jours_absence_avant]]-Base[[#This Row],['[Prod']'[Absentéisme']Total_jours_absence_après]]</f>
        <v>4657771.5957063027</v>
      </c>
      <c r="BW524" s="4">
        <f>IF(AND(Base[[#This Row],[Pathologie]]&lt;&gt;"Dépendance",Base[[#This Row],[Pathologie]]&lt;&gt;"Mort prématurée",Base[[#This Row],[Pathologie]]&lt;&gt;"Migraine"),0.0619,0)</f>
        <v>6.1899999999999997E-2</v>
      </c>
      <c r="BX524" s="4">
        <v>254</v>
      </c>
      <c r="BY524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4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4" s="4">
        <f>Base[[#This Row],[Prévalence_prod]]*Base[[#This Row],[Présentéisme]]*Base[[#This Row],['[Prod']Jours_ouvrés]]</f>
        <v>0.15098463934186357</v>
      </c>
      <c r="CB524" s="4">
        <f>Base[[#This Row],[Prévalence_prod]]*(1-Base[[#This Row],[Risque]])*Base[[#This Row],[Présentéisme]]*Base[[#This Row],['[Prod']Jours_ouvrés]]</f>
        <v>0.11482740976398766</v>
      </c>
      <c r="CC524" s="4">
        <f>Base[[#This Row],['[Prod']'[Présentéisme']Jours_avant]]-Base[[#This Row],['[Prod']'[Présentéisme']Jours_après]]</f>
        <v>3.6157229577875913E-2</v>
      </c>
      <c r="CD524" s="4">
        <f>Base[[#This Row],['[Prod']'[Présentéisme']Jours_gagnés]]/Base[[#This Row],['[Prod']Jours_ouvrés]]</f>
        <v>1.4235129755069256E-4</v>
      </c>
      <c r="CE524">
        <v>9.3428413505841454E-2</v>
      </c>
      <c r="CF524">
        <v>2.1038737314955848E-2</v>
      </c>
      <c r="CG524" s="4">
        <v>11</v>
      </c>
      <c r="CH524" s="4">
        <v>1.1688035738877327</v>
      </c>
      <c r="CI524" s="4">
        <v>9.6557438521367826E-3</v>
      </c>
      <c r="CJ524" s="4">
        <f>IF(Base[[#This Row],[Secteur]]&lt;&gt;"Moyenne",Base[[#This Row],['[Prod']'[Turnover']DMC_initiale]]*(1+Base[[#This Row],['[Prod']'[Turnover']Ecart_accidents]]*Base[[#This Row],['[Prod']Impact_motifs_turnover]]),CJ507*CI507+CJ508*CI508+CJ509*CI509+CJ510*CI510+CJ511*CI511+CJ512*CI512+CJ513*CI513+CJ514*CI514+CJ515*CI515+CJ516*CI516+CJ517*CI517+CJ518*CI518+CJ519*CI519+CJ520*CI520+CJ521*CI521+CJ522*CI522+CJ523*CI523)</f>
        <v>11.270491665001861</v>
      </c>
      <c r="CK524" s="4">
        <f>1/Base[[#This Row],['[Prod']'[Turnover']DMC_initiale]]</f>
        <v>9.0909090909090912E-2</v>
      </c>
      <c r="CL524" s="4">
        <f>1/Base[[#This Row],['[Prod']'[Turnover']DMC_finale]]</f>
        <v>8.8727273815861069E-2</v>
      </c>
    </row>
    <row r="525" spans="2:90" x14ac:dyDescent="0.25">
      <c r="B525" s="4" t="s">
        <v>319</v>
      </c>
      <c r="C525">
        <v>30</v>
      </c>
      <c r="D525" t="s">
        <v>85</v>
      </c>
      <c r="E525" t="s">
        <v>6</v>
      </c>
      <c r="F525" s="3">
        <v>0.2394762125172728</v>
      </c>
      <c r="G525" s="3">
        <v>8.741584028593305E-3</v>
      </c>
      <c r="H525" s="3">
        <v>8.741584028593305E-3</v>
      </c>
      <c r="I525" s="3">
        <v>6.8000000000000005E-2</v>
      </c>
      <c r="J525" s="3">
        <v>16.260750000000002</v>
      </c>
      <c r="K525" s="3">
        <v>7.0000000000000007E-2</v>
      </c>
      <c r="L525" s="2">
        <f>Base[[#This Row],[Coût]]*Base[[#This Row],[Part_ménages_dépenses_santé]]</f>
        <v>1.1382525000000001</v>
      </c>
      <c r="M525" s="2">
        <v>0.99809973356799431</v>
      </c>
      <c r="N525" s="6">
        <v>27700000</v>
      </c>
      <c r="O525" s="7">
        <f>Base[[#This Row],[Coût_salarié]]*10^9*Base[[#This Row],[Risque]]*Base[[#This Row],[Prévalence]]*Base[[#This Row],[Part_coûts_salarié]]/Base[[#This Row],[Population_emploi]]</f>
        <v>8.5858896196795667E-2</v>
      </c>
      <c r="P525">
        <v>50</v>
      </c>
      <c r="Q525">
        <v>50</v>
      </c>
      <c r="R525" s="2">
        <v>9.9999999999999978E-2</v>
      </c>
      <c r="S525" s="2">
        <v>0.33340000000000003</v>
      </c>
      <c r="T525" s="4">
        <v>8.741584028593305E-3</v>
      </c>
      <c r="U525" s="4">
        <f>IF(Bases_annexes!$F$5=0,16.6587111018772,0.77*Bases_annexes!$F$5/(IF(OR(ISBLANK('Données_d''entrée'!$E$44),'Données_d''entrée'!$E$44=0),35,'Données_d''entrée'!$E$44)*52))</f>
        <v>16.658711101877199</v>
      </c>
      <c r="V525" s="4">
        <v>80.324106187301894</v>
      </c>
      <c r="W5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5" s="4">
        <v>234.5</v>
      </c>
      <c r="Y525" s="4">
        <f>(Base[[#This Row],['[Maladies']Coûts_évités_par_salarié]]+Base[[#This Row],['[Travail']Coûts_évités_par_salarié]])/Base[[#This Row],[Budget_santé_salarié]]</f>
        <v>5.6915831714551314E-3</v>
      </c>
      <c r="Z525" s="4">
        <v>0.8</v>
      </c>
      <c r="AA525" s="4">
        <f>Base[[#This Row],[Coût]]*Base[[#This Row],[Part_société_dépenses_santé]]</f>
        <v>13.008600000000001</v>
      </c>
      <c r="AB525" s="4">
        <v>67635124</v>
      </c>
      <c r="AC525" s="4">
        <v>82.297079063317852</v>
      </c>
      <c r="AD525" s="4">
        <v>8.741584028593305E-3</v>
      </c>
      <c r="AE525" s="4">
        <f>Base[[#This Row],['[SC']Prévalence_travail]]*Base[[#This Row],[Population_emploi]]</f>
        <v>242141.87759203455</v>
      </c>
      <c r="AF525" s="4">
        <f>Base[[#This Row],[Risque]]*Base[[#This Row],['[SC']Patients_en_emploi]]</f>
        <v>57987.219737561521</v>
      </c>
      <c r="AG525" s="4">
        <v>1022040000</v>
      </c>
      <c r="AH525" s="4">
        <f>IFERROR(Base[[#This Row],['[SC']Prestations]]/Base[[#This Row],['[SC']Patients_en_emploi]],0)</f>
        <v>4220.8312340005614</v>
      </c>
      <c r="AI525" s="4">
        <v>51.7</v>
      </c>
      <c r="AJ5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5" s="4">
        <f>Base[[#This Row],['[SC']'[Travail']Coûts_évités]]/Base[[#This Row],[Population_emploi]]</f>
        <v>8.8358941603304508</v>
      </c>
      <c r="AL525" s="4">
        <f>Base[[#This Row],[Coût_société]]*10^9*Base[[#This Row],[Risque]]*Base[[#This Row],[Prévalence]]*Base[[#This Row],[Part_coûts_salarié]]/Base[[#This Row],[Population_emploi]]</f>
        <v>0.98124452796337913</v>
      </c>
      <c r="AM525" s="4">
        <f>IF(Base[[#This Row],[Pathologie]]&lt;&gt;"Dépendance",0,14909.24243952)</f>
        <v>0</v>
      </c>
      <c r="AN525" s="4">
        <f>IF(Base[[#This Row],[Pathologie]]&lt;&gt;"Dépendance",0,1316000)</f>
        <v>0</v>
      </c>
      <c r="AO525" s="4">
        <f>IF(Base[[#This Row],[Pathologie]]&lt;&gt;"Dépendance",0,Base[[#This Row],['[SC']Coût_personne_dépendante]]*Base[[#This Row],['[SC']Nb_personnes_dépendantes]])</f>
        <v>0</v>
      </c>
      <c r="AP525" s="4">
        <f>IF(Base[[#This Row],[Pathologie]]&lt;&gt;"Dépendance",0,Base[[#This Row],['[SC']Coût_total_dépendance]]/Base[[#This Row],[Population_totale]])</f>
        <v>0</v>
      </c>
      <c r="AQ525" s="4">
        <f>IF(Base[[#This Row],[Pathologie]]&lt;&gt;"Dépendance",0,4.5)</f>
        <v>0</v>
      </c>
      <c r="AR525" s="4">
        <v>1.0077957276768601</v>
      </c>
      <c r="AS525" s="4">
        <f>Base[[#This Row],[Espérance_vie]]+Base[[#This Row],['[SC']Hausse_esp_de_vie]]-Base[[#This Row],['[SC']Durée_moyenne_dépendance_avt]]+Base[[#This Row],[Risque]]</f>
        <v>83.544351003511991</v>
      </c>
      <c r="AT5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5" s="4">
        <v>62.9</v>
      </c>
      <c r="AW525" s="4">
        <f t="shared" si="15"/>
        <v>336905600000</v>
      </c>
      <c r="AX525" s="4">
        <v>15049171</v>
      </c>
      <c r="AY525" s="4">
        <f>Base[[#This Row],['[SC']Budget_total_retraites]]/Base[[#This Row],['[SC']Nombre_de_retraités]]</f>
        <v>22386.987296509556</v>
      </c>
      <c r="AZ525" s="4">
        <f>Base[[#This Row],['[SC']Budget_par_retraité]]*Base[[#This Row],['[SC']Nb_personnes_dépendantes]]</f>
        <v>0</v>
      </c>
      <c r="BA525" s="4">
        <f>Base[[#This Row],['[SC']'[Dépendance']Coût_retraite_personnes_dépendantes]]/Base[[#This Row],[Population_totale]]</f>
        <v>0</v>
      </c>
      <c r="BB52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5" s="4">
        <f>Base[[#This Row],['[SC']'[Dépendance']Gains]]-Base[[#This Row],['[SC']'[Dépendance']Coûts]]</f>
        <v>0</v>
      </c>
      <c r="BD525" s="4">
        <f>IF(Base[[#This Row],[Pathologie]]&lt;&gt;"Mort prématurée",0,Base[[#This Row],[Risque]]*Base[[#This Row],[Prévalence]]*Base[[#This Row],[Population_totale]])</f>
        <v>0</v>
      </c>
      <c r="BE525" s="4">
        <v>52.74</v>
      </c>
      <c r="BF525" s="4">
        <f>Base[[#This Row],['[SC']Âge_moyen_retraite]]-Base[[#This Row],['[SC']'[Mort_prématurée']Âge_moyen_mort précoce]]</f>
        <v>10.159999999999997</v>
      </c>
      <c r="BG525" s="4">
        <f>Base[[#This Row],[Espérance_vie]]+Base[[#This Row],['[SC']Hausse_esp_de_vie]]-Base[[#This Row],['[SC']Âge_moyen_retraite]]</f>
        <v>20.404874790994718</v>
      </c>
      <c r="BH525" s="4">
        <v>106583.42676924677</v>
      </c>
      <c r="BI525" s="4">
        <v>97601.789429271477</v>
      </c>
      <c r="BJ525" s="4">
        <v>302038.31496633729</v>
      </c>
      <c r="BK525" s="4">
        <v>117293.58934859755</v>
      </c>
      <c r="BL525" s="4">
        <v>1523999.9999999995</v>
      </c>
      <c r="BM5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5" s="4">
        <v>294804.96027377353</v>
      </c>
      <c r="BO5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5" s="4">
        <f>(Base[[#This Row],['[SC']'[Mort_prématurée']Gains]]-Base[[#This Row],['[SC']'[Mort_prématurée']Coûts]])/Base[[#This Row],[Population_totale]]</f>
        <v>0</v>
      </c>
      <c r="BQ525" s="4">
        <f>IF(Base[[#This Row],[Pathologie]]&lt;&gt;"Mort prématurée",0,Base[[#This Row],[Risque]])</f>
        <v>0</v>
      </c>
      <c r="BR525" s="4">
        <v>2680</v>
      </c>
      <c r="BS5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5" s="4">
        <f>Base[[#This Row],[Prévalence_prod]]*(1-Base[[#This Row],[Risque]])*Base[[#This Row],[Durée_arrêt]]*Base[[#This Row],[Population_emploi]]</f>
        <v>14792058.292388938</v>
      </c>
      <c r="BV525" s="4">
        <f>Base[[#This Row],['[Prod']'[Absentéisme']Total_jours_absence_avant]]-Base[[#This Row],['[Prod']'[Absentéisme']Total_jours_absence_après]]</f>
        <v>4657771.5957063027</v>
      </c>
      <c r="BW525" s="4">
        <f>IF(AND(Base[[#This Row],[Pathologie]]&lt;&gt;"Dépendance",Base[[#This Row],[Pathologie]]&lt;&gt;"Mort prématurée",Base[[#This Row],[Pathologie]]&lt;&gt;"Migraine"),0.0619,0)</f>
        <v>6.1899999999999997E-2</v>
      </c>
      <c r="BX525" s="4">
        <v>254</v>
      </c>
      <c r="BY52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5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5" s="4">
        <f>Base[[#This Row],[Prévalence_prod]]*Base[[#This Row],[Présentéisme]]*Base[[#This Row],['[Prod']Jours_ouvrés]]</f>
        <v>0.15098463934186357</v>
      </c>
      <c r="CB525" s="4">
        <f>Base[[#This Row],[Prévalence_prod]]*(1-Base[[#This Row],[Risque]])*Base[[#This Row],[Présentéisme]]*Base[[#This Row],['[Prod']Jours_ouvrés]]</f>
        <v>0.11482740976398766</v>
      </c>
      <c r="CC525" s="4">
        <f>Base[[#This Row],['[Prod']'[Présentéisme']Jours_avant]]-Base[[#This Row],['[Prod']'[Présentéisme']Jours_après]]</f>
        <v>3.6157229577875913E-2</v>
      </c>
      <c r="CD525" s="4">
        <f>Base[[#This Row],['[Prod']'[Présentéisme']Jours_gagnés]]/Base[[#This Row],['[Prod']Jours_ouvrés]]</f>
        <v>1.4235129755069256E-4</v>
      </c>
      <c r="CE525">
        <v>9.3428413505841454E-2</v>
      </c>
      <c r="CF525">
        <v>2.1038737314955848E-2</v>
      </c>
      <c r="CG525" s="4">
        <v>11</v>
      </c>
      <c r="CH525" s="4">
        <v>0.52204401140486179</v>
      </c>
      <c r="CI525" s="4">
        <v>1.2443904150185675E-2</v>
      </c>
      <c r="CJ525" s="4">
        <f>IF(Base[[#This Row],[Secteur]]&lt;&gt;"Moyenne",Base[[#This Row],['[Prod']'[Turnover']DMC_initiale]]*(1+Base[[#This Row],['[Prod']'[Turnover']Ecart_accidents]]*Base[[#This Row],['[Prod']Impact_motifs_turnover]]),CJ508*CI508+CJ509*CI509+CJ510*CI510+CJ511*CI511+CJ512*CI512+CJ513*CI513+CJ514*CI514+CJ515*CI515+CJ516*CI516+CJ517*CI517+CJ518*CI518+CJ519*CI519+CJ520*CI520+CJ521*CI521+CJ522*CI522+CJ523*CI523+CJ524*CI524)</f>
        <v>11.120814615050721</v>
      </c>
      <c r="CK525" s="4">
        <f>1/Base[[#This Row],['[Prod']'[Turnover']DMC_initiale]]</f>
        <v>9.0909090909090912E-2</v>
      </c>
      <c r="CL525" s="4">
        <f>1/Base[[#This Row],['[Prod']'[Turnover']DMC_finale]]</f>
        <v>8.9921470199369843E-2</v>
      </c>
    </row>
    <row r="526" spans="2:90" x14ac:dyDescent="0.25">
      <c r="B526" s="4" t="s">
        <v>320</v>
      </c>
      <c r="C526">
        <v>30</v>
      </c>
      <c r="D526" t="s">
        <v>85</v>
      </c>
      <c r="E526" t="s">
        <v>6</v>
      </c>
      <c r="F526" s="3">
        <v>0.2394762125172728</v>
      </c>
      <c r="G526" s="3">
        <v>8.741584028593305E-3</v>
      </c>
      <c r="H526" s="3">
        <v>8.741584028593305E-3</v>
      </c>
      <c r="I526" s="3">
        <v>6.8000000000000005E-2</v>
      </c>
      <c r="J526" s="3">
        <v>16.260750000000002</v>
      </c>
      <c r="K526" s="3">
        <v>7.0000000000000007E-2</v>
      </c>
      <c r="L526" s="2">
        <f>Base[[#This Row],[Coût]]*Base[[#This Row],[Part_ménages_dépenses_santé]]</f>
        <v>1.1382525000000001</v>
      </c>
      <c r="M526" s="2">
        <v>0.99809973356799431</v>
      </c>
      <c r="N526" s="6">
        <v>27700000</v>
      </c>
      <c r="O526" s="7">
        <f>Base[[#This Row],[Coût_salarié]]*10^9*Base[[#This Row],[Risque]]*Base[[#This Row],[Prévalence]]*Base[[#This Row],[Part_coûts_salarié]]/Base[[#This Row],[Population_emploi]]</f>
        <v>8.5858896196795667E-2</v>
      </c>
      <c r="P526">
        <v>50</v>
      </c>
      <c r="Q526">
        <v>50</v>
      </c>
      <c r="R526" s="2">
        <v>9.9999999999999978E-2</v>
      </c>
      <c r="S526" s="2">
        <v>0.33340000000000003</v>
      </c>
      <c r="T526" s="4">
        <v>8.741584028593305E-3</v>
      </c>
      <c r="U526" s="4">
        <f>IF(Bases_annexes!$F$5=0,16.6587111018772,0.77*Bases_annexes!$F$5/(IF(OR(ISBLANK('Données_d''entrée'!$E$44),'Données_d''entrée'!$E$44=0),35,'Données_d''entrée'!$E$44)*52))</f>
        <v>16.658711101877199</v>
      </c>
      <c r="V526" s="4">
        <v>80.324106187301894</v>
      </c>
      <c r="W5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6" s="4">
        <v>234.5</v>
      </c>
      <c r="Y526" s="4">
        <f>(Base[[#This Row],['[Maladies']Coûts_évités_par_salarié]]+Base[[#This Row],['[Travail']Coûts_évités_par_salarié]])/Base[[#This Row],[Budget_santé_salarié]]</f>
        <v>5.6915831714551314E-3</v>
      </c>
      <c r="Z526" s="4">
        <v>0.8</v>
      </c>
      <c r="AA526" s="4">
        <f>Base[[#This Row],[Coût]]*Base[[#This Row],[Part_société_dépenses_santé]]</f>
        <v>13.008600000000001</v>
      </c>
      <c r="AB526" s="4">
        <v>67635124</v>
      </c>
      <c r="AC526" s="4">
        <v>82.297079063317852</v>
      </c>
      <c r="AD526" s="4">
        <v>8.741584028593305E-3</v>
      </c>
      <c r="AE526" s="4">
        <f>Base[[#This Row],['[SC']Prévalence_travail]]*Base[[#This Row],[Population_emploi]]</f>
        <v>242141.87759203455</v>
      </c>
      <c r="AF526" s="4">
        <f>Base[[#This Row],[Risque]]*Base[[#This Row],['[SC']Patients_en_emploi]]</f>
        <v>57987.219737561521</v>
      </c>
      <c r="AG526" s="4">
        <v>1022040000</v>
      </c>
      <c r="AH526" s="4">
        <f>IFERROR(Base[[#This Row],['[SC']Prestations]]/Base[[#This Row],['[SC']Patients_en_emploi]],0)</f>
        <v>4220.8312340005614</v>
      </c>
      <c r="AI526" s="4">
        <v>51.7</v>
      </c>
      <c r="AJ5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6" s="4">
        <f>Base[[#This Row],['[SC']'[Travail']Coûts_évités]]/Base[[#This Row],[Population_emploi]]</f>
        <v>8.8358941603304508</v>
      </c>
      <c r="AL526" s="4">
        <f>Base[[#This Row],[Coût_société]]*10^9*Base[[#This Row],[Risque]]*Base[[#This Row],[Prévalence]]*Base[[#This Row],[Part_coûts_salarié]]/Base[[#This Row],[Population_emploi]]</f>
        <v>0.98124452796337913</v>
      </c>
      <c r="AM526" s="4">
        <f>IF(Base[[#This Row],[Pathologie]]&lt;&gt;"Dépendance",0,14909.24243952)</f>
        <v>0</v>
      </c>
      <c r="AN526" s="4">
        <f>IF(Base[[#This Row],[Pathologie]]&lt;&gt;"Dépendance",0,1316000)</f>
        <v>0</v>
      </c>
      <c r="AO526" s="4">
        <f>IF(Base[[#This Row],[Pathologie]]&lt;&gt;"Dépendance",0,Base[[#This Row],['[SC']Coût_personne_dépendante]]*Base[[#This Row],['[SC']Nb_personnes_dépendantes]])</f>
        <v>0</v>
      </c>
      <c r="AP526" s="4">
        <f>IF(Base[[#This Row],[Pathologie]]&lt;&gt;"Dépendance",0,Base[[#This Row],['[SC']Coût_total_dépendance]]/Base[[#This Row],[Population_totale]])</f>
        <v>0</v>
      </c>
      <c r="AQ526" s="4">
        <f>IF(Base[[#This Row],[Pathologie]]&lt;&gt;"Dépendance",0,4.5)</f>
        <v>0</v>
      </c>
      <c r="AR526" s="4">
        <v>1.0077957276768601</v>
      </c>
      <c r="AS526" s="4">
        <f>Base[[#This Row],[Espérance_vie]]+Base[[#This Row],['[SC']Hausse_esp_de_vie]]-Base[[#This Row],['[SC']Durée_moyenne_dépendance_avt]]+Base[[#This Row],[Risque]]</f>
        <v>83.544351003511991</v>
      </c>
      <c r="AT5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6" s="4">
        <v>62.9</v>
      </c>
      <c r="AW526" s="4">
        <f t="shared" si="15"/>
        <v>336905600000</v>
      </c>
      <c r="AX526" s="4">
        <v>15049171</v>
      </c>
      <c r="AY526" s="4">
        <f>Base[[#This Row],['[SC']Budget_total_retraites]]/Base[[#This Row],['[SC']Nombre_de_retraités]]</f>
        <v>22386.987296509556</v>
      </c>
      <c r="AZ526" s="4">
        <f>Base[[#This Row],['[SC']Budget_par_retraité]]*Base[[#This Row],['[SC']Nb_personnes_dépendantes]]</f>
        <v>0</v>
      </c>
      <c r="BA526" s="4">
        <f>Base[[#This Row],['[SC']'[Dépendance']Coût_retraite_personnes_dépendantes]]/Base[[#This Row],[Population_totale]]</f>
        <v>0</v>
      </c>
      <c r="BB52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6" s="4">
        <f>Base[[#This Row],['[SC']'[Dépendance']Gains]]-Base[[#This Row],['[SC']'[Dépendance']Coûts]]</f>
        <v>0</v>
      </c>
      <c r="BD526" s="4">
        <f>IF(Base[[#This Row],[Pathologie]]&lt;&gt;"Mort prématurée",0,Base[[#This Row],[Risque]]*Base[[#This Row],[Prévalence]]*Base[[#This Row],[Population_totale]])</f>
        <v>0</v>
      </c>
      <c r="BE526" s="4">
        <v>52.74</v>
      </c>
      <c r="BF526" s="4">
        <f>Base[[#This Row],['[SC']Âge_moyen_retraite]]-Base[[#This Row],['[SC']'[Mort_prématurée']Âge_moyen_mort précoce]]</f>
        <v>10.159999999999997</v>
      </c>
      <c r="BG526" s="4">
        <f>Base[[#This Row],[Espérance_vie]]+Base[[#This Row],['[SC']Hausse_esp_de_vie]]-Base[[#This Row],['[SC']Âge_moyen_retraite]]</f>
        <v>20.404874790994718</v>
      </c>
      <c r="BH526" s="4">
        <v>106583.42676924677</v>
      </c>
      <c r="BI526" s="4">
        <v>97601.789429271477</v>
      </c>
      <c r="BJ526" s="4">
        <v>302038.31496633729</v>
      </c>
      <c r="BK526" s="4">
        <v>117293.58934859755</v>
      </c>
      <c r="BL526" s="4">
        <v>1523999.9999999995</v>
      </c>
      <c r="BM5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6" s="4">
        <v>294804.96027377353</v>
      </c>
      <c r="BO5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6" s="4">
        <f>(Base[[#This Row],['[SC']'[Mort_prématurée']Gains]]-Base[[#This Row],['[SC']'[Mort_prématurée']Coûts]])/Base[[#This Row],[Population_totale]]</f>
        <v>0</v>
      </c>
      <c r="BQ526" s="4">
        <f>IF(Base[[#This Row],[Pathologie]]&lt;&gt;"Mort prématurée",0,Base[[#This Row],[Risque]])</f>
        <v>0</v>
      </c>
      <c r="BR526" s="4">
        <v>2680</v>
      </c>
      <c r="BS5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6" s="4">
        <f>Base[[#This Row],[Prévalence_prod]]*(1-Base[[#This Row],[Risque]])*Base[[#This Row],[Durée_arrêt]]*Base[[#This Row],[Population_emploi]]</f>
        <v>14792058.292388938</v>
      </c>
      <c r="BV526" s="4">
        <f>Base[[#This Row],['[Prod']'[Absentéisme']Total_jours_absence_avant]]-Base[[#This Row],['[Prod']'[Absentéisme']Total_jours_absence_après]]</f>
        <v>4657771.5957063027</v>
      </c>
      <c r="BW526" s="4">
        <f>IF(AND(Base[[#This Row],[Pathologie]]&lt;&gt;"Dépendance",Base[[#This Row],[Pathologie]]&lt;&gt;"Mort prématurée",Base[[#This Row],[Pathologie]]&lt;&gt;"Migraine"),0.0619,0)</f>
        <v>6.1899999999999997E-2</v>
      </c>
      <c r="BX526" s="4">
        <v>254</v>
      </c>
      <c r="BY52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6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6" s="4">
        <f>Base[[#This Row],[Prévalence_prod]]*Base[[#This Row],[Présentéisme]]*Base[[#This Row],['[Prod']Jours_ouvrés]]</f>
        <v>0.15098463934186357</v>
      </c>
      <c r="CB526" s="4">
        <f>Base[[#This Row],[Prévalence_prod]]*(1-Base[[#This Row],[Risque]])*Base[[#This Row],[Présentéisme]]*Base[[#This Row],['[Prod']Jours_ouvrés]]</f>
        <v>0.11482740976398766</v>
      </c>
      <c r="CC526" s="4">
        <f>Base[[#This Row],['[Prod']'[Présentéisme']Jours_avant]]-Base[[#This Row],['[Prod']'[Présentéisme']Jours_après]]</f>
        <v>3.6157229577875913E-2</v>
      </c>
      <c r="CD526" s="4">
        <f>Base[[#This Row],['[Prod']'[Présentéisme']Jours_gagnés]]/Base[[#This Row],['[Prod']Jours_ouvrés]]</f>
        <v>1.4235129755069256E-4</v>
      </c>
      <c r="CE526">
        <v>9.3428413505841454E-2</v>
      </c>
      <c r="CF526">
        <v>2.1038737314955848E-2</v>
      </c>
      <c r="CG526" s="4">
        <v>11</v>
      </c>
      <c r="CH526" s="4">
        <v>0.49446424657188709</v>
      </c>
      <c r="CI526" s="4">
        <v>1.0795805058605798E-2</v>
      </c>
      <c r="CJ526" s="4">
        <f>IF(Base[[#This Row],[Secteur]]&lt;&gt;"Moyenne",Base[[#This Row],['[Prod']'[Turnover']DMC_initiale]]*(1+Base[[#This Row],['[Prod']'[Turnover']Ecart_accidents]]*Base[[#This Row],['[Prod']Impact_motifs_turnover]]),CJ509*CI509+CJ510*CI510+CJ511*CI511+CJ512*CI512+CJ513*CI513+CJ514*CI514+CJ515*CI515+CJ516*CI516+CJ517*CI517+CJ518*CI518+CJ519*CI519+CJ520*CI520+CJ521*CI521+CJ522*CI522+CJ523*CI523+CJ524*CI524+CJ525*CI525)</f>
        <v>11.114431937347899</v>
      </c>
      <c r="CK526" s="4">
        <f>1/Base[[#This Row],['[Prod']'[Turnover']DMC_initiale]]</f>
        <v>9.0909090909090912E-2</v>
      </c>
      <c r="CL526" s="4">
        <f>1/Base[[#This Row],['[Prod']'[Turnover']DMC_finale]]</f>
        <v>8.9973109344409538E-2</v>
      </c>
    </row>
    <row r="527" spans="2:90" x14ac:dyDescent="0.25">
      <c r="B527" s="4" t="s">
        <v>321</v>
      </c>
      <c r="C527">
        <v>30</v>
      </c>
      <c r="D527" t="s">
        <v>85</v>
      </c>
      <c r="E527" t="s">
        <v>6</v>
      </c>
      <c r="F527" s="3">
        <v>0.2394762125172728</v>
      </c>
      <c r="G527" s="3">
        <v>8.741584028593305E-3</v>
      </c>
      <c r="H527" s="3">
        <v>8.741584028593305E-3</v>
      </c>
      <c r="I527" s="3">
        <v>6.8000000000000005E-2</v>
      </c>
      <c r="J527" s="3">
        <v>16.260750000000002</v>
      </c>
      <c r="K527" s="3">
        <v>7.0000000000000007E-2</v>
      </c>
      <c r="L527" s="2">
        <f>Base[[#This Row],[Coût]]*Base[[#This Row],[Part_ménages_dépenses_santé]]</f>
        <v>1.1382525000000001</v>
      </c>
      <c r="M527" s="2">
        <v>0.99809973356799431</v>
      </c>
      <c r="N527" s="6">
        <v>27700000</v>
      </c>
      <c r="O527" s="7">
        <f>Base[[#This Row],[Coût_salarié]]*10^9*Base[[#This Row],[Risque]]*Base[[#This Row],[Prévalence]]*Base[[#This Row],[Part_coûts_salarié]]/Base[[#This Row],[Population_emploi]]</f>
        <v>8.5858896196795667E-2</v>
      </c>
      <c r="P527">
        <v>50</v>
      </c>
      <c r="Q527">
        <v>50</v>
      </c>
      <c r="R527" s="2">
        <v>9.9999999999999978E-2</v>
      </c>
      <c r="S527" s="2">
        <v>0.33340000000000003</v>
      </c>
      <c r="T527" s="4">
        <v>8.741584028593305E-3</v>
      </c>
      <c r="U527" s="4">
        <f>IF(Bases_annexes!$F$5=0,16.6587111018772,0.77*Bases_annexes!$F$5/(IF(OR(ISBLANK('Données_d''entrée'!$E$44),'Données_d''entrée'!$E$44=0),35,'Données_d''entrée'!$E$44)*52))</f>
        <v>16.658711101877199</v>
      </c>
      <c r="V527" s="4">
        <v>80.324106187301894</v>
      </c>
      <c r="W5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7" s="4">
        <v>234.5</v>
      </c>
      <c r="Y527" s="4">
        <f>(Base[[#This Row],['[Maladies']Coûts_évités_par_salarié]]+Base[[#This Row],['[Travail']Coûts_évités_par_salarié]])/Base[[#This Row],[Budget_santé_salarié]]</f>
        <v>5.6915831714551314E-3</v>
      </c>
      <c r="Z527" s="4">
        <v>0.8</v>
      </c>
      <c r="AA527" s="4">
        <f>Base[[#This Row],[Coût]]*Base[[#This Row],[Part_société_dépenses_santé]]</f>
        <v>13.008600000000001</v>
      </c>
      <c r="AB527" s="4">
        <v>67635124</v>
      </c>
      <c r="AC527" s="4">
        <v>82.297079063317852</v>
      </c>
      <c r="AD527" s="4">
        <v>8.741584028593305E-3</v>
      </c>
      <c r="AE527" s="4">
        <f>Base[[#This Row],['[SC']Prévalence_travail]]*Base[[#This Row],[Population_emploi]]</f>
        <v>242141.87759203455</v>
      </c>
      <c r="AF527" s="4">
        <f>Base[[#This Row],[Risque]]*Base[[#This Row],['[SC']Patients_en_emploi]]</f>
        <v>57987.219737561521</v>
      </c>
      <c r="AG527" s="4">
        <v>1022040000</v>
      </c>
      <c r="AH527" s="4">
        <f>IFERROR(Base[[#This Row],['[SC']Prestations]]/Base[[#This Row],['[SC']Patients_en_emploi]],0)</f>
        <v>4220.8312340005614</v>
      </c>
      <c r="AI527" s="4">
        <v>51.7</v>
      </c>
      <c r="AJ5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7" s="4">
        <f>Base[[#This Row],['[SC']'[Travail']Coûts_évités]]/Base[[#This Row],[Population_emploi]]</f>
        <v>8.8358941603304508</v>
      </c>
      <c r="AL527" s="4">
        <f>Base[[#This Row],[Coût_société]]*10^9*Base[[#This Row],[Risque]]*Base[[#This Row],[Prévalence]]*Base[[#This Row],[Part_coûts_salarié]]/Base[[#This Row],[Population_emploi]]</f>
        <v>0.98124452796337913</v>
      </c>
      <c r="AM527" s="4">
        <f>IF(Base[[#This Row],[Pathologie]]&lt;&gt;"Dépendance",0,14909.24243952)</f>
        <v>0</v>
      </c>
      <c r="AN527" s="4">
        <f>IF(Base[[#This Row],[Pathologie]]&lt;&gt;"Dépendance",0,1316000)</f>
        <v>0</v>
      </c>
      <c r="AO527" s="4">
        <f>IF(Base[[#This Row],[Pathologie]]&lt;&gt;"Dépendance",0,Base[[#This Row],['[SC']Coût_personne_dépendante]]*Base[[#This Row],['[SC']Nb_personnes_dépendantes]])</f>
        <v>0</v>
      </c>
      <c r="AP527" s="4">
        <f>IF(Base[[#This Row],[Pathologie]]&lt;&gt;"Dépendance",0,Base[[#This Row],['[SC']Coût_total_dépendance]]/Base[[#This Row],[Population_totale]])</f>
        <v>0</v>
      </c>
      <c r="AQ527" s="4">
        <f>IF(Base[[#This Row],[Pathologie]]&lt;&gt;"Dépendance",0,4.5)</f>
        <v>0</v>
      </c>
      <c r="AR527" s="4">
        <v>1.0077957276768601</v>
      </c>
      <c r="AS527" s="4">
        <f>Base[[#This Row],[Espérance_vie]]+Base[[#This Row],['[SC']Hausse_esp_de_vie]]-Base[[#This Row],['[SC']Durée_moyenne_dépendance_avt]]+Base[[#This Row],[Risque]]</f>
        <v>83.544351003511991</v>
      </c>
      <c r="AT5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7" s="4">
        <v>62.9</v>
      </c>
      <c r="AW527" s="4">
        <f t="shared" si="15"/>
        <v>336905600000</v>
      </c>
      <c r="AX527" s="4">
        <v>15049171</v>
      </c>
      <c r="AY527" s="4">
        <f>Base[[#This Row],['[SC']Budget_total_retraites]]/Base[[#This Row],['[SC']Nombre_de_retraités]]</f>
        <v>22386.987296509556</v>
      </c>
      <c r="AZ527" s="4">
        <f>Base[[#This Row],['[SC']Budget_par_retraité]]*Base[[#This Row],['[SC']Nb_personnes_dépendantes]]</f>
        <v>0</v>
      </c>
      <c r="BA527" s="4">
        <f>Base[[#This Row],['[SC']'[Dépendance']Coût_retraite_personnes_dépendantes]]/Base[[#This Row],[Population_totale]]</f>
        <v>0</v>
      </c>
      <c r="BB52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7" s="4">
        <f>Base[[#This Row],['[SC']'[Dépendance']Gains]]-Base[[#This Row],['[SC']'[Dépendance']Coûts]]</f>
        <v>0</v>
      </c>
      <c r="BD527" s="4">
        <f>IF(Base[[#This Row],[Pathologie]]&lt;&gt;"Mort prématurée",0,Base[[#This Row],[Risque]]*Base[[#This Row],[Prévalence]]*Base[[#This Row],[Population_totale]])</f>
        <v>0</v>
      </c>
      <c r="BE527" s="4">
        <v>52.74</v>
      </c>
      <c r="BF527" s="4">
        <f>Base[[#This Row],['[SC']Âge_moyen_retraite]]-Base[[#This Row],['[SC']'[Mort_prématurée']Âge_moyen_mort précoce]]</f>
        <v>10.159999999999997</v>
      </c>
      <c r="BG527" s="4">
        <f>Base[[#This Row],[Espérance_vie]]+Base[[#This Row],['[SC']Hausse_esp_de_vie]]-Base[[#This Row],['[SC']Âge_moyen_retraite]]</f>
        <v>20.404874790994718</v>
      </c>
      <c r="BH527" s="4">
        <v>106583.42676924677</v>
      </c>
      <c r="BI527" s="4">
        <v>97601.789429271477</v>
      </c>
      <c r="BJ527" s="4">
        <v>302038.31496633729</v>
      </c>
      <c r="BK527" s="4">
        <v>117293.58934859755</v>
      </c>
      <c r="BL527" s="4">
        <v>1523999.9999999995</v>
      </c>
      <c r="BM5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7" s="4">
        <v>294804.96027377353</v>
      </c>
      <c r="BO5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7" s="4">
        <f>(Base[[#This Row],['[SC']'[Mort_prématurée']Gains]]-Base[[#This Row],['[SC']'[Mort_prématurée']Coûts]])/Base[[#This Row],[Population_totale]]</f>
        <v>0</v>
      </c>
      <c r="BQ527" s="4">
        <f>IF(Base[[#This Row],[Pathologie]]&lt;&gt;"Mort prématurée",0,Base[[#This Row],[Risque]])</f>
        <v>0</v>
      </c>
      <c r="BR527" s="4">
        <v>2680</v>
      </c>
      <c r="BS5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7" s="4">
        <f>Base[[#This Row],[Prévalence_prod]]*(1-Base[[#This Row],[Risque]])*Base[[#This Row],[Durée_arrêt]]*Base[[#This Row],[Population_emploi]]</f>
        <v>14792058.292388938</v>
      </c>
      <c r="BV527" s="4">
        <f>Base[[#This Row],['[Prod']'[Absentéisme']Total_jours_absence_avant]]-Base[[#This Row],['[Prod']'[Absentéisme']Total_jours_absence_après]]</f>
        <v>4657771.5957063027</v>
      </c>
      <c r="BW527" s="4">
        <f>IF(AND(Base[[#This Row],[Pathologie]]&lt;&gt;"Dépendance",Base[[#This Row],[Pathologie]]&lt;&gt;"Mort prématurée",Base[[#This Row],[Pathologie]]&lt;&gt;"Migraine"),0.0619,0)</f>
        <v>6.1899999999999997E-2</v>
      </c>
      <c r="BX527" s="4">
        <v>254</v>
      </c>
      <c r="BY527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7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7" s="4">
        <f>Base[[#This Row],[Prévalence_prod]]*Base[[#This Row],[Présentéisme]]*Base[[#This Row],['[Prod']Jours_ouvrés]]</f>
        <v>0.15098463934186357</v>
      </c>
      <c r="CB527" s="4">
        <f>Base[[#This Row],[Prévalence_prod]]*(1-Base[[#This Row],[Risque]])*Base[[#This Row],[Présentéisme]]*Base[[#This Row],['[Prod']Jours_ouvrés]]</f>
        <v>0.11482740976398766</v>
      </c>
      <c r="CC527" s="4">
        <f>Base[[#This Row],['[Prod']'[Présentéisme']Jours_avant]]-Base[[#This Row],['[Prod']'[Présentéisme']Jours_après]]</f>
        <v>3.6157229577875913E-2</v>
      </c>
      <c r="CD527" s="4">
        <f>Base[[#This Row],['[Prod']'[Présentéisme']Jours_gagnés]]/Base[[#This Row],['[Prod']Jours_ouvrés]]</f>
        <v>1.4235129755069256E-4</v>
      </c>
      <c r="CE527">
        <v>9.3428413505841454E-2</v>
      </c>
      <c r="CF527">
        <v>2.1038737314955848E-2</v>
      </c>
      <c r="CG527" s="4">
        <v>11</v>
      </c>
      <c r="CH527" s="4">
        <v>0.85274500894619554</v>
      </c>
      <c r="CI527" s="4">
        <v>4.2903496994109176E-2</v>
      </c>
      <c r="CJ527" s="4">
        <f>IF(Base[[#This Row],[Secteur]]&lt;&gt;"Moyenne",Base[[#This Row],['[Prod']'[Turnover']DMC_initiale]]*(1+Base[[#This Row],['[Prod']'[Turnover']Ecart_accidents]]*Base[[#This Row],['[Prod']Impact_motifs_turnover]]),CJ510*CI510+CJ511*CI511+CJ512*CI512+CJ513*CI513+CJ514*CI514+CJ515*CI515+CJ516*CI516+CJ517*CI517+CJ518*CI518+CJ519*CI519+CJ520*CI520+CJ521*CI521+CJ522*CI522+CJ523*CI523+CJ524*CI524+CJ525*CI525+CJ526*CI526)</f>
        <v>11.197347460638447</v>
      </c>
      <c r="CK527" s="4">
        <f>1/Base[[#This Row],['[Prod']'[Turnover']DMC_initiale]]</f>
        <v>9.0909090909090912E-2</v>
      </c>
      <c r="CL527" s="4">
        <f>1/Base[[#This Row],['[Prod']'[Turnover']DMC_finale]]</f>
        <v>8.930686517635153E-2</v>
      </c>
    </row>
    <row r="528" spans="2:90" x14ac:dyDescent="0.25">
      <c r="B528" s="4" t="s">
        <v>322</v>
      </c>
      <c r="C528">
        <v>30</v>
      </c>
      <c r="D528" t="s">
        <v>85</v>
      </c>
      <c r="E528" t="s">
        <v>6</v>
      </c>
      <c r="F528" s="3">
        <v>0.2394762125172728</v>
      </c>
      <c r="G528" s="3">
        <v>8.741584028593305E-3</v>
      </c>
      <c r="H528" s="3">
        <v>8.741584028593305E-3</v>
      </c>
      <c r="I528" s="3">
        <v>6.8000000000000005E-2</v>
      </c>
      <c r="J528" s="3">
        <v>16.260750000000002</v>
      </c>
      <c r="K528" s="3">
        <v>7.0000000000000007E-2</v>
      </c>
      <c r="L528" s="2">
        <f>Base[[#This Row],[Coût]]*Base[[#This Row],[Part_ménages_dépenses_santé]]</f>
        <v>1.1382525000000001</v>
      </c>
      <c r="M528" s="2">
        <v>0.99809973356799431</v>
      </c>
      <c r="N528" s="6">
        <v>27700000</v>
      </c>
      <c r="O528" s="7">
        <f>Base[[#This Row],[Coût_salarié]]*10^9*Base[[#This Row],[Risque]]*Base[[#This Row],[Prévalence]]*Base[[#This Row],[Part_coûts_salarié]]/Base[[#This Row],[Population_emploi]]</f>
        <v>8.5858896196795667E-2</v>
      </c>
      <c r="P528">
        <v>50</v>
      </c>
      <c r="Q528">
        <v>50</v>
      </c>
      <c r="R528" s="2">
        <v>9.9999999999999978E-2</v>
      </c>
      <c r="S528" s="2">
        <v>0.33340000000000003</v>
      </c>
      <c r="T528" s="4">
        <v>8.741584028593305E-3</v>
      </c>
      <c r="U528" s="4">
        <f>IF(Bases_annexes!$F$5=0,16.6587111018772,0.77*Bases_annexes!$F$5/(IF(OR(ISBLANK('Données_d''entrée'!$E$44),'Données_d''entrée'!$E$44=0),35,'Données_d''entrée'!$E$44)*52))</f>
        <v>16.658711101877199</v>
      </c>
      <c r="V528" s="4">
        <v>80.324106187301894</v>
      </c>
      <c r="W5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8" s="4">
        <v>234.5</v>
      </c>
      <c r="Y528" s="4">
        <f>(Base[[#This Row],['[Maladies']Coûts_évités_par_salarié]]+Base[[#This Row],['[Travail']Coûts_évités_par_salarié]])/Base[[#This Row],[Budget_santé_salarié]]</f>
        <v>5.6915831714551314E-3</v>
      </c>
      <c r="Z528" s="4">
        <v>0.8</v>
      </c>
      <c r="AA528" s="4">
        <f>Base[[#This Row],[Coût]]*Base[[#This Row],[Part_société_dépenses_santé]]</f>
        <v>13.008600000000001</v>
      </c>
      <c r="AB528" s="4">
        <v>67635124</v>
      </c>
      <c r="AC528" s="4">
        <v>82.297079063317852</v>
      </c>
      <c r="AD528" s="4">
        <v>8.741584028593305E-3</v>
      </c>
      <c r="AE528" s="4">
        <f>Base[[#This Row],['[SC']Prévalence_travail]]*Base[[#This Row],[Population_emploi]]</f>
        <v>242141.87759203455</v>
      </c>
      <c r="AF528" s="4">
        <f>Base[[#This Row],[Risque]]*Base[[#This Row],['[SC']Patients_en_emploi]]</f>
        <v>57987.219737561521</v>
      </c>
      <c r="AG528" s="4">
        <v>1022040000</v>
      </c>
      <c r="AH528" s="4">
        <f>IFERROR(Base[[#This Row],['[SC']Prestations]]/Base[[#This Row],['[SC']Patients_en_emploi]],0)</f>
        <v>4220.8312340005614</v>
      </c>
      <c r="AI528" s="4">
        <v>51.7</v>
      </c>
      <c r="AJ5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8" s="4">
        <f>Base[[#This Row],['[SC']'[Travail']Coûts_évités]]/Base[[#This Row],[Population_emploi]]</f>
        <v>8.8358941603304508</v>
      </c>
      <c r="AL528" s="4">
        <f>Base[[#This Row],[Coût_société]]*10^9*Base[[#This Row],[Risque]]*Base[[#This Row],[Prévalence]]*Base[[#This Row],[Part_coûts_salarié]]/Base[[#This Row],[Population_emploi]]</f>
        <v>0.98124452796337913</v>
      </c>
      <c r="AM528" s="4">
        <f>IF(Base[[#This Row],[Pathologie]]&lt;&gt;"Dépendance",0,14909.24243952)</f>
        <v>0</v>
      </c>
      <c r="AN528" s="4">
        <f>IF(Base[[#This Row],[Pathologie]]&lt;&gt;"Dépendance",0,1316000)</f>
        <v>0</v>
      </c>
      <c r="AO528" s="4">
        <f>IF(Base[[#This Row],[Pathologie]]&lt;&gt;"Dépendance",0,Base[[#This Row],['[SC']Coût_personne_dépendante]]*Base[[#This Row],['[SC']Nb_personnes_dépendantes]])</f>
        <v>0</v>
      </c>
      <c r="AP528" s="4">
        <f>IF(Base[[#This Row],[Pathologie]]&lt;&gt;"Dépendance",0,Base[[#This Row],['[SC']Coût_total_dépendance]]/Base[[#This Row],[Population_totale]])</f>
        <v>0</v>
      </c>
      <c r="AQ528" s="4">
        <f>IF(Base[[#This Row],[Pathologie]]&lt;&gt;"Dépendance",0,4.5)</f>
        <v>0</v>
      </c>
      <c r="AR528" s="4">
        <v>1.0077957276768601</v>
      </c>
      <c r="AS528" s="4">
        <f>Base[[#This Row],[Espérance_vie]]+Base[[#This Row],['[SC']Hausse_esp_de_vie]]-Base[[#This Row],['[SC']Durée_moyenne_dépendance_avt]]+Base[[#This Row],[Risque]]</f>
        <v>83.544351003511991</v>
      </c>
      <c r="AT5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8" s="4">
        <v>62.9</v>
      </c>
      <c r="AW528" s="4">
        <f t="shared" si="15"/>
        <v>336905600000</v>
      </c>
      <c r="AX528" s="4">
        <v>15049171</v>
      </c>
      <c r="AY528" s="4">
        <f>Base[[#This Row],['[SC']Budget_total_retraites]]/Base[[#This Row],['[SC']Nombre_de_retraités]]</f>
        <v>22386.987296509556</v>
      </c>
      <c r="AZ528" s="4">
        <f>Base[[#This Row],['[SC']Budget_par_retraité]]*Base[[#This Row],['[SC']Nb_personnes_dépendantes]]</f>
        <v>0</v>
      </c>
      <c r="BA528" s="4">
        <f>Base[[#This Row],['[SC']'[Dépendance']Coût_retraite_personnes_dépendantes]]/Base[[#This Row],[Population_totale]]</f>
        <v>0</v>
      </c>
      <c r="BB52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8" s="4">
        <f>Base[[#This Row],['[SC']'[Dépendance']Gains]]-Base[[#This Row],['[SC']'[Dépendance']Coûts]]</f>
        <v>0</v>
      </c>
      <c r="BD528" s="4">
        <f>IF(Base[[#This Row],[Pathologie]]&lt;&gt;"Mort prématurée",0,Base[[#This Row],[Risque]]*Base[[#This Row],[Prévalence]]*Base[[#This Row],[Population_totale]])</f>
        <v>0</v>
      </c>
      <c r="BE528" s="4">
        <v>52.74</v>
      </c>
      <c r="BF528" s="4">
        <f>Base[[#This Row],['[SC']Âge_moyen_retraite]]-Base[[#This Row],['[SC']'[Mort_prématurée']Âge_moyen_mort précoce]]</f>
        <v>10.159999999999997</v>
      </c>
      <c r="BG528" s="4">
        <f>Base[[#This Row],[Espérance_vie]]+Base[[#This Row],['[SC']Hausse_esp_de_vie]]-Base[[#This Row],['[SC']Âge_moyen_retraite]]</f>
        <v>20.404874790994718</v>
      </c>
      <c r="BH528" s="4">
        <v>106583.42676924677</v>
      </c>
      <c r="BI528" s="4">
        <v>97601.789429271477</v>
      </c>
      <c r="BJ528" s="4">
        <v>302038.31496633729</v>
      </c>
      <c r="BK528" s="4">
        <v>117293.58934859755</v>
      </c>
      <c r="BL528" s="4">
        <v>1523999.9999999995</v>
      </c>
      <c r="BM5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8" s="4">
        <v>294804.96027377353</v>
      </c>
      <c r="BO5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8" s="4">
        <f>(Base[[#This Row],['[SC']'[Mort_prématurée']Gains]]-Base[[#This Row],['[SC']'[Mort_prématurée']Coûts]])/Base[[#This Row],[Population_totale]]</f>
        <v>0</v>
      </c>
      <c r="BQ528" s="4">
        <f>IF(Base[[#This Row],[Pathologie]]&lt;&gt;"Mort prématurée",0,Base[[#This Row],[Risque]])</f>
        <v>0</v>
      </c>
      <c r="BR528" s="4">
        <v>2680</v>
      </c>
      <c r="BS5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8" s="4">
        <f>Base[[#This Row],[Prévalence_prod]]*(1-Base[[#This Row],[Risque]])*Base[[#This Row],[Durée_arrêt]]*Base[[#This Row],[Population_emploi]]</f>
        <v>14792058.292388938</v>
      </c>
      <c r="BV528" s="4">
        <f>Base[[#This Row],['[Prod']'[Absentéisme']Total_jours_absence_avant]]-Base[[#This Row],['[Prod']'[Absentéisme']Total_jours_absence_après]]</f>
        <v>4657771.5957063027</v>
      </c>
      <c r="BW528" s="4">
        <f>IF(AND(Base[[#This Row],[Pathologie]]&lt;&gt;"Dépendance",Base[[#This Row],[Pathologie]]&lt;&gt;"Mort prématurée",Base[[#This Row],[Pathologie]]&lt;&gt;"Migraine"),0.0619,0)</f>
        <v>6.1899999999999997E-2</v>
      </c>
      <c r="BX528" s="4">
        <v>254</v>
      </c>
      <c r="BY528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8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8" s="4">
        <f>Base[[#This Row],[Prévalence_prod]]*Base[[#This Row],[Présentéisme]]*Base[[#This Row],['[Prod']Jours_ouvrés]]</f>
        <v>0.15098463934186357</v>
      </c>
      <c r="CB528" s="4">
        <f>Base[[#This Row],[Prévalence_prod]]*(1-Base[[#This Row],[Risque]])*Base[[#This Row],[Présentéisme]]*Base[[#This Row],['[Prod']Jours_ouvrés]]</f>
        <v>0.11482740976398766</v>
      </c>
      <c r="CC528" s="4">
        <f>Base[[#This Row],['[Prod']'[Présentéisme']Jours_avant]]-Base[[#This Row],['[Prod']'[Présentéisme']Jours_après]]</f>
        <v>3.6157229577875913E-2</v>
      </c>
      <c r="CD528" s="4">
        <f>Base[[#This Row],['[Prod']'[Présentéisme']Jours_gagnés]]/Base[[#This Row],['[Prod']Jours_ouvrés]]</f>
        <v>1.4235129755069256E-4</v>
      </c>
      <c r="CE528">
        <v>9.3428413505841454E-2</v>
      </c>
      <c r="CF528">
        <v>2.1038737314955848E-2</v>
      </c>
      <c r="CG528" s="4">
        <v>11</v>
      </c>
      <c r="CH528" s="4">
        <v>1.6219398392978641</v>
      </c>
      <c r="CI528" s="4">
        <v>9.628527536862988E-2</v>
      </c>
      <c r="CJ528" s="4">
        <f>IF(Base[[#This Row],[Secteur]]&lt;&gt;"Moyenne",Base[[#This Row],['[Prod']'[Turnover']DMC_initiale]]*(1+Base[[#This Row],['[Prod']'[Turnover']Ecart_accidents]]*Base[[#This Row],['[Prod']Impact_motifs_turnover]]),CJ511*CI511+CJ512*CI512+CJ513*CI513+CJ514*CI514+CJ515*CI515+CJ516*CI516+CJ517*CI517+CJ518*CI518+CJ519*CI519+CJ520*CI520+CJ521*CI521+CJ522*CI522+CJ523*CI523+CJ524*CI524+CJ525*CI525+CJ526*CI526+CJ527*CI527)</f>
        <v>11.375359228416144</v>
      </c>
      <c r="CK528" s="4">
        <f>1/Base[[#This Row],['[Prod']'[Turnover']DMC_initiale]]</f>
        <v>9.0909090909090912E-2</v>
      </c>
      <c r="CL528" s="4">
        <f>1/Base[[#This Row],['[Prod']'[Turnover']DMC_finale]]</f>
        <v>8.7909311690303041E-2</v>
      </c>
    </row>
    <row r="529" spans="2:90" x14ac:dyDescent="0.25">
      <c r="B529" s="4" t="s">
        <v>323</v>
      </c>
      <c r="C529">
        <v>30</v>
      </c>
      <c r="D529" t="s">
        <v>85</v>
      </c>
      <c r="E529" t="s">
        <v>6</v>
      </c>
      <c r="F529" s="3">
        <v>0.2394762125172728</v>
      </c>
      <c r="G529" s="3">
        <v>8.741584028593305E-3</v>
      </c>
      <c r="H529" s="3">
        <v>8.741584028593305E-3</v>
      </c>
      <c r="I529" s="3">
        <v>6.8000000000000005E-2</v>
      </c>
      <c r="J529" s="3">
        <v>16.260750000000002</v>
      </c>
      <c r="K529" s="3">
        <v>7.0000000000000007E-2</v>
      </c>
      <c r="L529" s="2">
        <f>Base[[#This Row],[Coût]]*Base[[#This Row],[Part_ménages_dépenses_santé]]</f>
        <v>1.1382525000000001</v>
      </c>
      <c r="M529" s="2">
        <v>0.99809973356799431</v>
      </c>
      <c r="N529" s="6">
        <v>27700000</v>
      </c>
      <c r="O529" s="7">
        <f>Base[[#This Row],[Coût_salarié]]*10^9*Base[[#This Row],[Risque]]*Base[[#This Row],[Prévalence]]*Base[[#This Row],[Part_coûts_salarié]]/Base[[#This Row],[Population_emploi]]</f>
        <v>8.5858896196795667E-2</v>
      </c>
      <c r="P529">
        <v>50</v>
      </c>
      <c r="Q529">
        <v>50</v>
      </c>
      <c r="R529" s="2">
        <v>9.9999999999999978E-2</v>
      </c>
      <c r="S529" s="2">
        <v>0.33340000000000003</v>
      </c>
      <c r="T529" s="4">
        <v>8.741584028593305E-3</v>
      </c>
      <c r="U529" s="4">
        <f>IF(Bases_annexes!$F$5=0,16.6587111018772,0.77*Bases_annexes!$F$5/(IF(OR(ISBLANK('Données_d''entrée'!$E$44),'Données_d''entrée'!$E$44=0),35,'Données_d''entrée'!$E$44)*52))</f>
        <v>16.658711101877199</v>
      </c>
      <c r="V529" s="4">
        <v>80.324106187301894</v>
      </c>
      <c r="W5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29" s="4">
        <v>234.5</v>
      </c>
      <c r="Y529" s="4">
        <f>(Base[[#This Row],['[Maladies']Coûts_évités_par_salarié]]+Base[[#This Row],['[Travail']Coûts_évités_par_salarié]])/Base[[#This Row],[Budget_santé_salarié]]</f>
        <v>5.6915831714551314E-3</v>
      </c>
      <c r="Z529" s="4">
        <v>0.8</v>
      </c>
      <c r="AA529" s="4">
        <f>Base[[#This Row],[Coût]]*Base[[#This Row],[Part_société_dépenses_santé]]</f>
        <v>13.008600000000001</v>
      </c>
      <c r="AB529" s="4">
        <v>67635124</v>
      </c>
      <c r="AC529" s="4">
        <v>82.297079063317852</v>
      </c>
      <c r="AD529" s="4">
        <v>8.741584028593305E-3</v>
      </c>
      <c r="AE529" s="4">
        <f>Base[[#This Row],['[SC']Prévalence_travail]]*Base[[#This Row],[Population_emploi]]</f>
        <v>242141.87759203455</v>
      </c>
      <c r="AF529" s="4">
        <f>Base[[#This Row],[Risque]]*Base[[#This Row],['[SC']Patients_en_emploi]]</f>
        <v>57987.219737561521</v>
      </c>
      <c r="AG529" s="4">
        <v>1022040000</v>
      </c>
      <c r="AH529" s="4">
        <f>IFERROR(Base[[#This Row],['[SC']Prestations]]/Base[[#This Row],['[SC']Patients_en_emploi]],0)</f>
        <v>4220.8312340005614</v>
      </c>
      <c r="AI529" s="4">
        <v>51.7</v>
      </c>
      <c r="AJ5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29" s="4">
        <f>Base[[#This Row],['[SC']'[Travail']Coûts_évités]]/Base[[#This Row],[Population_emploi]]</f>
        <v>8.8358941603304508</v>
      </c>
      <c r="AL529" s="4">
        <f>Base[[#This Row],[Coût_société]]*10^9*Base[[#This Row],[Risque]]*Base[[#This Row],[Prévalence]]*Base[[#This Row],[Part_coûts_salarié]]/Base[[#This Row],[Population_emploi]]</f>
        <v>0.98124452796337913</v>
      </c>
      <c r="AM529" s="4">
        <f>IF(Base[[#This Row],[Pathologie]]&lt;&gt;"Dépendance",0,14909.24243952)</f>
        <v>0</v>
      </c>
      <c r="AN529" s="4">
        <f>IF(Base[[#This Row],[Pathologie]]&lt;&gt;"Dépendance",0,1316000)</f>
        <v>0</v>
      </c>
      <c r="AO529" s="4">
        <f>IF(Base[[#This Row],[Pathologie]]&lt;&gt;"Dépendance",0,Base[[#This Row],['[SC']Coût_personne_dépendante]]*Base[[#This Row],['[SC']Nb_personnes_dépendantes]])</f>
        <v>0</v>
      </c>
      <c r="AP529" s="4">
        <f>IF(Base[[#This Row],[Pathologie]]&lt;&gt;"Dépendance",0,Base[[#This Row],['[SC']Coût_total_dépendance]]/Base[[#This Row],[Population_totale]])</f>
        <v>0</v>
      </c>
      <c r="AQ529" s="4">
        <f>IF(Base[[#This Row],[Pathologie]]&lt;&gt;"Dépendance",0,4.5)</f>
        <v>0</v>
      </c>
      <c r="AR529" s="4">
        <v>1.0077957276768601</v>
      </c>
      <c r="AS529" s="4">
        <f>Base[[#This Row],[Espérance_vie]]+Base[[#This Row],['[SC']Hausse_esp_de_vie]]-Base[[#This Row],['[SC']Durée_moyenne_dépendance_avt]]+Base[[#This Row],[Risque]]</f>
        <v>83.544351003511991</v>
      </c>
      <c r="AT5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29" s="4">
        <v>62.9</v>
      </c>
      <c r="AW529" s="4">
        <f t="shared" si="15"/>
        <v>336905600000</v>
      </c>
      <c r="AX529" s="4">
        <v>15049171</v>
      </c>
      <c r="AY529" s="4">
        <f>Base[[#This Row],['[SC']Budget_total_retraites]]/Base[[#This Row],['[SC']Nombre_de_retraités]]</f>
        <v>22386.987296509556</v>
      </c>
      <c r="AZ529" s="4">
        <f>Base[[#This Row],['[SC']Budget_par_retraité]]*Base[[#This Row],['[SC']Nb_personnes_dépendantes]]</f>
        <v>0</v>
      </c>
      <c r="BA529" s="4">
        <f>Base[[#This Row],['[SC']'[Dépendance']Coût_retraite_personnes_dépendantes]]/Base[[#This Row],[Population_totale]]</f>
        <v>0</v>
      </c>
      <c r="BB52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29" s="4">
        <f>Base[[#This Row],['[SC']'[Dépendance']Gains]]-Base[[#This Row],['[SC']'[Dépendance']Coûts]]</f>
        <v>0</v>
      </c>
      <c r="BD529" s="4">
        <f>IF(Base[[#This Row],[Pathologie]]&lt;&gt;"Mort prématurée",0,Base[[#This Row],[Risque]]*Base[[#This Row],[Prévalence]]*Base[[#This Row],[Population_totale]])</f>
        <v>0</v>
      </c>
      <c r="BE529" s="4">
        <v>52.74</v>
      </c>
      <c r="BF529" s="4">
        <f>Base[[#This Row],['[SC']Âge_moyen_retraite]]-Base[[#This Row],['[SC']'[Mort_prématurée']Âge_moyen_mort précoce]]</f>
        <v>10.159999999999997</v>
      </c>
      <c r="BG529" s="4">
        <f>Base[[#This Row],[Espérance_vie]]+Base[[#This Row],['[SC']Hausse_esp_de_vie]]-Base[[#This Row],['[SC']Âge_moyen_retraite]]</f>
        <v>20.404874790994718</v>
      </c>
      <c r="BH529" s="4">
        <v>106583.42676924677</v>
      </c>
      <c r="BI529" s="4">
        <v>97601.789429271477</v>
      </c>
      <c r="BJ529" s="4">
        <v>302038.31496633729</v>
      </c>
      <c r="BK529" s="4">
        <v>117293.58934859755</v>
      </c>
      <c r="BL529" s="4">
        <v>1523999.9999999995</v>
      </c>
      <c r="BM5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29" s="4">
        <v>294804.96027377353</v>
      </c>
      <c r="BO5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29" s="4">
        <f>(Base[[#This Row],['[SC']'[Mort_prématurée']Gains]]-Base[[#This Row],['[SC']'[Mort_prématurée']Coûts]])/Base[[#This Row],[Population_totale]]</f>
        <v>0</v>
      </c>
      <c r="BQ529" s="4">
        <f>IF(Base[[#This Row],[Pathologie]]&lt;&gt;"Mort prématurée",0,Base[[#This Row],[Risque]])</f>
        <v>0</v>
      </c>
      <c r="BR529" s="4">
        <v>2680</v>
      </c>
      <c r="BS5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29" s="4">
        <f>Base[[#This Row],[Prévalence_prod]]*(1-Base[[#This Row],[Risque]])*Base[[#This Row],[Durée_arrêt]]*Base[[#This Row],[Population_emploi]]</f>
        <v>14792058.292388938</v>
      </c>
      <c r="BV529" s="4">
        <f>Base[[#This Row],['[Prod']'[Absentéisme']Total_jours_absence_avant]]-Base[[#This Row],['[Prod']'[Absentéisme']Total_jours_absence_après]]</f>
        <v>4657771.5957063027</v>
      </c>
      <c r="BW529" s="4">
        <f>IF(AND(Base[[#This Row],[Pathologie]]&lt;&gt;"Dépendance",Base[[#This Row],[Pathologie]]&lt;&gt;"Mort prématurée",Base[[#This Row],[Pathologie]]&lt;&gt;"Migraine"),0.0619,0)</f>
        <v>6.1899999999999997E-2</v>
      </c>
      <c r="BX529" s="4">
        <v>254</v>
      </c>
      <c r="BY529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29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29" s="4">
        <f>Base[[#This Row],[Prévalence_prod]]*Base[[#This Row],[Présentéisme]]*Base[[#This Row],['[Prod']Jours_ouvrés]]</f>
        <v>0.15098463934186357</v>
      </c>
      <c r="CB529" s="4">
        <f>Base[[#This Row],[Prévalence_prod]]*(1-Base[[#This Row],[Risque]])*Base[[#This Row],[Présentéisme]]*Base[[#This Row],['[Prod']Jours_ouvrés]]</f>
        <v>0.11482740976398766</v>
      </c>
      <c r="CC529" s="4">
        <f>Base[[#This Row],['[Prod']'[Présentéisme']Jours_avant]]-Base[[#This Row],['[Prod']'[Présentéisme']Jours_après]]</f>
        <v>3.6157229577875913E-2</v>
      </c>
      <c r="CD529" s="4">
        <f>Base[[#This Row],['[Prod']'[Présentéisme']Jours_gagnés]]/Base[[#This Row],['[Prod']Jours_ouvrés]]</f>
        <v>1.4235129755069256E-4</v>
      </c>
      <c r="CE529">
        <v>9.3428413505841454E-2</v>
      </c>
      <c r="CF529">
        <v>2.1038737314955848E-2</v>
      </c>
      <c r="CG529" s="4">
        <v>11</v>
      </c>
      <c r="CH529" s="4">
        <v>0.96913802401210614</v>
      </c>
      <c r="CI529" s="4">
        <v>0.10293966445307301</v>
      </c>
      <c r="CJ529" s="4">
        <f>IF(Base[[#This Row],[Secteur]]&lt;&gt;"Moyenne",Base[[#This Row],['[Prod']'[Turnover']DMC_initiale]]*(1+Base[[#This Row],['[Prod']'[Turnover']Ecart_accidents]]*Base[[#This Row],['[Prod']Impact_motifs_turnover]]),CJ512*CI512+CJ513*CI513+CJ514*CI514+CJ515*CI515+CJ516*CI516+CJ517*CI517+CJ518*CI518+CJ519*CI519+CJ520*CI520+CJ521*CI521+CJ522*CI522+CJ523*CI523+CJ524*CI524+CJ525*CI525+CJ526*CI526+CJ527*CI527+CJ528*CI528)</f>
        <v>11.224283843400386</v>
      </c>
      <c r="CK529" s="4">
        <f>1/Base[[#This Row],['[Prod']'[Turnover']DMC_initiale]]</f>
        <v>9.0909090909090912E-2</v>
      </c>
      <c r="CL529" s="4">
        <f>1/Base[[#This Row],['[Prod']'[Turnover']DMC_finale]]</f>
        <v>8.9092543805186858E-2</v>
      </c>
    </row>
    <row r="530" spans="2:90" x14ac:dyDescent="0.25">
      <c r="B530" s="4" t="s">
        <v>324</v>
      </c>
      <c r="C530">
        <v>30</v>
      </c>
      <c r="D530" t="s">
        <v>85</v>
      </c>
      <c r="E530" t="s">
        <v>6</v>
      </c>
      <c r="F530" s="3">
        <v>0.2394762125172728</v>
      </c>
      <c r="G530" s="3">
        <v>8.741584028593305E-3</v>
      </c>
      <c r="H530" s="3">
        <v>8.741584028593305E-3</v>
      </c>
      <c r="I530" s="3">
        <v>6.8000000000000005E-2</v>
      </c>
      <c r="J530" s="3">
        <v>16.260750000000002</v>
      </c>
      <c r="K530" s="3">
        <v>7.0000000000000007E-2</v>
      </c>
      <c r="L530" s="2">
        <f>Base[[#This Row],[Coût]]*Base[[#This Row],[Part_ménages_dépenses_santé]]</f>
        <v>1.1382525000000001</v>
      </c>
      <c r="M530" s="2">
        <v>0.99809973356799431</v>
      </c>
      <c r="N530" s="6">
        <v>27700000</v>
      </c>
      <c r="O530" s="7">
        <f>Base[[#This Row],[Coût_salarié]]*10^9*Base[[#This Row],[Risque]]*Base[[#This Row],[Prévalence]]*Base[[#This Row],[Part_coûts_salarié]]/Base[[#This Row],[Population_emploi]]</f>
        <v>8.5858896196795667E-2</v>
      </c>
      <c r="P530">
        <v>50</v>
      </c>
      <c r="Q530">
        <v>50</v>
      </c>
      <c r="R530" s="2">
        <v>9.9999999999999978E-2</v>
      </c>
      <c r="S530" s="2">
        <v>0.33340000000000003</v>
      </c>
      <c r="T530" s="4">
        <v>8.741584028593305E-3</v>
      </c>
      <c r="U530" s="4">
        <f>IF(Bases_annexes!$F$5=0,16.6587111018772,0.77*Bases_annexes!$F$5/(IF(OR(ISBLANK('Données_d''entrée'!$E$44),'Données_d''entrée'!$E$44=0),35,'Données_d''entrée'!$E$44)*52))</f>
        <v>16.658711101877199</v>
      </c>
      <c r="V530" s="4">
        <v>80.324106187301894</v>
      </c>
      <c r="W5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0" s="4">
        <v>234.5</v>
      </c>
      <c r="Y530" s="4">
        <f>(Base[[#This Row],['[Maladies']Coûts_évités_par_salarié]]+Base[[#This Row],['[Travail']Coûts_évités_par_salarié]])/Base[[#This Row],[Budget_santé_salarié]]</f>
        <v>5.6915831714551314E-3</v>
      </c>
      <c r="Z530" s="4">
        <v>0.8</v>
      </c>
      <c r="AA530" s="4">
        <f>Base[[#This Row],[Coût]]*Base[[#This Row],[Part_société_dépenses_santé]]</f>
        <v>13.008600000000001</v>
      </c>
      <c r="AB530" s="4">
        <v>67635124</v>
      </c>
      <c r="AC530" s="4">
        <v>82.297079063317852</v>
      </c>
      <c r="AD530" s="4">
        <v>8.741584028593305E-3</v>
      </c>
      <c r="AE530" s="4">
        <f>Base[[#This Row],['[SC']Prévalence_travail]]*Base[[#This Row],[Population_emploi]]</f>
        <v>242141.87759203455</v>
      </c>
      <c r="AF530" s="4">
        <f>Base[[#This Row],[Risque]]*Base[[#This Row],['[SC']Patients_en_emploi]]</f>
        <v>57987.219737561521</v>
      </c>
      <c r="AG530" s="4">
        <v>1022040000</v>
      </c>
      <c r="AH530" s="4">
        <f>IFERROR(Base[[#This Row],['[SC']Prestations]]/Base[[#This Row],['[SC']Patients_en_emploi]],0)</f>
        <v>4220.8312340005614</v>
      </c>
      <c r="AI530" s="4">
        <v>51.7</v>
      </c>
      <c r="AJ5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0" s="4">
        <f>Base[[#This Row],['[SC']'[Travail']Coûts_évités]]/Base[[#This Row],[Population_emploi]]</f>
        <v>8.8358941603304508</v>
      </c>
      <c r="AL530" s="4">
        <f>Base[[#This Row],[Coût_société]]*10^9*Base[[#This Row],[Risque]]*Base[[#This Row],[Prévalence]]*Base[[#This Row],[Part_coûts_salarié]]/Base[[#This Row],[Population_emploi]]</f>
        <v>0.98124452796337913</v>
      </c>
      <c r="AM530" s="4">
        <f>IF(Base[[#This Row],[Pathologie]]&lt;&gt;"Dépendance",0,14909.24243952)</f>
        <v>0</v>
      </c>
      <c r="AN530" s="4">
        <f>IF(Base[[#This Row],[Pathologie]]&lt;&gt;"Dépendance",0,1316000)</f>
        <v>0</v>
      </c>
      <c r="AO530" s="4">
        <f>IF(Base[[#This Row],[Pathologie]]&lt;&gt;"Dépendance",0,Base[[#This Row],['[SC']Coût_personne_dépendante]]*Base[[#This Row],['[SC']Nb_personnes_dépendantes]])</f>
        <v>0</v>
      </c>
      <c r="AP530" s="4">
        <f>IF(Base[[#This Row],[Pathologie]]&lt;&gt;"Dépendance",0,Base[[#This Row],['[SC']Coût_total_dépendance]]/Base[[#This Row],[Population_totale]])</f>
        <v>0</v>
      </c>
      <c r="AQ530" s="4">
        <f>IF(Base[[#This Row],[Pathologie]]&lt;&gt;"Dépendance",0,4.5)</f>
        <v>0</v>
      </c>
      <c r="AR530" s="4">
        <v>1.0077957276768601</v>
      </c>
      <c r="AS530" s="4">
        <f>Base[[#This Row],[Espérance_vie]]+Base[[#This Row],['[SC']Hausse_esp_de_vie]]-Base[[#This Row],['[SC']Durée_moyenne_dépendance_avt]]+Base[[#This Row],[Risque]]</f>
        <v>83.544351003511991</v>
      </c>
      <c r="AT5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0" s="4">
        <v>62.9</v>
      </c>
      <c r="AW530" s="4">
        <f t="shared" si="15"/>
        <v>336905600000</v>
      </c>
      <c r="AX530" s="4">
        <v>15049171</v>
      </c>
      <c r="AY530" s="4">
        <f>Base[[#This Row],['[SC']Budget_total_retraites]]/Base[[#This Row],['[SC']Nombre_de_retraités]]</f>
        <v>22386.987296509556</v>
      </c>
      <c r="AZ530" s="4">
        <f>Base[[#This Row],['[SC']Budget_par_retraité]]*Base[[#This Row],['[SC']Nb_personnes_dépendantes]]</f>
        <v>0</v>
      </c>
      <c r="BA530" s="4">
        <f>Base[[#This Row],['[SC']'[Dépendance']Coût_retraite_personnes_dépendantes]]/Base[[#This Row],[Population_totale]]</f>
        <v>0</v>
      </c>
      <c r="BB53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0" s="4">
        <f>Base[[#This Row],['[SC']'[Dépendance']Gains]]-Base[[#This Row],['[SC']'[Dépendance']Coûts]]</f>
        <v>0</v>
      </c>
      <c r="BD530" s="4">
        <f>IF(Base[[#This Row],[Pathologie]]&lt;&gt;"Mort prématurée",0,Base[[#This Row],[Risque]]*Base[[#This Row],[Prévalence]]*Base[[#This Row],[Population_totale]])</f>
        <v>0</v>
      </c>
      <c r="BE530" s="4">
        <v>52.74</v>
      </c>
      <c r="BF530" s="4">
        <f>Base[[#This Row],['[SC']Âge_moyen_retraite]]-Base[[#This Row],['[SC']'[Mort_prématurée']Âge_moyen_mort précoce]]</f>
        <v>10.159999999999997</v>
      </c>
      <c r="BG530" s="4">
        <f>Base[[#This Row],[Espérance_vie]]+Base[[#This Row],['[SC']Hausse_esp_de_vie]]-Base[[#This Row],['[SC']Âge_moyen_retraite]]</f>
        <v>20.404874790994718</v>
      </c>
      <c r="BH530" s="4">
        <v>106583.42676924677</v>
      </c>
      <c r="BI530" s="4">
        <v>97601.789429271477</v>
      </c>
      <c r="BJ530" s="4">
        <v>302038.31496633729</v>
      </c>
      <c r="BK530" s="4">
        <v>117293.58934859755</v>
      </c>
      <c r="BL530" s="4">
        <v>1523999.9999999995</v>
      </c>
      <c r="BM5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0" s="4">
        <v>294804.96027377353</v>
      </c>
      <c r="BO5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0" s="4">
        <f>(Base[[#This Row],['[SC']'[Mort_prématurée']Gains]]-Base[[#This Row],['[SC']'[Mort_prématurée']Coûts]])/Base[[#This Row],[Population_totale]]</f>
        <v>0</v>
      </c>
      <c r="BQ530" s="4">
        <f>IF(Base[[#This Row],[Pathologie]]&lt;&gt;"Mort prématurée",0,Base[[#This Row],[Risque]])</f>
        <v>0</v>
      </c>
      <c r="BR530" s="4">
        <v>2680</v>
      </c>
      <c r="BS5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0" s="4">
        <f>Base[[#This Row],[Prévalence_prod]]*(1-Base[[#This Row],[Risque]])*Base[[#This Row],[Durée_arrêt]]*Base[[#This Row],[Population_emploi]]</f>
        <v>14792058.292388938</v>
      </c>
      <c r="BV530" s="4">
        <f>Base[[#This Row],['[Prod']'[Absentéisme']Total_jours_absence_avant]]-Base[[#This Row],['[Prod']'[Absentéisme']Total_jours_absence_après]]</f>
        <v>4657771.5957063027</v>
      </c>
      <c r="BW530" s="4">
        <f>IF(AND(Base[[#This Row],[Pathologie]]&lt;&gt;"Dépendance",Base[[#This Row],[Pathologie]]&lt;&gt;"Mort prématurée",Base[[#This Row],[Pathologie]]&lt;&gt;"Migraine"),0.0619,0)</f>
        <v>6.1899999999999997E-2</v>
      </c>
      <c r="BX530" s="4">
        <v>254</v>
      </c>
      <c r="BY530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0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0" s="4">
        <f>Base[[#This Row],[Prévalence_prod]]*Base[[#This Row],[Présentéisme]]*Base[[#This Row],['[Prod']Jours_ouvrés]]</f>
        <v>0.15098463934186357</v>
      </c>
      <c r="CB530" s="4">
        <f>Base[[#This Row],[Prévalence_prod]]*(1-Base[[#This Row],[Risque]])*Base[[#This Row],[Présentéisme]]*Base[[#This Row],['[Prod']Jours_ouvrés]]</f>
        <v>0.11482740976398766</v>
      </c>
      <c r="CC530" s="4">
        <f>Base[[#This Row],['[Prod']'[Présentéisme']Jours_avant]]-Base[[#This Row],['[Prod']'[Présentéisme']Jours_après]]</f>
        <v>3.6157229577875913E-2</v>
      </c>
      <c r="CD530" s="4">
        <f>Base[[#This Row],['[Prod']'[Présentéisme']Jours_gagnés]]/Base[[#This Row],['[Prod']Jours_ouvrés]]</f>
        <v>1.4235129755069256E-4</v>
      </c>
      <c r="CE530">
        <v>9.3428413505841454E-2</v>
      </c>
      <c r="CF530">
        <v>2.1038737314955848E-2</v>
      </c>
      <c r="CG530" s="4">
        <v>11</v>
      </c>
      <c r="CH530" s="4">
        <v>1.3987208237662601</v>
      </c>
      <c r="CI530" s="4">
        <v>2.1768516166491274E-2</v>
      </c>
      <c r="CJ530" s="4">
        <f>IF(Base[[#This Row],[Secteur]]&lt;&gt;"Moyenne",Base[[#This Row],['[Prod']'[Turnover']DMC_initiale]]*(1+Base[[#This Row],['[Prod']'[Turnover']Ecart_accidents]]*Base[[#This Row],['[Prod']Impact_motifs_turnover]]),CJ513*CI513+CJ514*CI514+CJ515*CI515+CJ516*CI516+CJ517*CI517+CJ518*CI518+CJ519*CI519+CJ520*CI520+CJ521*CI521+CJ522*CI522+CJ523*CI523+CJ524*CI524+CJ525*CI525+CJ526*CI526+CJ527*CI527+CJ528*CI528+CJ529*CI529)</f>
        <v>11.323700519869947</v>
      </c>
      <c r="CK530" s="4">
        <f>1/Base[[#This Row],['[Prod']'[Turnover']DMC_initiale]]</f>
        <v>9.0909090909090912E-2</v>
      </c>
      <c r="CL530" s="4">
        <f>1/Base[[#This Row],['[Prod']'[Turnover']DMC_finale]]</f>
        <v>8.8310353867561045E-2</v>
      </c>
    </row>
    <row r="531" spans="2:90" x14ac:dyDescent="0.25">
      <c r="B531" s="4" t="s">
        <v>325</v>
      </c>
      <c r="C531">
        <v>30</v>
      </c>
      <c r="D531" t="s">
        <v>85</v>
      </c>
      <c r="E531" t="s">
        <v>6</v>
      </c>
      <c r="F531" s="3">
        <v>0.2394762125172728</v>
      </c>
      <c r="G531" s="3">
        <v>8.741584028593305E-3</v>
      </c>
      <c r="H531" s="3">
        <v>8.741584028593305E-3</v>
      </c>
      <c r="I531" s="3">
        <v>6.8000000000000005E-2</v>
      </c>
      <c r="J531" s="3">
        <v>16.260750000000002</v>
      </c>
      <c r="K531" s="3">
        <v>7.0000000000000007E-2</v>
      </c>
      <c r="L531" s="2">
        <f>Base[[#This Row],[Coût]]*Base[[#This Row],[Part_ménages_dépenses_santé]]</f>
        <v>1.1382525000000001</v>
      </c>
      <c r="M531" s="2">
        <v>0.99809973356799431</v>
      </c>
      <c r="N531" s="6">
        <v>27700000</v>
      </c>
      <c r="O531" s="7">
        <f>Base[[#This Row],[Coût_salarié]]*10^9*Base[[#This Row],[Risque]]*Base[[#This Row],[Prévalence]]*Base[[#This Row],[Part_coûts_salarié]]/Base[[#This Row],[Population_emploi]]</f>
        <v>8.5858896196795667E-2</v>
      </c>
      <c r="P531">
        <v>50</v>
      </c>
      <c r="Q531">
        <v>50</v>
      </c>
      <c r="R531" s="2">
        <v>9.9999999999999978E-2</v>
      </c>
      <c r="S531" s="2">
        <v>0.33340000000000003</v>
      </c>
      <c r="T531" s="4">
        <v>8.741584028593305E-3</v>
      </c>
      <c r="U531" s="4">
        <f>IF(Bases_annexes!$F$5=0,16.6587111018772,0.77*Bases_annexes!$F$5/(IF(OR(ISBLANK('Données_d''entrée'!$E$44),'Données_d''entrée'!$E$44=0),35,'Données_d''entrée'!$E$44)*52))</f>
        <v>16.658711101877199</v>
      </c>
      <c r="V531" s="4">
        <v>80.324106187301894</v>
      </c>
      <c r="W5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1" s="4">
        <v>234.5</v>
      </c>
      <c r="Y531" s="4">
        <f>(Base[[#This Row],['[Maladies']Coûts_évités_par_salarié]]+Base[[#This Row],['[Travail']Coûts_évités_par_salarié]])/Base[[#This Row],[Budget_santé_salarié]]</f>
        <v>5.6915831714551314E-3</v>
      </c>
      <c r="Z531" s="4">
        <v>0.8</v>
      </c>
      <c r="AA531" s="4">
        <f>Base[[#This Row],[Coût]]*Base[[#This Row],[Part_société_dépenses_santé]]</f>
        <v>13.008600000000001</v>
      </c>
      <c r="AB531" s="4">
        <v>67635124</v>
      </c>
      <c r="AC531" s="4">
        <v>82.297079063317852</v>
      </c>
      <c r="AD531" s="4">
        <v>8.741584028593305E-3</v>
      </c>
      <c r="AE531" s="4">
        <f>Base[[#This Row],['[SC']Prévalence_travail]]*Base[[#This Row],[Population_emploi]]</f>
        <v>242141.87759203455</v>
      </c>
      <c r="AF531" s="4">
        <f>Base[[#This Row],[Risque]]*Base[[#This Row],['[SC']Patients_en_emploi]]</f>
        <v>57987.219737561521</v>
      </c>
      <c r="AG531" s="4">
        <v>1022040000</v>
      </c>
      <c r="AH531" s="4">
        <f>IFERROR(Base[[#This Row],['[SC']Prestations]]/Base[[#This Row],['[SC']Patients_en_emploi]],0)</f>
        <v>4220.8312340005614</v>
      </c>
      <c r="AI531" s="4">
        <v>51.7</v>
      </c>
      <c r="AJ5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1" s="4">
        <f>Base[[#This Row],['[SC']'[Travail']Coûts_évités]]/Base[[#This Row],[Population_emploi]]</f>
        <v>8.8358941603304508</v>
      </c>
      <c r="AL531" s="4">
        <f>Base[[#This Row],[Coût_société]]*10^9*Base[[#This Row],[Risque]]*Base[[#This Row],[Prévalence]]*Base[[#This Row],[Part_coûts_salarié]]/Base[[#This Row],[Population_emploi]]</f>
        <v>0.98124452796337913</v>
      </c>
      <c r="AM531" s="4">
        <f>IF(Base[[#This Row],[Pathologie]]&lt;&gt;"Dépendance",0,14909.24243952)</f>
        <v>0</v>
      </c>
      <c r="AN531" s="4">
        <f>IF(Base[[#This Row],[Pathologie]]&lt;&gt;"Dépendance",0,1316000)</f>
        <v>0</v>
      </c>
      <c r="AO531" s="4">
        <f>IF(Base[[#This Row],[Pathologie]]&lt;&gt;"Dépendance",0,Base[[#This Row],['[SC']Coût_personne_dépendante]]*Base[[#This Row],['[SC']Nb_personnes_dépendantes]])</f>
        <v>0</v>
      </c>
      <c r="AP531" s="4">
        <f>IF(Base[[#This Row],[Pathologie]]&lt;&gt;"Dépendance",0,Base[[#This Row],['[SC']Coût_total_dépendance]]/Base[[#This Row],[Population_totale]])</f>
        <v>0</v>
      </c>
      <c r="AQ531" s="4">
        <f>IF(Base[[#This Row],[Pathologie]]&lt;&gt;"Dépendance",0,4.5)</f>
        <v>0</v>
      </c>
      <c r="AR531" s="4">
        <v>1.0077957276768601</v>
      </c>
      <c r="AS531" s="4">
        <f>Base[[#This Row],[Espérance_vie]]+Base[[#This Row],['[SC']Hausse_esp_de_vie]]-Base[[#This Row],['[SC']Durée_moyenne_dépendance_avt]]+Base[[#This Row],[Risque]]</f>
        <v>83.544351003511991</v>
      </c>
      <c r="AT5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1" s="4">
        <v>62.9</v>
      </c>
      <c r="AW531" s="4">
        <f t="shared" si="15"/>
        <v>336905600000</v>
      </c>
      <c r="AX531" s="4">
        <v>15049171</v>
      </c>
      <c r="AY531" s="4">
        <f>Base[[#This Row],['[SC']Budget_total_retraites]]/Base[[#This Row],['[SC']Nombre_de_retraités]]</f>
        <v>22386.987296509556</v>
      </c>
      <c r="AZ531" s="4">
        <f>Base[[#This Row],['[SC']Budget_par_retraité]]*Base[[#This Row],['[SC']Nb_personnes_dépendantes]]</f>
        <v>0</v>
      </c>
      <c r="BA531" s="4">
        <f>Base[[#This Row],['[SC']'[Dépendance']Coût_retraite_personnes_dépendantes]]/Base[[#This Row],[Population_totale]]</f>
        <v>0</v>
      </c>
      <c r="BB53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1" s="4">
        <f>Base[[#This Row],['[SC']'[Dépendance']Gains]]-Base[[#This Row],['[SC']'[Dépendance']Coûts]]</f>
        <v>0</v>
      </c>
      <c r="BD531" s="4">
        <f>IF(Base[[#This Row],[Pathologie]]&lt;&gt;"Mort prématurée",0,Base[[#This Row],[Risque]]*Base[[#This Row],[Prévalence]]*Base[[#This Row],[Population_totale]])</f>
        <v>0</v>
      </c>
      <c r="BE531" s="4">
        <v>52.74</v>
      </c>
      <c r="BF531" s="4">
        <f>Base[[#This Row],['[SC']Âge_moyen_retraite]]-Base[[#This Row],['[SC']'[Mort_prématurée']Âge_moyen_mort précoce]]</f>
        <v>10.159999999999997</v>
      </c>
      <c r="BG531" s="4">
        <f>Base[[#This Row],[Espérance_vie]]+Base[[#This Row],['[SC']Hausse_esp_de_vie]]-Base[[#This Row],['[SC']Âge_moyen_retraite]]</f>
        <v>20.404874790994718</v>
      </c>
      <c r="BH531" s="4">
        <v>106583.42676924677</v>
      </c>
      <c r="BI531" s="4">
        <v>97601.789429271477</v>
      </c>
      <c r="BJ531" s="4">
        <v>302038.31496633729</v>
      </c>
      <c r="BK531" s="4">
        <v>117293.58934859755</v>
      </c>
      <c r="BL531" s="4">
        <v>1523999.9999999995</v>
      </c>
      <c r="BM5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1" s="4">
        <v>294804.96027377353</v>
      </c>
      <c r="BO5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1" s="4">
        <f>(Base[[#This Row],['[SC']'[Mort_prématurée']Gains]]-Base[[#This Row],['[SC']'[Mort_prématurée']Coûts]])/Base[[#This Row],[Population_totale]]</f>
        <v>0</v>
      </c>
      <c r="BQ531" s="4">
        <f>IF(Base[[#This Row],[Pathologie]]&lt;&gt;"Mort prématurée",0,Base[[#This Row],[Risque]])</f>
        <v>0</v>
      </c>
      <c r="BR531" s="4">
        <v>2680</v>
      </c>
      <c r="BS5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1" s="4">
        <f>Base[[#This Row],[Prévalence_prod]]*(1-Base[[#This Row],[Risque]])*Base[[#This Row],[Durée_arrêt]]*Base[[#This Row],[Population_emploi]]</f>
        <v>14792058.292388938</v>
      </c>
      <c r="BV531" s="4">
        <f>Base[[#This Row],['[Prod']'[Absentéisme']Total_jours_absence_avant]]-Base[[#This Row],['[Prod']'[Absentéisme']Total_jours_absence_après]]</f>
        <v>4657771.5957063027</v>
      </c>
      <c r="BW531" s="4">
        <f>IF(AND(Base[[#This Row],[Pathologie]]&lt;&gt;"Dépendance",Base[[#This Row],[Pathologie]]&lt;&gt;"Mort prématurée",Base[[#This Row],[Pathologie]]&lt;&gt;"Migraine"),0.0619,0)</f>
        <v>6.1899999999999997E-2</v>
      </c>
      <c r="BX531" s="4">
        <v>254</v>
      </c>
      <c r="BY531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1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1" s="4">
        <f>Base[[#This Row],[Prévalence_prod]]*Base[[#This Row],[Présentéisme]]*Base[[#This Row],['[Prod']Jours_ouvrés]]</f>
        <v>0.15098463934186357</v>
      </c>
      <c r="CB531" s="4">
        <f>Base[[#This Row],[Prévalence_prod]]*(1-Base[[#This Row],[Risque]])*Base[[#This Row],[Présentéisme]]*Base[[#This Row],['[Prod']Jours_ouvrés]]</f>
        <v>0.11482740976398766</v>
      </c>
      <c r="CC531" s="4">
        <f>Base[[#This Row],['[Prod']'[Présentéisme']Jours_avant]]-Base[[#This Row],['[Prod']'[Présentéisme']Jours_après]]</f>
        <v>3.6157229577875913E-2</v>
      </c>
      <c r="CD531" s="4">
        <f>Base[[#This Row],['[Prod']'[Présentéisme']Jours_gagnés]]/Base[[#This Row],['[Prod']Jours_ouvrés]]</f>
        <v>1.4235129755069256E-4</v>
      </c>
      <c r="CE531">
        <v>9.3428413505841454E-2</v>
      </c>
      <c r="CF531">
        <v>2.1038737314955848E-2</v>
      </c>
      <c r="CG531" s="4">
        <v>11</v>
      </c>
      <c r="CH531" s="4">
        <v>1.1624525375985588</v>
      </c>
      <c r="CI531" s="4">
        <v>3.7953151649308701E-2</v>
      </c>
      <c r="CJ531" s="4">
        <f>IF(Base[[#This Row],[Secteur]]&lt;&gt;"Moyenne",Base[[#This Row],['[Prod']'[Turnover']DMC_initiale]]*(1+Base[[#This Row],['[Prod']'[Turnover']Ecart_accidents]]*Base[[#This Row],['[Prod']Impact_motifs_turnover]]),CJ514*CI514+CJ515*CI515+CJ516*CI516+CJ517*CI517+CJ518*CI518+CJ519*CI519+CJ520*CI520+CJ521*CI521+CJ522*CI522+CJ523*CI523+CJ524*CI524+CJ525*CI525+CJ526*CI526+CJ527*CI527+CJ528*CI528+CJ529*CI529+CJ530*CI530)</f>
        <v>11.269021869376038</v>
      </c>
      <c r="CK531" s="4">
        <f>1/Base[[#This Row],['[Prod']'[Turnover']DMC_initiale]]</f>
        <v>9.0909090909090912E-2</v>
      </c>
      <c r="CL531" s="4">
        <f>1/Base[[#This Row],['[Prod']'[Turnover']DMC_finale]]</f>
        <v>8.8738846333907204E-2</v>
      </c>
    </row>
    <row r="532" spans="2:90" x14ac:dyDescent="0.25">
      <c r="B532" s="4" t="s">
        <v>326</v>
      </c>
      <c r="C532">
        <v>30</v>
      </c>
      <c r="D532" t="s">
        <v>85</v>
      </c>
      <c r="E532" t="s">
        <v>6</v>
      </c>
      <c r="F532" s="3">
        <v>0.2394762125172728</v>
      </c>
      <c r="G532" s="3">
        <v>8.741584028593305E-3</v>
      </c>
      <c r="H532" s="3">
        <v>8.741584028593305E-3</v>
      </c>
      <c r="I532" s="3">
        <v>6.8000000000000005E-2</v>
      </c>
      <c r="J532" s="3">
        <v>16.260750000000002</v>
      </c>
      <c r="K532" s="3">
        <v>7.0000000000000007E-2</v>
      </c>
      <c r="L532" s="2">
        <f>Base[[#This Row],[Coût]]*Base[[#This Row],[Part_ménages_dépenses_santé]]</f>
        <v>1.1382525000000001</v>
      </c>
      <c r="M532" s="2">
        <v>0.99809973356799431</v>
      </c>
      <c r="N532" s="6">
        <v>27700000</v>
      </c>
      <c r="O532" s="7">
        <f>Base[[#This Row],[Coût_salarié]]*10^9*Base[[#This Row],[Risque]]*Base[[#This Row],[Prévalence]]*Base[[#This Row],[Part_coûts_salarié]]/Base[[#This Row],[Population_emploi]]</f>
        <v>8.5858896196795667E-2</v>
      </c>
      <c r="P532">
        <v>50</v>
      </c>
      <c r="Q532">
        <v>50</v>
      </c>
      <c r="R532" s="2">
        <v>9.9999999999999978E-2</v>
      </c>
      <c r="S532" s="2">
        <v>0.33340000000000003</v>
      </c>
      <c r="T532" s="4">
        <v>8.741584028593305E-3</v>
      </c>
      <c r="U532" s="4">
        <f>IF(Bases_annexes!$F$5=0,16.6587111018772,0.77*Bases_annexes!$F$5/(IF(OR(ISBLANK('Données_d''entrée'!$E$44),'Données_d''entrée'!$E$44=0),35,'Données_d''entrée'!$E$44)*52))</f>
        <v>16.658711101877199</v>
      </c>
      <c r="V532" s="4">
        <v>80.324106187301894</v>
      </c>
      <c r="W5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2" s="4">
        <v>234.5</v>
      </c>
      <c r="Y532" s="4">
        <f>(Base[[#This Row],['[Maladies']Coûts_évités_par_salarié]]+Base[[#This Row],['[Travail']Coûts_évités_par_salarié]])/Base[[#This Row],[Budget_santé_salarié]]</f>
        <v>5.6915831714551314E-3</v>
      </c>
      <c r="Z532" s="4">
        <v>0.8</v>
      </c>
      <c r="AA532" s="4">
        <f>Base[[#This Row],[Coût]]*Base[[#This Row],[Part_société_dépenses_santé]]</f>
        <v>13.008600000000001</v>
      </c>
      <c r="AB532" s="4">
        <v>67635124</v>
      </c>
      <c r="AC532" s="4">
        <v>82.297079063317852</v>
      </c>
      <c r="AD532" s="4">
        <v>8.741584028593305E-3</v>
      </c>
      <c r="AE532" s="4">
        <f>Base[[#This Row],['[SC']Prévalence_travail]]*Base[[#This Row],[Population_emploi]]</f>
        <v>242141.87759203455</v>
      </c>
      <c r="AF532" s="4">
        <f>Base[[#This Row],[Risque]]*Base[[#This Row],['[SC']Patients_en_emploi]]</f>
        <v>57987.219737561521</v>
      </c>
      <c r="AG532" s="4">
        <v>1022040000</v>
      </c>
      <c r="AH532" s="4">
        <f>IFERROR(Base[[#This Row],['[SC']Prestations]]/Base[[#This Row],['[SC']Patients_en_emploi]],0)</f>
        <v>4220.8312340005614</v>
      </c>
      <c r="AI532" s="4">
        <v>51.7</v>
      </c>
      <c r="AJ5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2" s="4">
        <f>Base[[#This Row],['[SC']'[Travail']Coûts_évités]]/Base[[#This Row],[Population_emploi]]</f>
        <v>8.8358941603304508</v>
      </c>
      <c r="AL532" s="4">
        <f>Base[[#This Row],[Coût_société]]*10^9*Base[[#This Row],[Risque]]*Base[[#This Row],[Prévalence]]*Base[[#This Row],[Part_coûts_salarié]]/Base[[#This Row],[Population_emploi]]</f>
        <v>0.98124452796337913</v>
      </c>
      <c r="AM532" s="4">
        <f>IF(Base[[#This Row],[Pathologie]]&lt;&gt;"Dépendance",0,14909.24243952)</f>
        <v>0</v>
      </c>
      <c r="AN532" s="4">
        <f>IF(Base[[#This Row],[Pathologie]]&lt;&gt;"Dépendance",0,1316000)</f>
        <v>0</v>
      </c>
      <c r="AO532" s="4">
        <f>IF(Base[[#This Row],[Pathologie]]&lt;&gt;"Dépendance",0,Base[[#This Row],['[SC']Coût_personne_dépendante]]*Base[[#This Row],['[SC']Nb_personnes_dépendantes]])</f>
        <v>0</v>
      </c>
      <c r="AP532" s="4">
        <f>IF(Base[[#This Row],[Pathologie]]&lt;&gt;"Dépendance",0,Base[[#This Row],['[SC']Coût_total_dépendance]]/Base[[#This Row],[Population_totale]])</f>
        <v>0</v>
      </c>
      <c r="AQ532" s="4">
        <f>IF(Base[[#This Row],[Pathologie]]&lt;&gt;"Dépendance",0,4.5)</f>
        <v>0</v>
      </c>
      <c r="AR532" s="4">
        <v>1.0077957276768601</v>
      </c>
      <c r="AS532" s="4">
        <f>Base[[#This Row],[Espérance_vie]]+Base[[#This Row],['[SC']Hausse_esp_de_vie]]-Base[[#This Row],['[SC']Durée_moyenne_dépendance_avt]]+Base[[#This Row],[Risque]]</f>
        <v>83.544351003511991</v>
      </c>
      <c r="AT5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2" s="4">
        <v>62.9</v>
      </c>
      <c r="AW532" s="4">
        <f t="shared" si="15"/>
        <v>336905600000</v>
      </c>
      <c r="AX532" s="4">
        <v>15049171</v>
      </c>
      <c r="AY532" s="4">
        <f>Base[[#This Row],['[SC']Budget_total_retraites]]/Base[[#This Row],['[SC']Nombre_de_retraités]]</f>
        <v>22386.987296509556</v>
      </c>
      <c r="AZ532" s="4">
        <f>Base[[#This Row],['[SC']Budget_par_retraité]]*Base[[#This Row],['[SC']Nb_personnes_dépendantes]]</f>
        <v>0</v>
      </c>
      <c r="BA532" s="4">
        <f>Base[[#This Row],['[SC']'[Dépendance']Coût_retraite_personnes_dépendantes]]/Base[[#This Row],[Population_totale]]</f>
        <v>0</v>
      </c>
      <c r="BB53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2" s="4">
        <f>Base[[#This Row],['[SC']'[Dépendance']Gains]]-Base[[#This Row],['[SC']'[Dépendance']Coûts]]</f>
        <v>0</v>
      </c>
      <c r="BD532" s="4">
        <f>IF(Base[[#This Row],[Pathologie]]&lt;&gt;"Mort prématurée",0,Base[[#This Row],[Risque]]*Base[[#This Row],[Prévalence]]*Base[[#This Row],[Population_totale]])</f>
        <v>0</v>
      </c>
      <c r="BE532" s="4">
        <v>52.74</v>
      </c>
      <c r="BF532" s="4">
        <f>Base[[#This Row],['[SC']Âge_moyen_retraite]]-Base[[#This Row],['[SC']'[Mort_prématurée']Âge_moyen_mort précoce]]</f>
        <v>10.159999999999997</v>
      </c>
      <c r="BG532" s="4">
        <f>Base[[#This Row],[Espérance_vie]]+Base[[#This Row],['[SC']Hausse_esp_de_vie]]-Base[[#This Row],['[SC']Âge_moyen_retraite]]</f>
        <v>20.404874790994718</v>
      </c>
      <c r="BH532" s="4">
        <v>106583.42676924677</v>
      </c>
      <c r="BI532" s="4">
        <v>97601.789429271477</v>
      </c>
      <c r="BJ532" s="4">
        <v>302038.31496633729</v>
      </c>
      <c r="BK532" s="4">
        <v>117293.58934859755</v>
      </c>
      <c r="BL532" s="4">
        <v>1523999.9999999995</v>
      </c>
      <c r="BM5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2" s="4">
        <v>294804.96027377353</v>
      </c>
      <c r="BO5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2" s="4">
        <f>(Base[[#This Row],['[SC']'[Mort_prématurée']Gains]]-Base[[#This Row],['[SC']'[Mort_prématurée']Coûts]])/Base[[#This Row],[Population_totale]]</f>
        <v>0</v>
      </c>
      <c r="BQ532" s="4">
        <f>IF(Base[[#This Row],[Pathologie]]&lt;&gt;"Mort prématurée",0,Base[[#This Row],[Risque]])</f>
        <v>0</v>
      </c>
      <c r="BR532" s="4">
        <v>2680</v>
      </c>
      <c r="BS5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2" s="4">
        <f>Base[[#This Row],[Prévalence_prod]]*(1-Base[[#This Row],[Risque]])*Base[[#This Row],[Durée_arrêt]]*Base[[#This Row],[Population_emploi]]</f>
        <v>14792058.292388938</v>
      </c>
      <c r="BV532" s="4">
        <f>Base[[#This Row],['[Prod']'[Absentéisme']Total_jours_absence_avant]]-Base[[#This Row],['[Prod']'[Absentéisme']Total_jours_absence_après]]</f>
        <v>4657771.5957063027</v>
      </c>
      <c r="BW532" s="4">
        <f>IF(AND(Base[[#This Row],[Pathologie]]&lt;&gt;"Dépendance",Base[[#This Row],[Pathologie]]&lt;&gt;"Mort prématurée",Base[[#This Row],[Pathologie]]&lt;&gt;"Migraine"),0.0619,0)</f>
        <v>6.1899999999999997E-2</v>
      </c>
      <c r="BX532" s="4">
        <v>254</v>
      </c>
      <c r="BY532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2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2" s="4">
        <f>Base[[#This Row],[Prévalence_prod]]*Base[[#This Row],[Présentéisme]]*Base[[#This Row],['[Prod']Jours_ouvrés]]</f>
        <v>0.15098463934186357</v>
      </c>
      <c r="CB532" s="4">
        <f>Base[[#This Row],[Prévalence_prod]]*(1-Base[[#This Row],[Risque]])*Base[[#This Row],[Présentéisme]]*Base[[#This Row],['[Prod']Jours_ouvrés]]</f>
        <v>0.11482740976398766</v>
      </c>
      <c r="CC532" s="4">
        <f>Base[[#This Row],['[Prod']'[Présentéisme']Jours_avant]]-Base[[#This Row],['[Prod']'[Présentéisme']Jours_après]]</f>
        <v>3.6157229577875913E-2</v>
      </c>
      <c r="CD532" s="4">
        <f>Base[[#This Row],['[Prod']'[Présentéisme']Jours_gagnés]]/Base[[#This Row],['[Prod']Jours_ouvrés]]</f>
        <v>1.4235129755069256E-4</v>
      </c>
      <c r="CE532">
        <v>9.3428413505841454E-2</v>
      </c>
      <c r="CF532">
        <v>2.1038737314955848E-2</v>
      </c>
      <c r="CG532" s="4">
        <v>11</v>
      </c>
      <c r="CH532" s="4">
        <v>0.19346787829229528</v>
      </c>
      <c r="CI532" s="4">
        <v>2.8126549817953091E-2</v>
      </c>
      <c r="CJ532" s="4">
        <f>IF(Base[[#This Row],[Secteur]]&lt;&gt;"Moyenne",Base[[#This Row],['[Prod']'[Turnover']DMC_initiale]]*(1+Base[[#This Row],['[Prod']'[Turnover']Ecart_accidents]]*Base[[#This Row],['[Prod']Impact_motifs_turnover]]),CJ515*CI515+CJ516*CI516+CJ517*CI517+CJ518*CI518+CJ519*CI519+CJ520*CI520+CJ521*CI521+CJ522*CI522+CJ523*CI523+CJ524*CI524+CJ525*CI525+CJ526*CI526+CJ527*CI527+CJ528*CI528+CJ529*CI529+CJ530*CI530+CJ531*CI531)</f>
        <v>11.044773518573008</v>
      </c>
      <c r="CK532" s="4">
        <f>1/Base[[#This Row],['[Prod']'[Turnover']DMC_initiale]]</f>
        <v>9.0909090909090912E-2</v>
      </c>
      <c r="CL532" s="4">
        <f>1/Base[[#This Row],['[Prod']'[Turnover']DMC_finale]]</f>
        <v>9.0540561861082031E-2</v>
      </c>
    </row>
    <row r="533" spans="2:90" x14ac:dyDescent="0.25">
      <c r="B533" s="4" t="s">
        <v>327</v>
      </c>
      <c r="C533">
        <v>30</v>
      </c>
      <c r="D533" t="s">
        <v>85</v>
      </c>
      <c r="E533" t="s">
        <v>6</v>
      </c>
      <c r="F533" s="3">
        <v>0.2394762125172728</v>
      </c>
      <c r="G533" s="3">
        <v>8.741584028593305E-3</v>
      </c>
      <c r="H533" s="3">
        <v>8.741584028593305E-3</v>
      </c>
      <c r="I533" s="3">
        <v>6.8000000000000005E-2</v>
      </c>
      <c r="J533" s="3">
        <v>16.260750000000002</v>
      </c>
      <c r="K533" s="3">
        <v>7.0000000000000007E-2</v>
      </c>
      <c r="L533" s="2">
        <f>Base[[#This Row],[Coût]]*Base[[#This Row],[Part_ménages_dépenses_santé]]</f>
        <v>1.1382525000000001</v>
      </c>
      <c r="M533" s="2">
        <v>0.99809973356799431</v>
      </c>
      <c r="N533" s="6">
        <v>27700000</v>
      </c>
      <c r="O533" s="7">
        <f>Base[[#This Row],[Coût_salarié]]*10^9*Base[[#This Row],[Risque]]*Base[[#This Row],[Prévalence]]*Base[[#This Row],[Part_coûts_salarié]]/Base[[#This Row],[Population_emploi]]</f>
        <v>8.5858896196795667E-2</v>
      </c>
      <c r="P533">
        <v>50</v>
      </c>
      <c r="Q533">
        <v>50</v>
      </c>
      <c r="R533" s="2">
        <v>9.9999999999999978E-2</v>
      </c>
      <c r="S533" s="2">
        <v>0.33340000000000003</v>
      </c>
      <c r="T533" s="4">
        <v>8.741584028593305E-3</v>
      </c>
      <c r="U533" s="4">
        <f>IF(Bases_annexes!$F$5=0,16.6587111018772,0.77*Bases_annexes!$F$5/(IF(OR(ISBLANK('Données_d''entrée'!$E$44),'Données_d''entrée'!$E$44=0),35,'Données_d''entrée'!$E$44)*52))</f>
        <v>16.658711101877199</v>
      </c>
      <c r="V533" s="4">
        <v>80.324106187301894</v>
      </c>
      <c r="W5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3" s="4">
        <v>234.5</v>
      </c>
      <c r="Y533" s="4">
        <f>(Base[[#This Row],['[Maladies']Coûts_évités_par_salarié]]+Base[[#This Row],['[Travail']Coûts_évités_par_salarié]])/Base[[#This Row],[Budget_santé_salarié]]</f>
        <v>5.6915831714551314E-3</v>
      </c>
      <c r="Z533" s="4">
        <v>0.8</v>
      </c>
      <c r="AA533" s="4">
        <f>Base[[#This Row],[Coût]]*Base[[#This Row],[Part_société_dépenses_santé]]</f>
        <v>13.008600000000001</v>
      </c>
      <c r="AB533" s="4">
        <v>67635124</v>
      </c>
      <c r="AC533" s="4">
        <v>82.297079063317852</v>
      </c>
      <c r="AD533" s="4">
        <v>8.741584028593305E-3</v>
      </c>
      <c r="AE533" s="4">
        <f>Base[[#This Row],['[SC']Prévalence_travail]]*Base[[#This Row],[Population_emploi]]</f>
        <v>242141.87759203455</v>
      </c>
      <c r="AF533" s="4">
        <f>Base[[#This Row],[Risque]]*Base[[#This Row],['[SC']Patients_en_emploi]]</f>
        <v>57987.219737561521</v>
      </c>
      <c r="AG533" s="4">
        <v>1022040000</v>
      </c>
      <c r="AH533" s="4">
        <f>IFERROR(Base[[#This Row],['[SC']Prestations]]/Base[[#This Row],['[SC']Patients_en_emploi]],0)</f>
        <v>4220.8312340005614</v>
      </c>
      <c r="AI533" s="4">
        <v>51.7</v>
      </c>
      <c r="AJ5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3" s="4">
        <f>Base[[#This Row],['[SC']'[Travail']Coûts_évités]]/Base[[#This Row],[Population_emploi]]</f>
        <v>8.8358941603304508</v>
      </c>
      <c r="AL533" s="4">
        <f>Base[[#This Row],[Coût_société]]*10^9*Base[[#This Row],[Risque]]*Base[[#This Row],[Prévalence]]*Base[[#This Row],[Part_coûts_salarié]]/Base[[#This Row],[Population_emploi]]</f>
        <v>0.98124452796337913</v>
      </c>
      <c r="AM533" s="4">
        <f>IF(Base[[#This Row],[Pathologie]]&lt;&gt;"Dépendance",0,14909.24243952)</f>
        <v>0</v>
      </c>
      <c r="AN533" s="4">
        <f>IF(Base[[#This Row],[Pathologie]]&lt;&gt;"Dépendance",0,1316000)</f>
        <v>0</v>
      </c>
      <c r="AO533" s="4">
        <f>IF(Base[[#This Row],[Pathologie]]&lt;&gt;"Dépendance",0,Base[[#This Row],['[SC']Coût_personne_dépendante]]*Base[[#This Row],['[SC']Nb_personnes_dépendantes]])</f>
        <v>0</v>
      </c>
      <c r="AP533" s="4">
        <f>IF(Base[[#This Row],[Pathologie]]&lt;&gt;"Dépendance",0,Base[[#This Row],['[SC']Coût_total_dépendance]]/Base[[#This Row],[Population_totale]])</f>
        <v>0</v>
      </c>
      <c r="AQ533" s="4">
        <f>IF(Base[[#This Row],[Pathologie]]&lt;&gt;"Dépendance",0,4.5)</f>
        <v>0</v>
      </c>
      <c r="AR533" s="4">
        <v>1.0077957276768601</v>
      </c>
      <c r="AS533" s="4">
        <f>Base[[#This Row],[Espérance_vie]]+Base[[#This Row],['[SC']Hausse_esp_de_vie]]-Base[[#This Row],['[SC']Durée_moyenne_dépendance_avt]]+Base[[#This Row],[Risque]]</f>
        <v>83.544351003511991</v>
      </c>
      <c r="AT5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3" s="4">
        <v>62.9</v>
      </c>
      <c r="AW533" s="4">
        <f t="shared" si="15"/>
        <v>336905600000</v>
      </c>
      <c r="AX533" s="4">
        <v>15049171</v>
      </c>
      <c r="AY533" s="4">
        <f>Base[[#This Row],['[SC']Budget_total_retraites]]/Base[[#This Row],['[SC']Nombre_de_retraités]]</f>
        <v>22386.987296509556</v>
      </c>
      <c r="AZ533" s="4">
        <f>Base[[#This Row],['[SC']Budget_par_retraité]]*Base[[#This Row],['[SC']Nb_personnes_dépendantes]]</f>
        <v>0</v>
      </c>
      <c r="BA533" s="4">
        <f>Base[[#This Row],['[SC']'[Dépendance']Coût_retraite_personnes_dépendantes]]/Base[[#This Row],[Population_totale]]</f>
        <v>0</v>
      </c>
      <c r="BB53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3" s="4">
        <f>Base[[#This Row],['[SC']'[Dépendance']Gains]]-Base[[#This Row],['[SC']'[Dépendance']Coûts]]</f>
        <v>0</v>
      </c>
      <c r="BD533" s="4">
        <f>IF(Base[[#This Row],[Pathologie]]&lt;&gt;"Mort prématurée",0,Base[[#This Row],[Risque]]*Base[[#This Row],[Prévalence]]*Base[[#This Row],[Population_totale]])</f>
        <v>0</v>
      </c>
      <c r="BE533" s="4">
        <v>52.74</v>
      </c>
      <c r="BF533" s="4">
        <f>Base[[#This Row],['[SC']Âge_moyen_retraite]]-Base[[#This Row],['[SC']'[Mort_prématurée']Âge_moyen_mort précoce]]</f>
        <v>10.159999999999997</v>
      </c>
      <c r="BG533" s="4">
        <f>Base[[#This Row],[Espérance_vie]]+Base[[#This Row],['[SC']Hausse_esp_de_vie]]-Base[[#This Row],['[SC']Âge_moyen_retraite]]</f>
        <v>20.404874790994718</v>
      </c>
      <c r="BH533" s="4">
        <v>106583.42676924677</v>
      </c>
      <c r="BI533" s="4">
        <v>97601.789429271477</v>
      </c>
      <c r="BJ533" s="4">
        <v>302038.31496633729</v>
      </c>
      <c r="BK533" s="4">
        <v>117293.58934859755</v>
      </c>
      <c r="BL533" s="4">
        <v>1523999.9999999995</v>
      </c>
      <c r="BM5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3" s="4">
        <v>294804.96027377353</v>
      </c>
      <c r="BO5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3" s="4">
        <f>(Base[[#This Row],['[SC']'[Mort_prématurée']Gains]]-Base[[#This Row],['[SC']'[Mort_prématurée']Coûts]])/Base[[#This Row],[Population_totale]]</f>
        <v>0</v>
      </c>
      <c r="BQ533" s="4">
        <f>IF(Base[[#This Row],[Pathologie]]&lt;&gt;"Mort prématurée",0,Base[[#This Row],[Risque]])</f>
        <v>0</v>
      </c>
      <c r="BR533" s="4">
        <v>2680</v>
      </c>
      <c r="BS5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3" s="4">
        <f>Base[[#This Row],[Prévalence_prod]]*(1-Base[[#This Row],[Risque]])*Base[[#This Row],[Durée_arrêt]]*Base[[#This Row],[Population_emploi]]</f>
        <v>14792058.292388938</v>
      </c>
      <c r="BV533" s="4">
        <f>Base[[#This Row],['[Prod']'[Absentéisme']Total_jours_absence_avant]]-Base[[#This Row],['[Prod']'[Absentéisme']Total_jours_absence_après]]</f>
        <v>4657771.5957063027</v>
      </c>
      <c r="BW533" s="4">
        <f>IF(AND(Base[[#This Row],[Pathologie]]&lt;&gt;"Dépendance",Base[[#This Row],[Pathologie]]&lt;&gt;"Mort prématurée",Base[[#This Row],[Pathologie]]&lt;&gt;"Migraine"),0.0619,0)</f>
        <v>6.1899999999999997E-2</v>
      </c>
      <c r="BX533" s="4">
        <v>254</v>
      </c>
      <c r="BY533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3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3" s="4">
        <f>Base[[#This Row],[Prévalence_prod]]*Base[[#This Row],[Présentéisme]]*Base[[#This Row],['[Prod']Jours_ouvrés]]</f>
        <v>0.15098463934186357</v>
      </c>
      <c r="CB533" s="4">
        <f>Base[[#This Row],[Prévalence_prod]]*(1-Base[[#This Row],[Risque]])*Base[[#This Row],[Présentéisme]]*Base[[#This Row],['[Prod']Jours_ouvrés]]</f>
        <v>0.11482740976398766</v>
      </c>
      <c r="CC533" s="4">
        <f>Base[[#This Row],['[Prod']'[Présentéisme']Jours_avant]]-Base[[#This Row],['[Prod']'[Présentéisme']Jours_après]]</f>
        <v>3.6157229577875913E-2</v>
      </c>
      <c r="CD533" s="4">
        <f>Base[[#This Row],['[Prod']'[Présentéisme']Jours_gagnés]]/Base[[#This Row],['[Prod']Jours_ouvrés]]</f>
        <v>1.4235129755069256E-4</v>
      </c>
      <c r="CE533">
        <v>9.3428413505841454E-2</v>
      </c>
      <c r="CF533">
        <v>2.1038737314955848E-2</v>
      </c>
      <c r="CG533" s="4">
        <v>11</v>
      </c>
      <c r="CH533" s="4">
        <v>0.13729577077682142</v>
      </c>
      <c r="CI533" s="4">
        <v>1.373516710817578E-2</v>
      </c>
      <c r="CJ533" s="4">
        <f>IF(Base[[#This Row],[Secteur]]&lt;&gt;"Moyenne",Base[[#This Row],['[Prod']'[Turnover']DMC_initiale]]*(1+Base[[#This Row],['[Prod']'[Turnover']Ecart_accidents]]*Base[[#This Row],['[Prod']Impact_motifs_turnover]]),CJ516*CI516+CJ517*CI517+CJ518*CI518+CJ519*CI519+CJ520*CI520+CJ521*CI521+CJ522*CI522+CJ523*CI523+CJ524*CI524+CJ525*CI525+CJ526*CI526+CJ527*CI527+CJ528*CI528+CJ529*CI529+CJ530*CI530+CJ531*CI531+CJ532*CI532)</f>
        <v>11.031773826214106</v>
      </c>
      <c r="CK533" s="4">
        <f>1/Base[[#This Row],['[Prod']'[Turnover']DMC_initiale]]</f>
        <v>9.0909090909090912E-2</v>
      </c>
      <c r="CL533" s="4">
        <f>1/Base[[#This Row],['[Prod']'[Turnover']DMC_finale]]</f>
        <v>9.0647253628764871E-2</v>
      </c>
    </row>
    <row r="534" spans="2:90" x14ac:dyDescent="0.25">
      <c r="B534" s="4" t="s">
        <v>328</v>
      </c>
      <c r="C534">
        <v>30</v>
      </c>
      <c r="D534" t="s">
        <v>85</v>
      </c>
      <c r="E534" t="s">
        <v>6</v>
      </c>
      <c r="F534" s="3">
        <v>0.2394762125172728</v>
      </c>
      <c r="G534" s="3">
        <v>8.741584028593305E-3</v>
      </c>
      <c r="H534" s="3">
        <v>8.741584028593305E-3</v>
      </c>
      <c r="I534" s="3">
        <v>6.8000000000000005E-2</v>
      </c>
      <c r="J534" s="3">
        <v>16.260750000000002</v>
      </c>
      <c r="K534" s="3">
        <v>7.0000000000000007E-2</v>
      </c>
      <c r="L534" s="2">
        <f>Base[[#This Row],[Coût]]*Base[[#This Row],[Part_ménages_dépenses_santé]]</f>
        <v>1.1382525000000001</v>
      </c>
      <c r="M534" s="2">
        <v>0.99809973356799431</v>
      </c>
      <c r="N534" s="6">
        <v>27700000</v>
      </c>
      <c r="O534" s="7">
        <f>Base[[#This Row],[Coût_salarié]]*10^9*Base[[#This Row],[Risque]]*Base[[#This Row],[Prévalence]]*Base[[#This Row],[Part_coûts_salarié]]/Base[[#This Row],[Population_emploi]]</f>
        <v>8.5858896196795667E-2</v>
      </c>
      <c r="P534">
        <v>50</v>
      </c>
      <c r="Q534">
        <v>50</v>
      </c>
      <c r="R534" s="2">
        <v>9.9999999999999978E-2</v>
      </c>
      <c r="S534" s="2">
        <v>0.33340000000000003</v>
      </c>
      <c r="T534" s="4">
        <v>8.741584028593305E-3</v>
      </c>
      <c r="U534" s="4">
        <f>IF(Bases_annexes!$F$5=0,16.6587111018772,0.77*Bases_annexes!$F$5/(IF(OR(ISBLANK('Données_d''entrée'!$E$44),'Données_d''entrée'!$E$44=0),35,'Données_d''entrée'!$E$44)*52))</f>
        <v>16.658711101877199</v>
      </c>
      <c r="V534" s="4">
        <v>80.324106187301894</v>
      </c>
      <c r="W5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4" s="4">
        <v>234.5</v>
      </c>
      <c r="Y534" s="4">
        <f>(Base[[#This Row],['[Maladies']Coûts_évités_par_salarié]]+Base[[#This Row],['[Travail']Coûts_évités_par_salarié]])/Base[[#This Row],[Budget_santé_salarié]]</f>
        <v>5.6915831714551314E-3</v>
      </c>
      <c r="Z534" s="4">
        <v>0.8</v>
      </c>
      <c r="AA534" s="4">
        <f>Base[[#This Row],[Coût]]*Base[[#This Row],[Part_société_dépenses_santé]]</f>
        <v>13.008600000000001</v>
      </c>
      <c r="AB534" s="4">
        <v>67635124</v>
      </c>
      <c r="AC534" s="4">
        <v>82.297079063317852</v>
      </c>
      <c r="AD534" s="4">
        <v>8.741584028593305E-3</v>
      </c>
      <c r="AE534" s="4">
        <f>Base[[#This Row],['[SC']Prévalence_travail]]*Base[[#This Row],[Population_emploi]]</f>
        <v>242141.87759203455</v>
      </c>
      <c r="AF534" s="4">
        <f>Base[[#This Row],[Risque]]*Base[[#This Row],['[SC']Patients_en_emploi]]</f>
        <v>57987.219737561521</v>
      </c>
      <c r="AG534" s="4">
        <v>1022040000</v>
      </c>
      <c r="AH534" s="4">
        <f>IFERROR(Base[[#This Row],['[SC']Prestations]]/Base[[#This Row],['[SC']Patients_en_emploi]],0)</f>
        <v>4220.8312340005614</v>
      </c>
      <c r="AI534" s="4">
        <v>51.7</v>
      </c>
      <c r="AJ5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4" s="4">
        <f>Base[[#This Row],['[SC']'[Travail']Coûts_évités]]/Base[[#This Row],[Population_emploi]]</f>
        <v>8.8358941603304508</v>
      </c>
      <c r="AL534" s="4">
        <f>Base[[#This Row],[Coût_société]]*10^9*Base[[#This Row],[Risque]]*Base[[#This Row],[Prévalence]]*Base[[#This Row],[Part_coûts_salarié]]/Base[[#This Row],[Population_emploi]]</f>
        <v>0.98124452796337913</v>
      </c>
      <c r="AM534" s="4">
        <f>IF(Base[[#This Row],[Pathologie]]&lt;&gt;"Dépendance",0,14909.24243952)</f>
        <v>0</v>
      </c>
      <c r="AN534" s="4">
        <f>IF(Base[[#This Row],[Pathologie]]&lt;&gt;"Dépendance",0,1316000)</f>
        <v>0</v>
      </c>
      <c r="AO534" s="4">
        <f>IF(Base[[#This Row],[Pathologie]]&lt;&gt;"Dépendance",0,Base[[#This Row],['[SC']Coût_personne_dépendante]]*Base[[#This Row],['[SC']Nb_personnes_dépendantes]])</f>
        <v>0</v>
      </c>
      <c r="AP534" s="4">
        <f>IF(Base[[#This Row],[Pathologie]]&lt;&gt;"Dépendance",0,Base[[#This Row],['[SC']Coût_total_dépendance]]/Base[[#This Row],[Population_totale]])</f>
        <v>0</v>
      </c>
      <c r="AQ534" s="4">
        <f>IF(Base[[#This Row],[Pathologie]]&lt;&gt;"Dépendance",0,4.5)</f>
        <v>0</v>
      </c>
      <c r="AR534" s="4">
        <v>1.0077957276768601</v>
      </c>
      <c r="AS534" s="4">
        <f>Base[[#This Row],[Espérance_vie]]+Base[[#This Row],['[SC']Hausse_esp_de_vie]]-Base[[#This Row],['[SC']Durée_moyenne_dépendance_avt]]+Base[[#This Row],[Risque]]</f>
        <v>83.544351003511991</v>
      </c>
      <c r="AT5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4" s="4">
        <v>62.9</v>
      </c>
      <c r="AW534" s="4">
        <f t="shared" si="15"/>
        <v>336905600000</v>
      </c>
      <c r="AX534" s="4">
        <v>15049171</v>
      </c>
      <c r="AY534" s="4">
        <f>Base[[#This Row],['[SC']Budget_total_retraites]]/Base[[#This Row],['[SC']Nombre_de_retraités]]</f>
        <v>22386.987296509556</v>
      </c>
      <c r="AZ534" s="4">
        <f>Base[[#This Row],['[SC']Budget_par_retraité]]*Base[[#This Row],['[SC']Nb_personnes_dépendantes]]</f>
        <v>0</v>
      </c>
      <c r="BA534" s="4">
        <f>Base[[#This Row],['[SC']'[Dépendance']Coût_retraite_personnes_dépendantes]]/Base[[#This Row],[Population_totale]]</f>
        <v>0</v>
      </c>
      <c r="BB53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4" s="4">
        <f>Base[[#This Row],['[SC']'[Dépendance']Gains]]-Base[[#This Row],['[SC']'[Dépendance']Coûts]]</f>
        <v>0</v>
      </c>
      <c r="BD534" s="4">
        <f>IF(Base[[#This Row],[Pathologie]]&lt;&gt;"Mort prématurée",0,Base[[#This Row],[Risque]]*Base[[#This Row],[Prévalence]]*Base[[#This Row],[Population_totale]])</f>
        <v>0</v>
      </c>
      <c r="BE534" s="4">
        <v>52.74</v>
      </c>
      <c r="BF534" s="4">
        <f>Base[[#This Row],['[SC']Âge_moyen_retraite]]-Base[[#This Row],['[SC']'[Mort_prématurée']Âge_moyen_mort précoce]]</f>
        <v>10.159999999999997</v>
      </c>
      <c r="BG534" s="4">
        <f>Base[[#This Row],[Espérance_vie]]+Base[[#This Row],['[SC']Hausse_esp_de_vie]]-Base[[#This Row],['[SC']Âge_moyen_retraite]]</f>
        <v>20.404874790994718</v>
      </c>
      <c r="BH534" s="4">
        <v>106583.42676924677</v>
      </c>
      <c r="BI534" s="4">
        <v>97601.789429271477</v>
      </c>
      <c r="BJ534" s="4">
        <v>302038.31496633729</v>
      </c>
      <c r="BK534" s="4">
        <v>117293.58934859755</v>
      </c>
      <c r="BL534" s="4">
        <v>1523999.9999999995</v>
      </c>
      <c r="BM5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4" s="4">
        <v>294804.96027377353</v>
      </c>
      <c r="BO5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4" s="4">
        <f>(Base[[#This Row],['[SC']'[Mort_prématurée']Gains]]-Base[[#This Row],['[SC']'[Mort_prématurée']Coûts]])/Base[[#This Row],[Population_totale]]</f>
        <v>0</v>
      </c>
      <c r="BQ534" s="4">
        <f>IF(Base[[#This Row],[Pathologie]]&lt;&gt;"Mort prématurée",0,Base[[#This Row],[Risque]])</f>
        <v>0</v>
      </c>
      <c r="BR534" s="4">
        <v>2680</v>
      </c>
      <c r="BS5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4" s="4">
        <f>Base[[#This Row],[Prévalence_prod]]*(1-Base[[#This Row],[Risque]])*Base[[#This Row],[Durée_arrêt]]*Base[[#This Row],[Population_emploi]]</f>
        <v>14792058.292388938</v>
      </c>
      <c r="BV534" s="4">
        <f>Base[[#This Row],['[Prod']'[Absentéisme']Total_jours_absence_avant]]-Base[[#This Row],['[Prod']'[Absentéisme']Total_jours_absence_après]]</f>
        <v>4657771.5957063027</v>
      </c>
      <c r="BW534" s="4">
        <f>IF(AND(Base[[#This Row],[Pathologie]]&lt;&gt;"Dépendance",Base[[#This Row],[Pathologie]]&lt;&gt;"Mort prématurée",Base[[#This Row],[Pathologie]]&lt;&gt;"Migraine"),0.0619,0)</f>
        <v>6.1899999999999997E-2</v>
      </c>
      <c r="BX534" s="4">
        <v>254</v>
      </c>
      <c r="BY534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4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4" s="4">
        <f>Base[[#This Row],[Prévalence_prod]]*Base[[#This Row],[Présentéisme]]*Base[[#This Row],['[Prod']Jours_ouvrés]]</f>
        <v>0.15098463934186357</v>
      </c>
      <c r="CB534" s="4">
        <f>Base[[#This Row],[Prévalence_prod]]*(1-Base[[#This Row],[Risque]])*Base[[#This Row],[Présentéisme]]*Base[[#This Row],['[Prod']Jours_ouvrés]]</f>
        <v>0.11482740976398766</v>
      </c>
      <c r="CC534" s="4">
        <f>Base[[#This Row],['[Prod']'[Présentéisme']Jours_avant]]-Base[[#This Row],['[Prod']'[Présentéisme']Jours_après]]</f>
        <v>3.6157229577875913E-2</v>
      </c>
      <c r="CD534" s="4">
        <f>Base[[#This Row],['[Prod']'[Présentéisme']Jours_gagnés]]/Base[[#This Row],['[Prod']Jours_ouvrés]]</f>
        <v>1.4235129755069256E-4</v>
      </c>
      <c r="CE534">
        <v>9.3428413505841454E-2</v>
      </c>
      <c r="CF534">
        <v>2.1038737314955848E-2</v>
      </c>
      <c r="CG534" s="4">
        <v>11</v>
      </c>
      <c r="CH534" s="4">
        <v>0.60922528771817497</v>
      </c>
      <c r="CI534" s="4">
        <v>3.8601807163334179E-3</v>
      </c>
      <c r="CJ534" s="4">
        <f>IF(Base[[#This Row],[Secteur]]&lt;&gt;"Moyenne",Base[[#This Row],['[Prod']'[Turnover']DMC_initiale]]*(1+Base[[#This Row],['[Prod']'[Turnover']Ecart_accidents]]*Base[[#This Row],['[Prod']Impact_motifs_turnover]]),CJ517*CI517+CJ518*CI518+CJ519*CI519+CJ520*CI520+CJ521*CI521+CJ522*CI522+CJ523*CI523+CJ524*CI524+CJ525*CI525+CJ526*CI526+CJ527*CI527+CJ528*CI528+CJ529*CI529+CJ530*CI530+CJ531*CI531+CJ532*CI532+CJ533*CI533)</f>
        <v>11.140990638733241</v>
      </c>
      <c r="CK534" s="4">
        <f>1/Base[[#This Row],['[Prod']'[Turnover']DMC_initiale]]</f>
        <v>9.0909090909090912E-2</v>
      </c>
      <c r="CL534" s="4">
        <f>1/Base[[#This Row],['[Prod']'[Turnover']DMC_finale]]</f>
        <v>8.9758624921859057E-2</v>
      </c>
    </row>
    <row r="535" spans="2:90" x14ac:dyDescent="0.25">
      <c r="B535" s="4" t="s">
        <v>329</v>
      </c>
      <c r="C535">
        <v>30</v>
      </c>
      <c r="D535" t="s">
        <v>85</v>
      </c>
      <c r="E535" t="s">
        <v>6</v>
      </c>
      <c r="F535" s="3">
        <v>0.2394762125172728</v>
      </c>
      <c r="G535" s="3">
        <v>8.741584028593305E-3</v>
      </c>
      <c r="H535" s="3">
        <v>8.741584028593305E-3</v>
      </c>
      <c r="I535" s="3">
        <v>6.8000000000000005E-2</v>
      </c>
      <c r="J535" s="3">
        <v>16.260750000000002</v>
      </c>
      <c r="K535" s="3">
        <v>7.0000000000000007E-2</v>
      </c>
      <c r="L535" s="2">
        <f>Base[[#This Row],[Coût]]*Base[[#This Row],[Part_ménages_dépenses_santé]]</f>
        <v>1.1382525000000001</v>
      </c>
      <c r="M535" s="2">
        <v>0.99809973356799431</v>
      </c>
      <c r="N535" s="6">
        <v>27700000</v>
      </c>
      <c r="O535" s="7">
        <f>Base[[#This Row],[Coût_salarié]]*10^9*Base[[#This Row],[Risque]]*Base[[#This Row],[Prévalence]]*Base[[#This Row],[Part_coûts_salarié]]/Base[[#This Row],[Population_emploi]]</f>
        <v>8.5858896196795667E-2</v>
      </c>
      <c r="P535">
        <v>50</v>
      </c>
      <c r="Q535">
        <v>50</v>
      </c>
      <c r="R535" s="2">
        <v>9.9999999999999978E-2</v>
      </c>
      <c r="S535" s="2">
        <v>0.33340000000000003</v>
      </c>
      <c r="T535" s="4">
        <v>8.741584028593305E-3</v>
      </c>
      <c r="U535" s="4">
        <f>IF(Bases_annexes!$F$5=0,16.6587111018772,0.77*Bases_annexes!$F$5/(IF(OR(ISBLANK('Données_d''entrée'!$E$44),'Données_d''entrée'!$E$44=0),35,'Données_d''entrée'!$E$44)*52))</f>
        <v>16.658711101877199</v>
      </c>
      <c r="V535" s="4">
        <v>80.324106187301894</v>
      </c>
      <c r="W5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5" s="4">
        <v>234.5</v>
      </c>
      <c r="Y535" s="4">
        <f>(Base[[#This Row],['[Maladies']Coûts_évités_par_salarié]]+Base[[#This Row],['[Travail']Coûts_évités_par_salarié]])/Base[[#This Row],[Budget_santé_salarié]]</f>
        <v>5.6915831714551314E-3</v>
      </c>
      <c r="Z535" s="4">
        <v>0.8</v>
      </c>
      <c r="AA535" s="4">
        <f>Base[[#This Row],[Coût]]*Base[[#This Row],[Part_société_dépenses_santé]]</f>
        <v>13.008600000000001</v>
      </c>
      <c r="AB535" s="4">
        <v>67635124</v>
      </c>
      <c r="AC535" s="4">
        <v>82.297079063317852</v>
      </c>
      <c r="AD535" s="4">
        <v>8.741584028593305E-3</v>
      </c>
      <c r="AE535" s="4">
        <f>Base[[#This Row],['[SC']Prévalence_travail]]*Base[[#This Row],[Population_emploi]]</f>
        <v>242141.87759203455</v>
      </c>
      <c r="AF535" s="4">
        <f>Base[[#This Row],[Risque]]*Base[[#This Row],['[SC']Patients_en_emploi]]</f>
        <v>57987.219737561521</v>
      </c>
      <c r="AG535" s="4">
        <v>1022040000</v>
      </c>
      <c r="AH535" s="4">
        <f>IFERROR(Base[[#This Row],['[SC']Prestations]]/Base[[#This Row],['[SC']Patients_en_emploi]],0)</f>
        <v>4220.8312340005614</v>
      </c>
      <c r="AI535" s="4">
        <v>51.7</v>
      </c>
      <c r="AJ5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5" s="4">
        <f>Base[[#This Row],['[SC']'[Travail']Coûts_évités]]/Base[[#This Row],[Population_emploi]]</f>
        <v>8.8358941603304508</v>
      </c>
      <c r="AL535" s="4">
        <f>Base[[#This Row],[Coût_société]]*10^9*Base[[#This Row],[Risque]]*Base[[#This Row],[Prévalence]]*Base[[#This Row],[Part_coûts_salarié]]/Base[[#This Row],[Population_emploi]]</f>
        <v>0.98124452796337913</v>
      </c>
      <c r="AM535" s="4">
        <f>IF(Base[[#This Row],[Pathologie]]&lt;&gt;"Dépendance",0,14909.24243952)</f>
        <v>0</v>
      </c>
      <c r="AN535" s="4">
        <f>IF(Base[[#This Row],[Pathologie]]&lt;&gt;"Dépendance",0,1316000)</f>
        <v>0</v>
      </c>
      <c r="AO535" s="4">
        <f>IF(Base[[#This Row],[Pathologie]]&lt;&gt;"Dépendance",0,Base[[#This Row],['[SC']Coût_personne_dépendante]]*Base[[#This Row],['[SC']Nb_personnes_dépendantes]])</f>
        <v>0</v>
      </c>
      <c r="AP535" s="4">
        <f>IF(Base[[#This Row],[Pathologie]]&lt;&gt;"Dépendance",0,Base[[#This Row],['[SC']Coût_total_dépendance]]/Base[[#This Row],[Population_totale]])</f>
        <v>0</v>
      </c>
      <c r="AQ535" s="4">
        <f>IF(Base[[#This Row],[Pathologie]]&lt;&gt;"Dépendance",0,4.5)</f>
        <v>0</v>
      </c>
      <c r="AR535" s="4">
        <v>1.0077957276768601</v>
      </c>
      <c r="AS535" s="4">
        <f>Base[[#This Row],[Espérance_vie]]+Base[[#This Row],['[SC']Hausse_esp_de_vie]]-Base[[#This Row],['[SC']Durée_moyenne_dépendance_avt]]+Base[[#This Row],[Risque]]</f>
        <v>83.544351003511991</v>
      </c>
      <c r="AT5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5" s="4">
        <v>62.9</v>
      </c>
      <c r="AW535" s="4">
        <f t="shared" si="15"/>
        <v>336905600000</v>
      </c>
      <c r="AX535" s="4">
        <v>15049171</v>
      </c>
      <c r="AY535" s="4">
        <f>Base[[#This Row],['[SC']Budget_total_retraites]]/Base[[#This Row],['[SC']Nombre_de_retraités]]</f>
        <v>22386.987296509556</v>
      </c>
      <c r="AZ535" s="4">
        <f>Base[[#This Row],['[SC']Budget_par_retraité]]*Base[[#This Row],['[SC']Nb_personnes_dépendantes]]</f>
        <v>0</v>
      </c>
      <c r="BA535" s="4">
        <f>Base[[#This Row],['[SC']'[Dépendance']Coût_retraite_personnes_dépendantes]]/Base[[#This Row],[Population_totale]]</f>
        <v>0</v>
      </c>
      <c r="BB53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5" s="4">
        <f>Base[[#This Row],['[SC']'[Dépendance']Gains]]-Base[[#This Row],['[SC']'[Dépendance']Coûts]]</f>
        <v>0</v>
      </c>
      <c r="BD535" s="4">
        <f>IF(Base[[#This Row],[Pathologie]]&lt;&gt;"Mort prématurée",0,Base[[#This Row],[Risque]]*Base[[#This Row],[Prévalence]]*Base[[#This Row],[Population_totale]])</f>
        <v>0</v>
      </c>
      <c r="BE535" s="4">
        <v>52.74</v>
      </c>
      <c r="BF535" s="4">
        <f>Base[[#This Row],['[SC']Âge_moyen_retraite]]-Base[[#This Row],['[SC']'[Mort_prématurée']Âge_moyen_mort précoce]]</f>
        <v>10.159999999999997</v>
      </c>
      <c r="BG535" s="4">
        <f>Base[[#This Row],[Espérance_vie]]+Base[[#This Row],['[SC']Hausse_esp_de_vie]]-Base[[#This Row],['[SC']Âge_moyen_retraite]]</f>
        <v>20.404874790994718</v>
      </c>
      <c r="BH535" s="4">
        <v>106583.42676924677</v>
      </c>
      <c r="BI535" s="4">
        <v>97601.789429271477</v>
      </c>
      <c r="BJ535" s="4">
        <v>302038.31496633729</v>
      </c>
      <c r="BK535" s="4">
        <v>117293.58934859755</v>
      </c>
      <c r="BL535" s="4">
        <v>1523999.9999999995</v>
      </c>
      <c r="BM5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5" s="4">
        <v>294804.96027377353</v>
      </c>
      <c r="BO5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5" s="4">
        <f>(Base[[#This Row],['[SC']'[Mort_prématurée']Gains]]-Base[[#This Row],['[SC']'[Mort_prématurée']Coûts]])/Base[[#This Row],[Population_totale]]</f>
        <v>0</v>
      </c>
      <c r="BQ535" s="4">
        <f>IF(Base[[#This Row],[Pathologie]]&lt;&gt;"Mort prématurée",0,Base[[#This Row],[Risque]])</f>
        <v>0</v>
      </c>
      <c r="BR535" s="4">
        <v>2680</v>
      </c>
      <c r="BS5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5" s="4">
        <f>Base[[#This Row],[Prévalence_prod]]*(1-Base[[#This Row],[Risque]])*Base[[#This Row],[Durée_arrêt]]*Base[[#This Row],[Population_emploi]]</f>
        <v>14792058.292388938</v>
      </c>
      <c r="BV535" s="4">
        <f>Base[[#This Row],['[Prod']'[Absentéisme']Total_jours_absence_avant]]-Base[[#This Row],['[Prod']'[Absentéisme']Total_jours_absence_après]]</f>
        <v>4657771.5957063027</v>
      </c>
      <c r="BW535" s="4">
        <f>IF(AND(Base[[#This Row],[Pathologie]]&lt;&gt;"Dépendance",Base[[#This Row],[Pathologie]]&lt;&gt;"Mort prématurée",Base[[#This Row],[Pathologie]]&lt;&gt;"Migraine"),0.0619,0)</f>
        <v>6.1899999999999997E-2</v>
      </c>
      <c r="BX535" s="4">
        <v>254</v>
      </c>
      <c r="BY535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5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5" s="4">
        <f>Base[[#This Row],[Prévalence_prod]]*Base[[#This Row],[Présentéisme]]*Base[[#This Row],['[Prod']Jours_ouvrés]]</f>
        <v>0.15098463934186357</v>
      </c>
      <c r="CB535" s="4">
        <f>Base[[#This Row],[Prévalence_prod]]*(1-Base[[#This Row],[Risque]])*Base[[#This Row],[Présentéisme]]*Base[[#This Row],['[Prod']Jours_ouvrés]]</f>
        <v>0.11482740976398766</v>
      </c>
      <c r="CC535" s="4">
        <f>Base[[#This Row],['[Prod']'[Présentéisme']Jours_avant]]-Base[[#This Row],['[Prod']'[Présentéisme']Jours_après]]</f>
        <v>3.6157229577875913E-2</v>
      </c>
      <c r="CD535" s="4">
        <f>Base[[#This Row],['[Prod']'[Présentéisme']Jours_gagnés]]/Base[[#This Row],['[Prod']Jours_ouvrés]]</f>
        <v>1.4235129755069256E-4</v>
      </c>
      <c r="CE535">
        <v>9.3428413505841454E-2</v>
      </c>
      <c r="CF535">
        <v>2.1038737314955848E-2</v>
      </c>
      <c r="CG535" s="4">
        <v>11</v>
      </c>
      <c r="CH535" s="4">
        <v>0.78414927716175975</v>
      </c>
      <c r="CI535" s="4">
        <v>0.12835819090128339</v>
      </c>
      <c r="CJ535" s="4">
        <f>IF(Base[[#This Row],[Secteur]]&lt;&gt;"Moyenne",Base[[#This Row],['[Prod']'[Turnover']DMC_initiale]]*(1+Base[[#This Row],['[Prod']'[Turnover']Ecart_accidents]]*Base[[#This Row],['[Prod']Impact_motifs_turnover]]),CJ518*CI518+CJ519*CI519+CJ520*CI520+CJ521*CI521+CJ522*CI522+CJ523*CI523+CJ524*CI524+CJ525*CI525+CJ526*CI526+CJ527*CI527+CJ528*CI528+CJ529*CI529+CJ530*CI530+CJ531*CI531+CJ532*CI532+CJ533*CI533+CJ534*CI534)</f>
        <v>11.181472617237107</v>
      </c>
      <c r="CK535" s="4">
        <f>1/Base[[#This Row],['[Prod']'[Turnover']DMC_initiale]]</f>
        <v>9.0909090909090912E-2</v>
      </c>
      <c r="CL535" s="4">
        <f>1/Base[[#This Row],['[Prod']'[Turnover']DMC_finale]]</f>
        <v>8.9433658180088235E-2</v>
      </c>
    </row>
    <row r="536" spans="2:90" x14ac:dyDescent="0.25">
      <c r="B536" s="4" t="s">
        <v>330</v>
      </c>
      <c r="C536">
        <v>30</v>
      </c>
      <c r="D536" t="s">
        <v>85</v>
      </c>
      <c r="E536" t="s">
        <v>6</v>
      </c>
      <c r="F536" s="3">
        <v>0.2394762125172728</v>
      </c>
      <c r="G536" s="3">
        <v>8.741584028593305E-3</v>
      </c>
      <c r="H536" s="3">
        <v>8.741584028593305E-3</v>
      </c>
      <c r="I536" s="3">
        <v>6.8000000000000005E-2</v>
      </c>
      <c r="J536" s="3">
        <v>16.260750000000002</v>
      </c>
      <c r="K536" s="3">
        <v>7.0000000000000007E-2</v>
      </c>
      <c r="L536" s="2">
        <f>Base[[#This Row],[Coût]]*Base[[#This Row],[Part_ménages_dépenses_santé]]</f>
        <v>1.1382525000000001</v>
      </c>
      <c r="M536" s="2">
        <v>0.99809973356799431</v>
      </c>
      <c r="N536" s="6">
        <v>27700000</v>
      </c>
      <c r="O536" s="7">
        <f>Base[[#This Row],[Coût_salarié]]*10^9*Base[[#This Row],[Risque]]*Base[[#This Row],[Prévalence]]*Base[[#This Row],[Part_coûts_salarié]]/Base[[#This Row],[Population_emploi]]</f>
        <v>8.5858896196795667E-2</v>
      </c>
      <c r="P536">
        <v>50</v>
      </c>
      <c r="Q536">
        <v>50</v>
      </c>
      <c r="R536" s="2">
        <v>9.9999999999999978E-2</v>
      </c>
      <c r="S536" s="2">
        <v>0.33340000000000003</v>
      </c>
      <c r="T536" s="4">
        <v>8.741584028593305E-3</v>
      </c>
      <c r="U536" s="4">
        <f>IF(Bases_annexes!$F$5=0,16.6587111018772,0.77*Bases_annexes!$F$5/(IF(OR(ISBLANK('Données_d''entrée'!$E$44),'Données_d''entrée'!$E$44=0),35,'Données_d''entrée'!$E$44)*52))</f>
        <v>16.658711101877199</v>
      </c>
      <c r="V536" s="4">
        <v>80.324106187301894</v>
      </c>
      <c r="W5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6" s="4">
        <v>234.5</v>
      </c>
      <c r="Y536" s="4">
        <f>(Base[[#This Row],['[Maladies']Coûts_évités_par_salarié]]+Base[[#This Row],['[Travail']Coûts_évités_par_salarié]])/Base[[#This Row],[Budget_santé_salarié]]</f>
        <v>5.6915831714551314E-3</v>
      </c>
      <c r="Z536" s="4">
        <v>0.8</v>
      </c>
      <c r="AA536" s="4">
        <f>Base[[#This Row],[Coût]]*Base[[#This Row],[Part_société_dépenses_santé]]</f>
        <v>13.008600000000001</v>
      </c>
      <c r="AB536" s="4">
        <v>67635124</v>
      </c>
      <c r="AC536" s="4">
        <v>82.297079063317852</v>
      </c>
      <c r="AD536" s="4">
        <v>8.741584028593305E-3</v>
      </c>
      <c r="AE536" s="4">
        <f>Base[[#This Row],['[SC']Prévalence_travail]]*Base[[#This Row],[Population_emploi]]</f>
        <v>242141.87759203455</v>
      </c>
      <c r="AF536" s="4">
        <f>Base[[#This Row],[Risque]]*Base[[#This Row],['[SC']Patients_en_emploi]]</f>
        <v>57987.219737561521</v>
      </c>
      <c r="AG536" s="4">
        <v>1022040000</v>
      </c>
      <c r="AH536" s="4">
        <f>IFERROR(Base[[#This Row],['[SC']Prestations]]/Base[[#This Row],['[SC']Patients_en_emploi]],0)</f>
        <v>4220.8312340005614</v>
      </c>
      <c r="AI536" s="4">
        <v>51.7</v>
      </c>
      <c r="AJ5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6" s="4">
        <f>Base[[#This Row],['[SC']'[Travail']Coûts_évités]]/Base[[#This Row],[Population_emploi]]</f>
        <v>8.8358941603304508</v>
      </c>
      <c r="AL536" s="4">
        <f>Base[[#This Row],[Coût_société]]*10^9*Base[[#This Row],[Risque]]*Base[[#This Row],[Prévalence]]*Base[[#This Row],[Part_coûts_salarié]]/Base[[#This Row],[Population_emploi]]</f>
        <v>0.98124452796337913</v>
      </c>
      <c r="AM536" s="4">
        <f>IF(Base[[#This Row],[Pathologie]]&lt;&gt;"Dépendance",0,14909.24243952)</f>
        <v>0</v>
      </c>
      <c r="AN536" s="4">
        <f>IF(Base[[#This Row],[Pathologie]]&lt;&gt;"Dépendance",0,1316000)</f>
        <v>0</v>
      </c>
      <c r="AO536" s="4">
        <f>IF(Base[[#This Row],[Pathologie]]&lt;&gt;"Dépendance",0,Base[[#This Row],['[SC']Coût_personne_dépendante]]*Base[[#This Row],['[SC']Nb_personnes_dépendantes]])</f>
        <v>0</v>
      </c>
      <c r="AP536" s="4">
        <f>IF(Base[[#This Row],[Pathologie]]&lt;&gt;"Dépendance",0,Base[[#This Row],['[SC']Coût_total_dépendance]]/Base[[#This Row],[Population_totale]])</f>
        <v>0</v>
      </c>
      <c r="AQ536" s="4">
        <f>IF(Base[[#This Row],[Pathologie]]&lt;&gt;"Dépendance",0,4.5)</f>
        <v>0</v>
      </c>
      <c r="AR536" s="4">
        <v>1.0077957276768601</v>
      </c>
      <c r="AS536" s="4">
        <f>Base[[#This Row],[Espérance_vie]]+Base[[#This Row],['[SC']Hausse_esp_de_vie]]-Base[[#This Row],['[SC']Durée_moyenne_dépendance_avt]]+Base[[#This Row],[Risque]]</f>
        <v>83.544351003511991</v>
      </c>
      <c r="AT5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6" s="4">
        <v>62.9</v>
      </c>
      <c r="AW536" s="4">
        <f t="shared" si="15"/>
        <v>336905600000</v>
      </c>
      <c r="AX536" s="4">
        <v>15049171</v>
      </c>
      <c r="AY536" s="4">
        <f>Base[[#This Row],['[SC']Budget_total_retraites]]/Base[[#This Row],['[SC']Nombre_de_retraités]]</f>
        <v>22386.987296509556</v>
      </c>
      <c r="AZ536" s="4">
        <f>Base[[#This Row],['[SC']Budget_par_retraité]]*Base[[#This Row],['[SC']Nb_personnes_dépendantes]]</f>
        <v>0</v>
      </c>
      <c r="BA536" s="4">
        <f>Base[[#This Row],['[SC']'[Dépendance']Coût_retraite_personnes_dépendantes]]/Base[[#This Row],[Population_totale]]</f>
        <v>0</v>
      </c>
      <c r="BB53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6" s="4">
        <f>Base[[#This Row],['[SC']'[Dépendance']Gains]]-Base[[#This Row],['[SC']'[Dépendance']Coûts]]</f>
        <v>0</v>
      </c>
      <c r="BD536" s="4">
        <f>IF(Base[[#This Row],[Pathologie]]&lt;&gt;"Mort prématurée",0,Base[[#This Row],[Risque]]*Base[[#This Row],[Prévalence]]*Base[[#This Row],[Population_totale]])</f>
        <v>0</v>
      </c>
      <c r="BE536" s="4">
        <v>52.74</v>
      </c>
      <c r="BF536" s="4">
        <f>Base[[#This Row],['[SC']Âge_moyen_retraite]]-Base[[#This Row],['[SC']'[Mort_prématurée']Âge_moyen_mort précoce]]</f>
        <v>10.159999999999997</v>
      </c>
      <c r="BG536" s="4">
        <f>Base[[#This Row],[Espérance_vie]]+Base[[#This Row],['[SC']Hausse_esp_de_vie]]-Base[[#This Row],['[SC']Âge_moyen_retraite]]</f>
        <v>20.404874790994718</v>
      </c>
      <c r="BH536" s="4">
        <v>106583.42676924677</v>
      </c>
      <c r="BI536" s="4">
        <v>97601.789429271477</v>
      </c>
      <c r="BJ536" s="4">
        <v>302038.31496633729</v>
      </c>
      <c r="BK536" s="4">
        <v>117293.58934859755</v>
      </c>
      <c r="BL536" s="4">
        <v>1523999.9999999995</v>
      </c>
      <c r="BM5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6" s="4">
        <v>294804.96027377353</v>
      </c>
      <c r="BO5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6" s="4">
        <f>(Base[[#This Row],['[SC']'[Mort_prématurée']Gains]]-Base[[#This Row],['[SC']'[Mort_prématurée']Coûts]])/Base[[#This Row],[Population_totale]]</f>
        <v>0</v>
      </c>
      <c r="BQ536" s="4">
        <f>IF(Base[[#This Row],[Pathologie]]&lt;&gt;"Mort prématurée",0,Base[[#This Row],[Risque]])</f>
        <v>0</v>
      </c>
      <c r="BR536" s="4">
        <v>2680</v>
      </c>
      <c r="BS5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6" s="4">
        <f>Base[[#This Row],[Prévalence_prod]]*(1-Base[[#This Row],[Risque]])*Base[[#This Row],[Durée_arrêt]]*Base[[#This Row],[Population_emploi]]</f>
        <v>14792058.292388938</v>
      </c>
      <c r="BV536" s="4">
        <f>Base[[#This Row],['[Prod']'[Absentéisme']Total_jours_absence_avant]]-Base[[#This Row],['[Prod']'[Absentéisme']Total_jours_absence_après]]</f>
        <v>4657771.5957063027</v>
      </c>
      <c r="BW536" s="4">
        <f>IF(AND(Base[[#This Row],[Pathologie]]&lt;&gt;"Dépendance",Base[[#This Row],[Pathologie]]&lt;&gt;"Mort prématurée",Base[[#This Row],[Pathologie]]&lt;&gt;"Migraine"),0.0619,0)</f>
        <v>6.1899999999999997E-2</v>
      </c>
      <c r="BX536" s="4">
        <v>254</v>
      </c>
      <c r="BY536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6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6" s="4">
        <f>Base[[#This Row],[Prévalence_prod]]*Base[[#This Row],[Présentéisme]]*Base[[#This Row],['[Prod']Jours_ouvrés]]</f>
        <v>0.15098463934186357</v>
      </c>
      <c r="CB536" s="4">
        <f>Base[[#This Row],[Prévalence_prod]]*(1-Base[[#This Row],[Risque]])*Base[[#This Row],[Présentéisme]]*Base[[#This Row],['[Prod']Jours_ouvrés]]</f>
        <v>0.11482740976398766</v>
      </c>
      <c r="CC536" s="4">
        <f>Base[[#This Row],['[Prod']'[Présentéisme']Jours_avant]]-Base[[#This Row],['[Prod']'[Présentéisme']Jours_après]]</f>
        <v>3.6157229577875913E-2</v>
      </c>
      <c r="CD536" s="4">
        <f>Base[[#This Row],['[Prod']'[Présentéisme']Jours_gagnés]]/Base[[#This Row],['[Prod']Jours_ouvrés]]</f>
        <v>1.4235129755069256E-4</v>
      </c>
      <c r="CE536">
        <v>9.3428413505841454E-2</v>
      </c>
      <c r="CF536">
        <v>2.1038737314955848E-2</v>
      </c>
      <c r="CG536" s="4">
        <v>11</v>
      </c>
      <c r="CH536" s="4">
        <v>0.99648427619813984</v>
      </c>
      <c r="CI536" s="4">
        <v>0.42377466100567313</v>
      </c>
      <c r="CJ536" s="4">
        <f>IF(Base[[#This Row],[Secteur]]&lt;&gt;"Moyenne",Base[[#This Row],['[Prod']'[Turnover']DMC_initiale]]*(1+Base[[#This Row],['[Prod']'[Turnover']Ecart_accidents]]*Base[[#This Row],['[Prod']Impact_motifs_turnover]]),CJ519*CI519+CJ520*CI520+CJ521*CI521+CJ522*CI522+CJ523*CI523+CJ524*CI524+CJ525*CI525+CJ526*CI526+CJ527*CI527+CJ528*CI528+CJ529*CI529+CJ530*CI530+CJ531*CI531+CJ532*CI532+CJ533*CI533+CJ534*CI534+CJ535*CI535)</f>
        <v>11.230612480179582</v>
      </c>
      <c r="CK536" s="4">
        <f>1/Base[[#This Row],['[Prod']'[Turnover']DMC_initiale]]</f>
        <v>9.0909090909090912E-2</v>
      </c>
      <c r="CL536" s="4">
        <f>1/Base[[#This Row],['[Prod']'[Turnover']DMC_finale]]</f>
        <v>8.9042338676083466E-2</v>
      </c>
    </row>
    <row r="537" spans="2:90" x14ac:dyDescent="0.25">
      <c r="B537" s="4" t="s">
        <v>331</v>
      </c>
      <c r="C537">
        <v>30</v>
      </c>
      <c r="D537" t="s">
        <v>85</v>
      </c>
      <c r="E537" t="s">
        <v>6</v>
      </c>
      <c r="F537" s="3">
        <v>0.2394762125172728</v>
      </c>
      <c r="G537" s="3">
        <v>8.741584028593305E-3</v>
      </c>
      <c r="H537" s="3">
        <v>8.741584028593305E-3</v>
      </c>
      <c r="I537" s="3">
        <v>6.8000000000000005E-2</v>
      </c>
      <c r="J537" s="3">
        <v>16.260750000000002</v>
      </c>
      <c r="K537" s="3">
        <v>7.0000000000000007E-2</v>
      </c>
      <c r="L537" s="2">
        <f>Base[[#This Row],[Coût]]*Base[[#This Row],[Part_ménages_dépenses_santé]]</f>
        <v>1.1382525000000001</v>
      </c>
      <c r="M537" s="2">
        <v>0.99809973356799431</v>
      </c>
      <c r="N537" s="6">
        <v>27700000</v>
      </c>
      <c r="O537" s="7">
        <f>Base[[#This Row],[Coût_salarié]]*10^9*Base[[#This Row],[Risque]]*Base[[#This Row],[Prévalence]]*Base[[#This Row],[Part_coûts_salarié]]/Base[[#This Row],[Population_emploi]]</f>
        <v>8.5858896196795667E-2</v>
      </c>
      <c r="P537">
        <v>50</v>
      </c>
      <c r="Q537">
        <v>50</v>
      </c>
      <c r="R537" s="2">
        <v>9.9999999999999978E-2</v>
      </c>
      <c r="S537" s="2">
        <v>0.33340000000000003</v>
      </c>
      <c r="T537" s="4">
        <v>8.741584028593305E-3</v>
      </c>
      <c r="U537" s="4">
        <f>IF(Bases_annexes!$F$5=0,16.6587111018772,0.77*Bases_annexes!$F$5/(IF(OR(ISBLANK('Données_d''entrée'!$E$44),'Données_d''entrée'!$E$44=0),35,'Données_d''entrée'!$E$44)*52))</f>
        <v>16.658711101877199</v>
      </c>
      <c r="V537" s="4">
        <v>80.324106187301894</v>
      </c>
      <c r="W5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7" s="4">
        <v>234.5</v>
      </c>
      <c r="Y537" s="4">
        <f>(Base[[#This Row],['[Maladies']Coûts_évités_par_salarié]]+Base[[#This Row],['[Travail']Coûts_évités_par_salarié]])/Base[[#This Row],[Budget_santé_salarié]]</f>
        <v>5.6915831714551314E-3</v>
      </c>
      <c r="Z537" s="4">
        <v>0.8</v>
      </c>
      <c r="AA537" s="4">
        <f>Base[[#This Row],[Coût]]*Base[[#This Row],[Part_société_dépenses_santé]]</f>
        <v>13.008600000000001</v>
      </c>
      <c r="AB537" s="4">
        <v>67635124</v>
      </c>
      <c r="AC537" s="4">
        <v>82.297079063317852</v>
      </c>
      <c r="AD537" s="4">
        <v>8.741584028593305E-3</v>
      </c>
      <c r="AE537" s="4">
        <f>Base[[#This Row],['[SC']Prévalence_travail]]*Base[[#This Row],[Population_emploi]]</f>
        <v>242141.87759203455</v>
      </c>
      <c r="AF537" s="4">
        <f>Base[[#This Row],[Risque]]*Base[[#This Row],['[SC']Patients_en_emploi]]</f>
        <v>57987.219737561521</v>
      </c>
      <c r="AG537" s="4">
        <v>1022040000</v>
      </c>
      <c r="AH537" s="4">
        <f>IFERROR(Base[[#This Row],['[SC']Prestations]]/Base[[#This Row],['[SC']Patients_en_emploi]],0)</f>
        <v>4220.8312340005614</v>
      </c>
      <c r="AI537" s="4">
        <v>51.7</v>
      </c>
      <c r="AJ5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7" s="4">
        <f>Base[[#This Row],['[SC']'[Travail']Coûts_évités]]/Base[[#This Row],[Population_emploi]]</f>
        <v>8.8358941603304508</v>
      </c>
      <c r="AL537" s="4">
        <f>Base[[#This Row],[Coût_société]]*10^9*Base[[#This Row],[Risque]]*Base[[#This Row],[Prévalence]]*Base[[#This Row],[Part_coûts_salarié]]/Base[[#This Row],[Population_emploi]]</f>
        <v>0.98124452796337913</v>
      </c>
      <c r="AM537" s="4">
        <f>IF(Base[[#This Row],[Pathologie]]&lt;&gt;"Dépendance",0,14909.24243952)</f>
        <v>0</v>
      </c>
      <c r="AN537" s="4">
        <f>IF(Base[[#This Row],[Pathologie]]&lt;&gt;"Dépendance",0,1316000)</f>
        <v>0</v>
      </c>
      <c r="AO537" s="4">
        <f>IF(Base[[#This Row],[Pathologie]]&lt;&gt;"Dépendance",0,Base[[#This Row],['[SC']Coût_personne_dépendante]]*Base[[#This Row],['[SC']Nb_personnes_dépendantes]])</f>
        <v>0</v>
      </c>
      <c r="AP537" s="4">
        <f>IF(Base[[#This Row],[Pathologie]]&lt;&gt;"Dépendance",0,Base[[#This Row],['[SC']Coût_total_dépendance]]/Base[[#This Row],[Population_totale]])</f>
        <v>0</v>
      </c>
      <c r="AQ537" s="4">
        <f>IF(Base[[#This Row],[Pathologie]]&lt;&gt;"Dépendance",0,4.5)</f>
        <v>0</v>
      </c>
      <c r="AR537" s="4">
        <v>1.0077957276768601</v>
      </c>
      <c r="AS537" s="4">
        <f>Base[[#This Row],[Espérance_vie]]+Base[[#This Row],['[SC']Hausse_esp_de_vie]]-Base[[#This Row],['[SC']Durée_moyenne_dépendance_avt]]+Base[[#This Row],[Risque]]</f>
        <v>83.544351003511991</v>
      </c>
      <c r="AT5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7" s="4">
        <v>62.9</v>
      </c>
      <c r="AW537" s="4">
        <f t="shared" si="15"/>
        <v>336905600000</v>
      </c>
      <c r="AX537" s="4">
        <v>15049171</v>
      </c>
      <c r="AY537" s="4">
        <f>Base[[#This Row],['[SC']Budget_total_retraites]]/Base[[#This Row],['[SC']Nombre_de_retraités]]</f>
        <v>22386.987296509556</v>
      </c>
      <c r="AZ537" s="4">
        <f>Base[[#This Row],['[SC']Budget_par_retraité]]*Base[[#This Row],['[SC']Nb_personnes_dépendantes]]</f>
        <v>0</v>
      </c>
      <c r="BA537" s="4">
        <f>Base[[#This Row],['[SC']'[Dépendance']Coût_retraite_personnes_dépendantes]]/Base[[#This Row],[Population_totale]]</f>
        <v>0</v>
      </c>
      <c r="BB53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7" s="4">
        <f>Base[[#This Row],['[SC']'[Dépendance']Gains]]-Base[[#This Row],['[SC']'[Dépendance']Coûts]]</f>
        <v>0</v>
      </c>
      <c r="BD537" s="4">
        <f>IF(Base[[#This Row],[Pathologie]]&lt;&gt;"Mort prématurée",0,Base[[#This Row],[Risque]]*Base[[#This Row],[Prévalence]]*Base[[#This Row],[Population_totale]])</f>
        <v>0</v>
      </c>
      <c r="BE537" s="4">
        <v>52.74</v>
      </c>
      <c r="BF537" s="4">
        <f>Base[[#This Row],['[SC']Âge_moyen_retraite]]-Base[[#This Row],['[SC']'[Mort_prématurée']Âge_moyen_mort précoce]]</f>
        <v>10.159999999999997</v>
      </c>
      <c r="BG537" s="4">
        <f>Base[[#This Row],[Espérance_vie]]+Base[[#This Row],['[SC']Hausse_esp_de_vie]]-Base[[#This Row],['[SC']Âge_moyen_retraite]]</f>
        <v>20.404874790994718</v>
      </c>
      <c r="BH537" s="4">
        <v>106583.42676924677</v>
      </c>
      <c r="BI537" s="4">
        <v>97601.789429271477</v>
      </c>
      <c r="BJ537" s="4">
        <v>302038.31496633729</v>
      </c>
      <c r="BK537" s="4">
        <v>117293.58934859755</v>
      </c>
      <c r="BL537" s="4">
        <v>1523999.9999999995</v>
      </c>
      <c r="BM5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7" s="4">
        <v>294804.96027377353</v>
      </c>
      <c r="BO5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7" s="4">
        <f>(Base[[#This Row],['[SC']'[Mort_prématurée']Gains]]-Base[[#This Row],['[SC']'[Mort_prématurée']Coûts]])/Base[[#This Row],[Population_totale]]</f>
        <v>0</v>
      </c>
      <c r="BQ537" s="4">
        <f>IF(Base[[#This Row],[Pathologie]]&lt;&gt;"Mort prématurée",0,Base[[#This Row],[Risque]])</f>
        <v>0</v>
      </c>
      <c r="BR537" s="4">
        <v>2680</v>
      </c>
      <c r="BS5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7" s="4">
        <f>Base[[#This Row],[Prévalence_prod]]*(1-Base[[#This Row],[Risque]])*Base[[#This Row],[Durée_arrêt]]*Base[[#This Row],[Population_emploi]]</f>
        <v>14792058.292388938</v>
      </c>
      <c r="BV537" s="4">
        <f>Base[[#This Row],['[Prod']'[Absentéisme']Total_jours_absence_avant]]-Base[[#This Row],['[Prod']'[Absentéisme']Total_jours_absence_après]]</f>
        <v>4657771.5957063027</v>
      </c>
      <c r="BW537" s="4">
        <f>IF(AND(Base[[#This Row],[Pathologie]]&lt;&gt;"Dépendance",Base[[#This Row],[Pathologie]]&lt;&gt;"Mort prématurée",Base[[#This Row],[Pathologie]]&lt;&gt;"Migraine"),0.0619,0)</f>
        <v>6.1899999999999997E-2</v>
      </c>
      <c r="BX537" s="4">
        <v>254</v>
      </c>
      <c r="BY537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7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7" s="4">
        <f>Base[[#This Row],[Prévalence_prod]]*Base[[#This Row],[Présentéisme]]*Base[[#This Row],['[Prod']Jours_ouvrés]]</f>
        <v>0.15098463934186357</v>
      </c>
      <c r="CB537" s="4">
        <f>Base[[#This Row],[Prévalence_prod]]*(1-Base[[#This Row],[Risque]])*Base[[#This Row],[Présentéisme]]*Base[[#This Row],['[Prod']Jours_ouvrés]]</f>
        <v>0.11482740976398766</v>
      </c>
      <c r="CC537" s="4">
        <f>Base[[#This Row],['[Prod']'[Présentéisme']Jours_avant]]-Base[[#This Row],['[Prod']'[Présentéisme']Jours_après]]</f>
        <v>3.6157229577875913E-2</v>
      </c>
      <c r="CD537" s="4">
        <f>Base[[#This Row],['[Prod']'[Présentéisme']Jours_gagnés]]/Base[[#This Row],['[Prod']Jours_ouvrés]]</f>
        <v>1.4235129755069256E-4</v>
      </c>
      <c r="CE537">
        <v>9.3428413505841454E-2</v>
      </c>
      <c r="CF537">
        <v>2.1038737314955848E-2</v>
      </c>
      <c r="CG537" s="4">
        <v>11</v>
      </c>
      <c r="CH537" s="4">
        <v>1.1593596509901765</v>
      </c>
      <c r="CI537" s="4">
        <v>4.0741311947357597E-2</v>
      </c>
      <c r="CJ537" s="4">
        <f>IF(Base[[#This Row],[Secteur]]&lt;&gt;"Moyenne",Base[[#This Row],['[Prod']'[Turnover']DMC_initiale]]*(1+Base[[#This Row],['[Prod']'[Turnover']Ecart_accidents]]*Base[[#This Row],['[Prod']Impact_motifs_turnover]]),CJ520*CI520+CJ521*CI521+CJ522*CI522+CJ523*CI523+CJ524*CI524+CJ525*CI525+CJ526*CI526+CJ527*CI527+CJ528*CI528+CJ529*CI529+CJ530*CI530+CJ531*CI531+CJ532*CI532+CJ533*CI533+CJ534*CI534+CJ535*CI535+CJ536*CI536)</f>
        <v>11.268306094658152</v>
      </c>
      <c r="CK537" s="4">
        <f>1/Base[[#This Row],['[Prod']'[Turnover']DMC_initiale]]</f>
        <v>9.0909090909090912E-2</v>
      </c>
      <c r="CL537" s="4">
        <f>1/Base[[#This Row],['[Prod']'[Turnover']DMC_finale]]</f>
        <v>8.8744483119256007E-2</v>
      </c>
    </row>
    <row r="538" spans="2:90" x14ac:dyDescent="0.25">
      <c r="B538" s="4" t="s">
        <v>332</v>
      </c>
      <c r="C538">
        <v>30</v>
      </c>
      <c r="D538" t="s">
        <v>85</v>
      </c>
      <c r="E538" t="s">
        <v>6</v>
      </c>
      <c r="F538" s="3">
        <v>0.2394762125172728</v>
      </c>
      <c r="G538" s="3">
        <v>8.741584028593305E-3</v>
      </c>
      <c r="H538" s="3">
        <v>8.741584028593305E-3</v>
      </c>
      <c r="I538" s="3">
        <v>6.8000000000000005E-2</v>
      </c>
      <c r="J538" s="3">
        <v>16.260750000000002</v>
      </c>
      <c r="K538" s="3">
        <v>7.0000000000000007E-2</v>
      </c>
      <c r="L538" s="2">
        <f>Base[[#This Row],[Coût]]*Base[[#This Row],[Part_ménages_dépenses_santé]]</f>
        <v>1.1382525000000001</v>
      </c>
      <c r="M538" s="2">
        <v>0.99809973356799431</v>
      </c>
      <c r="N538" s="6">
        <v>27700000</v>
      </c>
      <c r="O538" s="7">
        <f>Base[[#This Row],[Coût_salarié]]*10^9*Base[[#This Row],[Risque]]*Base[[#This Row],[Prévalence]]*Base[[#This Row],[Part_coûts_salarié]]/Base[[#This Row],[Population_emploi]]</f>
        <v>8.5858896196795667E-2</v>
      </c>
      <c r="P538">
        <v>50</v>
      </c>
      <c r="Q538">
        <v>50</v>
      </c>
      <c r="R538" s="2">
        <v>9.9999999999999978E-2</v>
      </c>
      <c r="S538" s="2">
        <v>0.33340000000000003</v>
      </c>
      <c r="T538" s="4">
        <v>8.741584028593305E-3</v>
      </c>
      <c r="U538" s="4">
        <f>IF(Bases_annexes!$F$5=0,16.6587111018772,0.77*Bases_annexes!$F$5/(IF(OR(ISBLANK('Données_d''entrée'!$E$44),'Données_d''entrée'!$E$44=0),35,'Données_d''entrée'!$E$44)*52))</f>
        <v>16.658711101877199</v>
      </c>
      <c r="V538" s="4">
        <v>80.324106187301894</v>
      </c>
      <c r="W5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1.2488173575094326</v>
      </c>
      <c r="X538" s="4">
        <v>234.5</v>
      </c>
      <c r="Y538" s="4">
        <f>(Base[[#This Row],['[Maladies']Coûts_évités_par_salarié]]+Base[[#This Row],['[Travail']Coûts_évités_par_salarié]])/Base[[#This Row],[Budget_santé_salarié]]</f>
        <v>5.6915831714551314E-3</v>
      </c>
      <c r="Z538" s="4">
        <v>0.8</v>
      </c>
      <c r="AA538" s="4">
        <f>Base[[#This Row],[Coût]]*Base[[#This Row],[Part_société_dépenses_santé]]</f>
        <v>13.008600000000001</v>
      </c>
      <c r="AB538" s="4">
        <v>67635124</v>
      </c>
      <c r="AC538" s="4">
        <v>82.297079063317852</v>
      </c>
      <c r="AD538" s="4">
        <v>8.741584028593305E-3</v>
      </c>
      <c r="AE538" s="4">
        <f>Base[[#This Row],['[SC']Prévalence_travail]]*Base[[#This Row],[Population_emploi]]</f>
        <v>242141.87759203455</v>
      </c>
      <c r="AF538" s="4">
        <f>Base[[#This Row],[Risque]]*Base[[#This Row],['[SC']Patients_en_emploi]]</f>
        <v>57987.219737561521</v>
      </c>
      <c r="AG538" s="4">
        <v>1022040000</v>
      </c>
      <c r="AH538" s="4">
        <f>IFERROR(Base[[#This Row],['[SC']Prestations]]/Base[[#This Row],['[SC']Patients_en_emploi]],0)</f>
        <v>4220.8312340005614</v>
      </c>
      <c r="AI538" s="4">
        <v>51.7</v>
      </c>
      <c r="AJ5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244754268.24115351</v>
      </c>
      <c r="AK538" s="4">
        <f>Base[[#This Row],['[SC']'[Travail']Coûts_évités]]/Base[[#This Row],[Population_emploi]]</f>
        <v>8.8358941603304508</v>
      </c>
      <c r="AL538" s="4">
        <f>Base[[#This Row],[Coût_société]]*10^9*Base[[#This Row],[Risque]]*Base[[#This Row],[Prévalence]]*Base[[#This Row],[Part_coûts_salarié]]/Base[[#This Row],[Population_emploi]]</f>
        <v>0.98124452796337913</v>
      </c>
      <c r="AM538" s="4">
        <f>IF(Base[[#This Row],[Pathologie]]&lt;&gt;"Dépendance",0,14909.24243952)</f>
        <v>0</v>
      </c>
      <c r="AN538" s="4">
        <f>IF(Base[[#This Row],[Pathologie]]&lt;&gt;"Dépendance",0,1316000)</f>
        <v>0</v>
      </c>
      <c r="AO538" s="4">
        <f>IF(Base[[#This Row],[Pathologie]]&lt;&gt;"Dépendance",0,Base[[#This Row],['[SC']Coût_personne_dépendante]]*Base[[#This Row],['[SC']Nb_personnes_dépendantes]])</f>
        <v>0</v>
      </c>
      <c r="AP538" s="4">
        <f>IF(Base[[#This Row],[Pathologie]]&lt;&gt;"Dépendance",0,Base[[#This Row],['[SC']Coût_total_dépendance]]/Base[[#This Row],[Population_totale]])</f>
        <v>0</v>
      </c>
      <c r="AQ538" s="4">
        <f>IF(Base[[#This Row],[Pathologie]]&lt;&gt;"Dépendance",0,4.5)</f>
        <v>0</v>
      </c>
      <c r="AR538" s="4">
        <v>1.0077957276768601</v>
      </c>
      <c r="AS538" s="4">
        <f>Base[[#This Row],[Espérance_vie]]+Base[[#This Row],['[SC']Hausse_esp_de_vie]]-Base[[#This Row],['[SC']Durée_moyenne_dépendance_avt]]+Base[[#This Row],[Risque]]</f>
        <v>83.544351003511991</v>
      </c>
      <c r="AT5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8" s="4">
        <v>62.9</v>
      </c>
      <c r="AW538" s="4">
        <f t="shared" si="15"/>
        <v>336905600000</v>
      </c>
      <c r="AX538" s="4">
        <v>15049171</v>
      </c>
      <c r="AY538" s="4">
        <f>Base[[#This Row],['[SC']Budget_total_retraites]]/Base[[#This Row],['[SC']Nombre_de_retraités]]</f>
        <v>22386.987296509556</v>
      </c>
      <c r="AZ538" s="4">
        <f>Base[[#This Row],['[SC']Budget_par_retraité]]*Base[[#This Row],['[SC']Nb_personnes_dépendantes]]</f>
        <v>0</v>
      </c>
      <c r="BA538" s="4">
        <f>Base[[#This Row],['[SC']'[Dépendance']Coût_retraite_personnes_dépendantes]]/Base[[#This Row],[Population_totale]]</f>
        <v>0</v>
      </c>
      <c r="BB53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8" s="4">
        <f>Base[[#This Row],['[SC']'[Dépendance']Gains]]-Base[[#This Row],['[SC']'[Dépendance']Coûts]]</f>
        <v>0</v>
      </c>
      <c r="BD538" s="4">
        <f>IF(Base[[#This Row],[Pathologie]]&lt;&gt;"Mort prématurée",0,Base[[#This Row],[Risque]]*Base[[#This Row],[Prévalence]]*Base[[#This Row],[Population_totale]])</f>
        <v>0</v>
      </c>
      <c r="BE538" s="4">
        <v>52.74</v>
      </c>
      <c r="BF538" s="4">
        <f>Base[[#This Row],['[SC']Âge_moyen_retraite]]-Base[[#This Row],['[SC']'[Mort_prématurée']Âge_moyen_mort précoce]]</f>
        <v>10.159999999999997</v>
      </c>
      <c r="BG538" s="4">
        <f>Base[[#This Row],[Espérance_vie]]+Base[[#This Row],['[SC']Hausse_esp_de_vie]]-Base[[#This Row],['[SC']Âge_moyen_retraite]]</f>
        <v>20.404874790994718</v>
      </c>
      <c r="BH538" s="4">
        <v>106583.42676924677</v>
      </c>
      <c r="BI538" s="4">
        <v>97601.789429271477</v>
      </c>
      <c r="BJ538" s="4">
        <v>302038.31496633729</v>
      </c>
      <c r="BK538" s="4">
        <v>117293.58934859755</v>
      </c>
      <c r="BL538" s="4">
        <v>1523999.9999999995</v>
      </c>
      <c r="BM5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8" s="4">
        <v>294804.96027377353</v>
      </c>
      <c r="BO5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8" s="4">
        <f>(Base[[#This Row],['[SC']'[Mort_prématurée']Gains]]-Base[[#This Row],['[SC']'[Mort_prématurée']Coûts]])/Base[[#This Row],[Population_totale]]</f>
        <v>0</v>
      </c>
      <c r="BQ538" s="4">
        <f>IF(Base[[#This Row],[Pathologie]]&lt;&gt;"Mort prématurée",0,Base[[#This Row],[Risque]])</f>
        <v>0</v>
      </c>
      <c r="BR538" s="4">
        <v>2680</v>
      </c>
      <c r="BS5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3.663111450855907E-3</v>
      </c>
      <c r="BT5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19449829.888095241</v>
      </c>
      <c r="BU538" s="4">
        <f>Base[[#This Row],[Prévalence_prod]]*(1-Base[[#This Row],[Risque]])*Base[[#This Row],[Durée_arrêt]]*Base[[#This Row],[Population_emploi]]</f>
        <v>14792058.292388938</v>
      </c>
      <c r="BV538" s="4">
        <f>Base[[#This Row],['[Prod']'[Absentéisme']Total_jours_absence_avant]]-Base[[#This Row],['[Prod']'[Absentéisme']Total_jours_absence_après]]</f>
        <v>4657771.5957063027</v>
      </c>
      <c r="BW538" s="4">
        <f>IF(AND(Base[[#This Row],[Pathologie]]&lt;&gt;"Dépendance",Base[[#This Row],[Pathologie]]&lt;&gt;"Mort prématurée",Base[[#This Row],[Pathologie]]&lt;&gt;"Migraine"),0.0619,0)</f>
        <v>6.1899999999999997E-2</v>
      </c>
      <c r="BX538" s="4">
        <v>254</v>
      </c>
      <c r="BY538" s="4">
        <f>Base[[#This Row],['[Prod']'[Absentéisme']Taux_initial]]*Base[[#This Row],['[Prod']Jours_ouvrés]]*Base[[#This Row],[Population_emploi]]*Base[[#This Row],['[Prod']'[Absentéisme']Total_jours_absence_avant]]/211051099.251489</f>
        <v>40135836.92566587</v>
      </c>
      <c r="BZ538" s="4">
        <f>(Base[[#This Row],['[Prod']'[Absentéisme']Jours_théoriques]]-Base[[#This Row],['[Prod']'[Absentéisme']Total_jours_absence_évités]])/(Base[[#This Row],[Population_emploi]]*Base[[#This Row],['[Prod']Jours_ouvrés]])</f>
        <v>5.0425062295630305E-3</v>
      </c>
      <c r="CA538" s="4">
        <f>Base[[#This Row],[Prévalence_prod]]*Base[[#This Row],[Présentéisme]]*Base[[#This Row],['[Prod']Jours_ouvrés]]</f>
        <v>0.15098463934186357</v>
      </c>
      <c r="CB538" s="4">
        <f>Base[[#This Row],[Prévalence_prod]]*(1-Base[[#This Row],[Risque]])*Base[[#This Row],[Présentéisme]]*Base[[#This Row],['[Prod']Jours_ouvrés]]</f>
        <v>0.11482740976398766</v>
      </c>
      <c r="CC538" s="4">
        <f>Base[[#This Row],['[Prod']'[Présentéisme']Jours_avant]]-Base[[#This Row],['[Prod']'[Présentéisme']Jours_après]]</f>
        <v>3.6157229577875913E-2</v>
      </c>
      <c r="CD538" s="4">
        <f>Base[[#This Row],['[Prod']'[Présentéisme']Jours_gagnés]]/Base[[#This Row],['[Prod']Jours_ouvrés]]</f>
        <v>1.4235129755069256E-4</v>
      </c>
      <c r="CE538">
        <v>9.3428413505841454E-2</v>
      </c>
      <c r="CF538">
        <v>2.1038737314955848E-2</v>
      </c>
      <c r="CG538" s="4">
        <v>11</v>
      </c>
      <c r="CH538" s="4">
        <v>0.85076983926913452</v>
      </c>
      <c r="CI538" s="4">
        <v>0</v>
      </c>
      <c r="CJ538" s="4">
        <f>IF(Base[[#This Row],[Secteur]]&lt;&gt;"Moyenne",Base[[#This Row],['[Prod']'[Turnover']DMC_initiale]]*(1+Base[[#This Row],['[Prod']'[Turnover']Ecart_accidents]]*Base[[#This Row],['[Prod']Impact_motifs_turnover]]),CJ521*CI521+CJ522*CI522+CJ523*CI523+CJ524*CI524+CJ525*CI525+CJ526*CI526+CJ527*CI527+CJ528*CI528+CJ529*CI529+CJ530*CI530+CJ531*CI531+CJ532*CI532+CJ533*CI533+CJ534*CI534+CJ535*CI535+CJ536*CI536+CJ537*CI537)</f>
        <v>11.196890354802576</v>
      </c>
      <c r="CK538" s="4">
        <f>1/Base[[#This Row],['[Prod']'[Turnover']DMC_initiale]]</f>
        <v>9.0909090909090912E-2</v>
      </c>
      <c r="CL538" s="4">
        <f>1/Base[[#This Row],['[Prod']'[Turnover']DMC_finale]]</f>
        <v>8.9310511071592255E-2</v>
      </c>
    </row>
    <row r="539" spans="2:90" x14ac:dyDescent="0.25">
      <c r="B539" s="4" t="s">
        <v>315</v>
      </c>
      <c r="C539">
        <v>30</v>
      </c>
      <c r="D539" t="s">
        <v>85</v>
      </c>
      <c r="E539" t="s">
        <v>8</v>
      </c>
      <c r="F539" s="3">
        <v>0.20954168595261374</v>
      </c>
      <c r="G539" s="3">
        <v>4.1000000000000002E-2</v>
      </c>
      <c r="H539" s="3">
        <v>4.1000000000000002E-2</v>
      </c>
      <c r="I539" s="3">
        <v>0.17199999999999999</v>
      </c>
      <c r="J539" s="3">
        <v>3.8954334592466999</v>
      </c>
      <c r="K539" s="3">
        <v>7.0000000000000007E-2</v>
      </c>
      <c r="L539" s="2">
        <f>Base[[#This Row],[Coût]]*Base[[#This Row],[Part_ménages_dépenses_santé]]</f>
        <v>0.27268034214726899</v>
      </c>
      <c r="M539" s="2">
        <v>0.82690611956969029</v>
      </c>
      <c r="N539" s="6">
        <v>27700000</v>
      </c>
      <c r="O539" s="7">
        <f>Base[[#This Row],[Coût_salarié]]*10^9*Base[[#This Row],[Risque]]*Base[[#This Row],[Prévalence]]*Base[[#This Row],[Part_coûts_salarié]]/Base[[#This Row],[Population_emploi]]</f>
        <v>6.9933386250772972E-2</v>
      </c>
      <c r="P539">
        <v>50</v>
      </c>
      <c r="Q539">
        <v>50</v>
      </c>
      <c r="R539" s="2">
        <v>9.9999999999999978E-2</v>
      </c>
      <c r="S539" s="2">
        <v>0.33340000000000003</v>
      </c>
      <c r="T539" s="4">
        <v>4.1000000000000002E-2</v>
      </c>
      <c r="U539" s="4">
        <f>IF(Bases_annexes!$F$5=0,16.6587111018772,0.77*Bases_annexes!$F$5/(IF(OR(ISBLANK('Données_d''entrée'!$E$44),'Données_d''entrée'!$E$44=0),35,'Données_d''entrée'!$E$44)*52))</f>
        <v>16.658711101877199</v>
      </c>
      <c r="V539" s="4">
        <v>6.5286422873795198</v>
      </c>
      <c r="W5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39" s="4">
        <v>234.5</v>
      </c>
      <c r="Y539" s="4">
        <f>(Base[[#This Row],['[Maladies']Coûts_évités_par_salarié]]+Base[[#This Row],['[Travail']Coûts_évités_par_salarié]])/Base[[#This Row],[Budget_santé_salarié]]</f>
        <v>1.4622307015292638E-2</v>
      </c>
      <c r="Z539" s="4">
        <v>0.8</v>
      </c>
      <c r="AA539" s="4">
        <f>Base[[#This Row],[Coût]]*Base[[#This Row],[Part_société_dépenses_santé]]</f>
        <v>3.1163467673973599</v>
      </c>
      <c r="AB539" s="4">
        <v>67635124</v>
      </c>
      <c r="AC539" s="4">
        <v>82.297079063317852</v>
      </c>
      <c r="AD539" s="4">
        <v>0.11599999999999999</v>
      </c>
      <c r="AE539" s="4">
        <f>Base[[#This Row],['[SC']Prévalence_travail]]*Base[[#This Row],[Population_emploi]]</f>
        <v>3213200</v>
      </c>
      <c r="AF539" s="4">
        <f>Base[[#This Row],[Risque]]*Base[[#This Row],['[SC']Patients_en_emploi]]</f>
        <v>673299.34530293848</v>
      </c>
      <c r="AG539" s="4">
        <v>552654220.25999999</v>
      </c>
      <c r="AH539" s="4">
        <f>IFERROR(Base[[#This Row],['[SC']Prestations]]/Base[[#This Row],['[SC']Patients_en_emploi]],0)</f>
        <v>171.99496460226564</v>
      </c>
      <c r="AI539" s="4">
        <v>51.7</v>
      </c>
      <c r="AJ5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39" s="4">
        <f>Base[[#This Row],['[SC']'[Travail']Coûts_évités]]/Base[[#This Row],[Population_emploi]]</f>
        <v>4.1806533235417884</v>
      </c>
      <c r="AL539" s="4">
        <f>Base[[#This Row],[Coût_société]]*10^9*Base[[#This Row],[Risque]]*Base[[#This Row],[Prévalence]]*Base[[#This Row],[Part_coûts_salarié]]/Base[[#This Row],[Population_emploi]]</f>
        <v>0.7992387000088339</v>
      </c>
      <c r="AM539" s="4">
        <f>IF(Base[[#This Row],[Pathologie]]&lt;&gt;"Dépendance",0,14909.24243952)</f>
        <v>0</v>
      </c>
      <c r="AN539" s="4">
        <f>IF(Base[[#This Row],[Pathologie]]&lt;&gt;"Dépendance",0,1316000)</f>
        <v>0</v>
      </c>
      <c r="AO539" s="4">
        <f>IF(Base[[#This Row],[Pathologie]]&lt;&gt;"Dépendance",0,Base[[#This Row],['[SC']Coût_personne_dépendante]]*Base[[#This Row],['[SC']Nb_personnes_dépendantes]])</f>
        <v>0</v>
      </c>
      <c r="AP539" s="4">
        <f>IF(Base[[#This Row],[Pathologie]]&lt;&gt;"Dépendance",0,Base[[#This Row],['[SC']Coût_total_dépendance]]/Base[[#This Row],[Population_totale]])</f>
        <v>0</v>
      </c>
      <c r="AQ539" s="4">
        <f>IF(Base[[#This Row],[Pathologie]]&lt;&gt;"Dépendance",0,4.5)</f>
        <v>0</v>
      </c>
      <c r="AR539" s="4">
        <v>1.0077957276768601</v>
      </c>
      <c r="AS539" s="4">
        <f>Base[[#This Row],[Espérance_vie]]+Base[[#This Row],['[SC']Hausse_esp_de_vie]]-Base[[#This Row],['[SC']Durée_moyenne_dépendance_avt]]+Base[[#This Row],[Risque]]</f>
        <v>83.514416476947332</v>
      </c>
      <c r="AT5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39" s="4">
        <v>62.9</v>
      </c>
      <c r="AW539" s="4">
        <f t="shared" si="0"/>
        <v>336905600000</v>
      </c>
      <c r="AX539" s="4">
        <v>15049171</v>
      </c>
      <c r="AY539" s="4">
        <f>Base[[#This Row],['[SC']Budget_total_retraites]]/Base[[#This Row],['[SC']Nombre_de_retraités]]</f>
        <v>22386.987296509556</v>
      </c>
      <c r="AZ539" s="4">
        <f>Base[[#This Row],['[SC']Budget_par_retraité]]*Base[[#This Row],['[SC']Nb_personnes_dépendantes]]</f>
        <v>0</v>
      </c>
      <c r="BA539" s="4">
        <f>Base[[#This Row],['[SC']'[Dépendance']Coût_retraite_personnes_dépendantes]]/Base[[#This Row],[Population_totale]]</f>
        <v>0</v>
      </c>
      <c r="BB53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39" s="4">
        <f>Base[[#This Row],['[SC']'[Dépendance']Gains]]-Base[[#This Row],['[SC']'[Dépendance']Coûts]]</f>
        <v>0</v>
      </c>
      <c r="BD539" s="4">
        <f>IF(Base[[#This Row],[Pathologie]]&lt;&gt;"Mort prématurée",0,Base[[#This Row],[Risque]]*Base[[#This Row],[Prévalence]]*Base[[#This Row],[Population_totale]])</f>
        <v>0</v>
      </c>
      <c r="BE539" s="4">
        <v>52.74</v>
      </c>
      <c r="BF539" s="4">
        <f>Base[[#This Row],['[SC']Âge_moyen_retraite]]-Base[[#This Row],['[SC']'[Mort_prématurée']Âge_moyen_mort précoce]]</f>
        <v>10.159999999999997</v>
      </c>
      <c r="BG539" s="4">
        <f>Base[[#This Row],[Espérance_vie]]+Base[[#This Row],['[SC']Hausse_esp_de_vie]]-Base[[#This Row],['[SC']Âge_moyen_retraite]]</f>
        <v>20.404874790994718</v>
      </c>
      <c r="BH539" s="4">
        <v>106583.42676924677</v>
      </c>
      <c r="BI539" s="4">
        <v>97601.789429271477</v>
      </c>
      <c r="BJ539" s="4">
        <v>302038.31496633729</v>
      </c>
      <c r="BK539" s="4">
        <v>117293.58934859755</v>
      </c>
      <c r="BL539" s="4">
        <v>1523999.9999999995</v>
      </c>
      <c r="BM5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39" s="4">
        <v>294804.96027377353</v>
      </c>
      <c r="BO5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39" s="4">
        <f>(Base[[#This Row],['[SC']'[Mort_prématurée']Gains]]-Base[[#This Row],['[SC']'[Mort_prématurée']Coûts]])/Base[[#This Row],[Population_totale]]</f>
        <v>0</v>
      </c>
      <c r="BQ539" s="4">
        <f>IF(Base[[#This Row],[Pathologie]]&lt;&gt;"Mort prématurée",0,Base[[#This Row],[Risque]])</f>
        <v>0</v>
      </c>
      <c r="BR539" s="4">
        <v>2680</v>
      </c>
      <c r="BS5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39" s="4">
        <f>Base[[#This Row],[Prévalence_prod]]*(1-Base[[#This Row],[Risque]])*Base[[#This Row],[Durée_arrêt]]*Base[[#This Row],[Population_emploi]]</f>
        <v>5860915.6518959031</v>
      </c>
      <c r="BV539" s="4">
        <f>Base[[#This Row],['[Prod']'[Absentéisme']Total_jours_absence_avant]]-Base[[#This Row],['[Prod']'[Absentéisme']Total_jours_absence_après]]</f>
        <v>1553663.3938810183</v>
      </c>
      <c r="BW539" s="4">
        <f>IF(AND(Base[[#This Row],[Pathologie]]&lt;&gt;"Dépendance",Base[[#This Row],[Pathologie]]&lt;&gt;"Mort prématurée",Base[[#This Row],[Pathologie]]&lt;&gt;"Migraine"),0.0619,0)</f>
        <v>6.1899999999999997E-2</v>
      </c>
      <c r="BX539" s="4">
        <v>254</v>
      </c>
      <c r="BY53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39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39" s="4">
        <f>Base[[#This Row],[Prévalence_prod]]*Base[[#This Row],[Présentéisme]]*Base[[#This Row],['[Prod']Jours_ouvrés]]</f>
        <v>1.7912080000000001</v>
      </c>
      <c r="CB539" s="4">
        <f>Base[[#This Row],[Prévalence_prod]]*(1-Base[[#This Row],[Risque]])*Base[[#This Row],[Présentéisme]]*Base[[#This Row],['[Prod']Jours_ouvrés]]</f>
        <v>1.4158752557881906</v>
      </c>
      <c r="CC539" s="4">
        <f>Base[[#This Row],['[Prod']'[Présentéisme']Jours_avant]]-Base[[#This Row],['[Prod']'[Présentéisme']Jours_après]]</f>
        <v>0.37533274421180951</v>
      </c>
      <c r="CD539" s="4">
        <f>Base[[#This Row],['[Prod']'[Présentéisme']Jours_gagnés]]/Base[[#This Row],['[Prod']Jours_ouvrés]]</f>
        <v>1.4776879693378328E-3</v>
      </c>
      <c r="CE539">
        <v>9.3428413505841454E-2</v>
      </c>
      <c r="CF539">
        <v>2.1038737314955848E-2</v>
      </c>
      <c r="CG539" s="4">
        <v>11</v>
      </c>
      <c r="CH539" s="4">
        <v>1.3966184516047948</v>
      </c>
      <c r="CI539" s="4">
        <v>1.4392894727292521E-2</v>
      </c>
      <c r="CJ539" s="4">
        <f>IF(Base[[#This Row],[Secteur]]&lt;&gt;"Moyenne",Base[[#This Row],['[Prod']'[Turnover']DMC_initiale]]*(1+Base[[#This Row],['[Prod']'[Turnover']Ecart_accidents]]*Base[[#This Row],['[Prod']Impact_motifs_turnover]]),CJ522*CI522+CJ523*CI523+CJ524*CI524+CJ525*CI525+CJ526*CI526+CJ527*CI527+CJ528*CI528+CJ529*CI529+CJ530*CI530+CJ531*CI531+CJ532*CI532+CJ533*CI533+CJ534*CI534+CJ535*CI535+CJ536*CI536+CJ537*CI537+CJ538*CI538)</f>
        <v>11.32321397605787</v>
      </c>
      <c r="CK539" s="4">
        <f>1/Base[[#This Row],['[Prod']'[Turnover']DMC_initiale]]</f>
        <v>9.0909090909090912E-2</v>
      </c>
      <c r="CL539" s="4">
        <f>1/Base[[#This Row],['[Prod']'[Turnover']DMC_finale]]</f>
        <v>8.8314148448879345E-2</v>
      </c>
    </row>
    <row r="540" spans="2:90" x14ac:dyDescent="0.25">
      <c r="B540" s="4" t="s">
        <v>316</v>
      </c>
      <c r="C540">
        <v>30</v>
      </c>
      <c r="D540" t="s">
        <v>85</v>
      </c>
      <c r="E540" t="s">
        <v>8</v>
      </c>
      <c r="F540" s="3">
        <v>0.20954168595261374</v>
      </c>
      <c r="G540" s="3">
        <v>4.1000000000000002E-2</v>
      </c>
      <c r="H540" s="3">
        <v>4.1000000000000002E-2</v>
      </c>
      <c r="I540" s="3">
        <v>0.17199999999999999</v>
      </c>
      <c r="J540" s="3">
        <v>3.8954334592466999</v>
      </c>
      <c r="K540" s="3">
        <v>7.0000000000000007E-2</v>
      </c>
      <c r="L540" s="2">
        <f>Base[[#This Row],[Coût]]*Base[[#This Row],[Part_ménages_dépenses_santé]]</f>
        <v>0.27268034214726899</v>
      </c>
      <c r="M540" s="2">
        <v>0.82690611956969029</v>
      </c>
      <c r="N540" s="6">
        <v>27700000</v>
      </c>
      <c r="O540" s="7">
        <f>Base[[#This Row],[Coût_salarié]]*10^9*Base[[#This Row],[Risque]]*Base[[#This Row],[Prévalence]]*Base[[#This Row],[Part_coûts_salarié]]/Base[[#This Row],[Population_emploi]]</f>
        <v>6.9933386250772972E-2</v>
      </c>
      <c r="P540">
        <v>50</v>
      </c>
      <c r="Q540">
        <v>50</v>
      </c>
      <c r="R540" s="2">
        <v>9.9999999999999978E-2</v>
      </c>
      <c r="S540" s="2">
        <v>0.33340000000000003</v>
      </c>
      <c r="T540" s="4">
        <v>4.1000000000000002E-2</v>
      </c>
      <c r="U540" s="4">
        <f>IF(Bases_annexes!$F$5=0,16.6587111018772,0.77*Bases_annexes!$F$5/(IF(OR(ISBLANK('Données_d''entrée'!$E$44),'Données_d''entrée'!$E$44=0),35,'Données_d''entrée'!$E$44)*52))</f>
        <v>16.658711101877199</v>
      </c>
      <c r="V540" s="4">
        <v>6.5286422873795198</v>
      </c>
      <c r="W5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0" s="4">
        <v>234.5</v>
      </c>
      <c r="Y540" s="4">
        <f>(Base[[#This Row],['[Maladies']Coûts_évités_par_salarié]]+Base[[#This Row],['[Travail']Coûts_évités_par_salarié]])/Base[[#This Row],[Budget_santé_salarié]]</f>
        <v>1.4622307015292638E-2</v>
      </c>
      <c r="Z540" s="4">
        <v>0.8</v>
      </c>
      <c r="AA540" s="4">
        <f>Base[[#This Row],[Coût]]*Base[[#This Row],[Part_société_dépenses_santé]]</f>
        <v>3.1163467673973599</v>
      </c>
      <c r="AB540" s="4">
        <v>67635124</v>
      </c>
      <c r="AC540" s="4">
        <v>82.297079063317852</v>
      </c>
      <c r="AD540" s="4">
        <v>0.11599999999999999</v>
      </c>
      <c r="AE540" s="4">
        <f>Base[[#This Row],['[SC']Prévalence_travail]]*Base[[#This Row],[Population_emploi]]</f>
        <v>3213200</v>
      </c>
      <c r="AF540" s="4">
        <f>Base[[#This Row],[Risque]]*Base[[#This Row],['[SC']Patients_en_emploi]]</f>
        <v>673299.34530293848</v>
      </c>
      <c r="AG540" s="4">
        <v>552654220.25999999</v>
      </c>
      <c r="AH540" s="4">
        <f>IFERROR(Base[[#This Row],['[SC']Prestations]]/Base[[#This Row],['[SC']Patients_en_emploi]],0)</f>
        <v>171.99496460226564</v>
      </c>
      <c r="AI540" s="4">
        <v>51.7</v>
      </c>
      <c r="AJ5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0" s="4">
        <f>Base[[#This Row],['[SC']'[Travail']Coûts_évités]]/Base[[#This Row],[Population_emploi]]</f>
        <v>4.1806533235417884</v>
      </c>
      <c r="AL540" s="4">
        <f>Base[[#This Row],[Coût_société]]*10^9*Base[[#This Row],[Risque]]*Base[[#This Row],[Prévalence]]*Base[[#This Row],[Part_coûts_salarié]]/Base[[#This Row],[Population_emploi]]</f>
        <v>0.7992387000088339</v>
      </c>
      <c r="AM540" s="4">
        <f>IF(Base[[#This Row],[Pathologie]]&lt;&gt;"Dépendance",0,14909.24243952)</f>
        <v>0</v>
      </c>
      <c r="AN540" s="4">
        <f>IF(Base[[#This Row],[Pathologie]]&lt;&gt;"Dépendance",0,1316000)</f>
        <v>0</v>
      </c>
      <c r="AO540" s="4">
        <f>IF(Base[[#This Row],[Pathologie]]&lt;&gt;"Dépendance",0,Base[[#This Row],['[SC']Coût_personne_dépendante]]*Base[[#This Row],['[SC']Nb_personnes_dépendantes]])</f>
        <v>0</v>
      </c>
      <c r="AP540" s="4">
        <f>IF(Base[[#This Row],[Pathologie]]&lt;&gt;"Dépendance",0,Base[[#This Row],['[SC']Coût_total_dépendance]]/Base[[#This Row],[Population_totale]])</f>
        <v>0</v>
      </c>
      <c r="AQ540" s="4">
        <f>IF(Base[[#This Row],[Pathologie]]&lt;&gt;"Dépendance",0,4.5)</f>
        <v>0</v>
      </c>
      <c r="AR540" s="4">
        <v>1.0077957276768601</v>
      </c>
      <c r="AS540" s="4">
        <f>Base[[#This Row],[Espérance_vie]]+Base[[#This Row],['[SC']Hausse_esp_de_vie]]-Base[[#This Row],['[SC']Durée_moyenne_dépendance_avt]]+Base[[#This Row],[Risque]]</f>
        <v>83.514416476947332</v>
      </c>
      <c r="AT5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0" s="4">
        <v>62.9</v>
      </c>
      <c r="AW540" s="4">
        <f t="shared" ref="AW540:AW556" si="16">336905600000</f>
        <v>336905600000</v>
      </c>
      <c r="AX540" s="4">
        <v>15049171</v>
      </c>
      <c r="AY540" s="4">
        <f>Base[[#This Row],['[SC']Budget_total_retraites]]/Base[[#This Row],['[SC']Nombre_de_retraités]]</f>
        <v>22386.987296509556</v>
      </c>
      <c r="AZ540" s="4">
        <f>Base[[#This Row],['[SC']Budget_par_retraité]]*Base[[#This Row],['[SC']Nb_personnes_dépendantes]]</f>
        <v>0</v>
      </c>
      <c r="BA540" s="4">
        <f>Base[[#This Row],['[SC']'[Dépendance']Coût_retraite_personnes_dépendantes]]/Base[[#This Row],[Population_totale]]</f>
        <v>0</v>
      </c>
      <c r="BB54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0" s="4">
        <f>Base[[#This Row],['[SC']'[Dépendance']Gains]]-Base[[#This Row],['[SC']'[Dépendance']Coûts]]</f>
        <v>0</v>
      </c>
      <c r="BD540" s="4">
        <f>IF(Base[[#This Row],[Pathologie]]&lt;&gt;"Mort prématurée",0,Base[[#This Row],[Risque]]*Base[[#This Row],[Prévalence]]*Base[[#This Row],[Population_totale]])</f>
        <v>0</v>
      </c>
      <c r="BE540" s="4">
        <v>52.74</v>
      </c>
      <c r="BF540" s="4">
        <f>Base[[#This Row],['[SC']Âge_moyen_retraite]]-Base[[#This Row],['[SC']'[Mort_prématurée']Âge_moyen_mort précoce]]</f>
        <v>10.159999999999997</v>
      </c>
      <c r="BG540" s="4">
        <f>Base[[#This Row],[Espérance_vie]]+Base[[#This Row],['[SC']Hausse_esp_de_vie]]-Base[[#This Row],['[SC']Âge_moyen_retraite]]</f>
        <v>20.404874790994718</v>
      </c>
      <c r="BH540" s="4">
        <v>106583.42676924677</v>
      </c>
      <c r="BI540" s="4">
        <v>97601.789429271477</v>
      </c>
      <c r="BJ540" s="4">
        <v>302038.31496633729</v>
      </c>
      <c r="BK540" s="4">
        <v>117293.58934859755</v>
      </c>
      <c r="BL540" s="4">
        <v>1523999.9999999995</v>
      </c>
      <c r="BM5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0" s="4">
        <v>294804.96027377353</v>
      </c>
      <c r="BO5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0" s="4">
        <f>(Base[[#This Row],['[SC']'[Mort_prématurée']Gains]]-Base[[#This Row],['[SC']'[Mort_prématurée']Coûts]])/Base[[#This Row],[Population_totale]]</f>
        <v>0</v>
      </c>
      <c r="BQ540" s="4">
        <f>IF(Base[[#This Row],[Pathologie]]&lt;&gt;"Mort prématurée",0,Base[[#This Row],[Risque]])</f>
        <v>0</v>
      </c>
      <c r="BR540" s="4">
        <v>2680</v>
      </c>
      <c r="BS5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0" s="4">
        <f>Base[[#This Row],[Prévalence_prod]]*(1-Base[[#This Row],[Risque]])*Base[[#This Row],[Durée_arrêt]]*Base[[#This Row],[Population_emploi]]</f>
        <v>5860915.6518959031</v>
      </c>
      <c r="BV540" s="4">
        <f>Base[[#This Row],['[Prod']'[Absentéisme']Total_jours_absence_avant]]-Base[[#This Row],['[Prod']'[Absentéisme']Total_jours_absence_après]]</f>
        <v>1553663.3938810183</v>
      </c>
      <c r="BW540" s="4">
        <f>IF(AND(Base[[#This Row],[Pathologie]]&lt;&gt;"Dépendance",Base[[#This Row],[Pathologie]]&lt;&gt;"Mort prématurée",Base[[#This Row],[Pathologie]]&lt;&gt;"Migraine"),0.0619,0)</f>
        <v>6.1899999999999997E-2</v>
      </c>
      <c r="BX540" s="4">
        <v>254</v>
      </c>
      <c r="BY54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0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0" s="4">
        <f>Base[[#This Row],[Prévalence_prod]]*Base[[#This Row],[Présentéisme]]*Base[[#This Row],['[Prod']Jours_ouvrés]]</f>
        <v>1.7912080000000001</v>
      </c>
      <c r="CB540" s="4">
        <f>Base[[#This Row],[Prévalence_prod]]*(1-Base[[#This Row],[Risque]])*Base[[#This Row],[Présentéisme]]*Base[[#This Row],['[Prod']Jours_ouvrés]]</f>
        <v>1.4158752557881906</v>
      </c>
      <c r="CC540" s="4">
        <f>Base[[#This Row],['[Prod']'[Présentéisme']Jours_avant]]-Base[[#This Row],['[Prod']'[Présentéisme']Jours_après]]</f>
        <v>0.37533274421180951</v>
      </c>
      <c r="CD540" s="4">
        <f>Base[[#This Row],['[Prod']'[Présentéisme']Jours_gagnés]]/Base[[#This Row],['[Prod']Jours_ouvrés]]</f>
        <v>1.4776879693378328E-3</v>
      </c>
      <c r="CE540">
        <v>9.3428413505841454E-2</v>
      </c>
      <c r="CF540">
        <v>2.1038737314955848E-2</v>
      </c>
      <c r="CG540" s="4">
        <v>11</v>
      </c>
      <c r="CH540" s="4">
        <v>0.68054183762612652</v>
      </c>
      <c r="CI540" s="4">
        <v>1.2135452577082654E-2</v>
      </c>
      <c r="CJ540" s="4">
        <f>IF(Base[[#This Row],[Secteur]]&lt;&gt;"Moyenne",Base[[#This Row],['[Prod']'[Turnover']DMC_initiale]]*(1+Base[[#This Row],['[Prod']'[Turnover']Ecart_accidents]]*Base[[#This Row],['[Prod']Impact_motifs_turnover]]),CJ523*CI523+CJ524*CI524+CJ525*CI525+CJ526*CI526+CJ527*CI527+CJ528*CI528+CJ529*CI529+CJ530*CI530+CJ531*CI531+CJ532*CI532+CJ533*CI533+CJ534*CI534+CJ535*CI535+CJ536*CI536+CJ537*CI537+CJ538*CI538+CJ539*CI539)</f>
        <v>11.157495150490188</v>
      </c>
      <c r="CK540" s="4">
        <f>1/Base[[#This Row],['[Prod']'[Turnover']DMC_initiale]]</f>
        <v>9.0909090909090912E-2</v>
      </c>
      <c r="CL540" s="4">
        <f>1/Base[[#This Row],['[Prod']'[Turnover']DMC_finale]]</f>
        <v>8.9625851189015879E-2</v>
      </c>
    </row>
    <row r="541" spans="2:90" x14ac:dyDescent="0.25">
      <c r="B541" s="4" t="s">
        <v>317</v>
      </c>
      <c r="C541">
        <v>30</v>
      </c>
      <c r="D541" t="s">
        <v>85</v>
      </c>
      <c r="E541" t="s">
        <v>8</v>
      </c>
      <c r="F541" s="3">
        <v>0.20954168595261374</v>
      </c>
      <c r="G541" s="3">
        <v>4.1000000000000002E-2</v>
      </c>
      <c r="H541" s="3">
        <v>4.1000000000000002E-2</v>
      </c>
      <c r="I541" s="3">
        <v>0.17199999999999999</v>
      </c>
      <c r="J541" s="3">
        <v>3.8954334592466999</v>
      </c>
      <c r="K541" s="3">
        <v>7.0000000000000007E-2</v>
      </c>
      <c r="L541" s="2">
        <f>Base[[#This Row],[Coût]]*Base[[#This Row],[Part_ménages_dépenses_santé]]</f>
        <v>0.27268034214726899</v>
      </c>
      <c r="M541" s="2">
        <v>0.82690611956969029</v>
      </c>
      <c r="N541" s="6">
        <v>27700000</v>
      </c>
      <c r="O541" s="7">
        <f>Base[[#This Row],[Coût_salarié]]*10^9*Base[[#This Row],[Risque]]*Base[[#This Row],[Prévalence]]*Base[[#This Row],[Part_coûts_salarié]]/Base[[#This Row],[Population_emploi]]</f>
        <v>6.9933386250772972E-2</v>
      </c>
      <c r="P541">
        <v>50</v>
      </c>
      <c r="Q541">
        <v>50</v>
      </c>
      <c r="R541" s="2">
        <v>9.9999999999999978E-2</v>
      </c>
      <c r="S541" s="2">
        <v>0.33340000000000003</v>
      </c>
      <c r="T541" s="4">
        <v>4.1000000000000002E-2</v>
      </c>
      <c r="U541" s="4">
        <f>IF(Bases_annexes!$F$5=0,16.6587111018772,0.77*Bases_annexes!$F$5/(IF(OR(ISBLANK('Données_d''entrée'!$E$44),'Données_d''entrée'!$E$44=0),35,'Données_d''entrée'!$E$44)*52))</f>
        <v>16.658711101877199</v>
      </c>
      <c r="V541" s="4">
        <v>6.5286422873795198</v>
      </c>
      <c r="W5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1" s="4">
        <v>234.5</v>
      </c>
      <c r="Y541" s="4">
        <f>(Base[[#This Row],['[Maladies']Coûts_évités_par_salarié]]+Base[[#This Row],['[Travail']Coûts_évités_par_salarié]])/Base[[#This Row],[Budget_santé_salarié]]</f>
        <v>1.4622307015292638E-2</v>
      </c>
      <c r="Z541" s="4">
        <v>0.8</v>
      </c>
      <c r="AA541" s="4">
        <f>Base[[#This Row],[Coût]]*Base[[#This Row],[Part_société_dépenses_santé]]</f>
        <v>3.1163467673973599</v>
      </c>
      <c r="AB541" s="4">
        <v>67635124</v>
      </c>
      <c r="AC541" s="4">
        <v>82.297079063317852</v>
      </c>
      <c r="AD541" s="4">
        <v>0.11599999999999999</v>
      </c>
      <c r="AE541" s="4">
        <f>Base[[#This Row],['[SC']Prévalence_travail]]*Base[[#This Row],[Population_emploi]]</f>
        <v>3213200</v>
      </c>
      <c r="AF541" s="4">
        <f>Base[[#This Row],[Risque]]*Base[[#This Row],['[SC']Patients_en_emploi]]</f>
        <v>673299.34530293848</v>
      </c>
      <c r="AG541" s="4">
        <v>552654220.25999999</v>
      </c>
      <c r="AH541" s="4">
        <f>IFERROR(Base[[#This Row],['[SC']Prestations]]/Base[[#This Row],['[SC']Patients_en_emploi]],0)</f>
        <v>171.99496460226564</v>
      </c>
      <c r="AI541" s="4">
        <v>51.7</v>
      </c>
      <c r="AJ5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1" s="4">
        <f>Base[[#This Row],['[SC']'[Travail']Coûts_évités]]/Base[[#This Row],[Population_emploi]]</f>
        <v>4.1806533235417884</v>
      </c>
      <c r="AL541" s="4">
        <f>Base[[#This Row],[Coût_société]]*10^9*Base[[#This Row],[Risque]]*Base[[#This Row],[Prévalence]]*Base[[#This Row],[Part_coûts_salarié]]/Base[[#This Row],[Population_emploi]]</f>
        <v>0.7992387000088339</v>
      </c>
      <c r="AM541" s="4">
        <f>IF(Base[[#This Row],[Pathologie]]&lt;&gt;"Dépendance",0,14909.24243952)</f>
        <v>0</v>
      </c>
      <c r="AN541" s="4">
        <f>IF(Base[[#This Row],[Pathologie]]&lt;&gt;"Dépendance",0,1316000)</f>
        <v>0</v>
      </c>
      <c r="AO541" s="4">
        <f>IF(Base[[#This Row],[Pathologie]]&lt;&gt;"Dépendance",0,Base[[#This Row],['[SC']Coût_personne_dépendante]]*Base[[#This Row],['[SC']Nb_personnes_dépendantes]])</f>
        <v>0</v>
      </c>
      <c r="AP541" s="4">
        <f>IF(Base[[#This Row],[Pathologie]]&lt;&gt;"Dépendance",0,Base[[#This Row],['[SC']Coût_total_dépendance]]/Base[[#This Row],[Population_totale]])</f>
        <v>0</v>
      </c>
      <c r="AQ541" s="4">
        <f>IF(Base[[#This Row],[Pathologie]]&lt;&gt;"Dépendance",0,4.5)</f>
        <v>0</v>
      </c>
      <c r="AR541" s="4">
        <v>1.0077957276768601</v>
      </c>
      <c r="AS541" s="4">
        <f>Base[[#This Row],[Espérance_vie]]+Base[[#This Row],['[SC']Hausse_esp_de_vie]]-Base[[#This Row],['[SC']Durée_moyenne_dépendance_avt]]+Base[[#This Row],[Risque]]</f>
        <v>83.514416476947332</v>
      </c>
      <c r="AT5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1" s="4">
        <v>62.9</v>
      </c>
      <c r="AW541" s="4">
        <f t="shared" si="16"/>
        <v>336905600000</v>
      </c>
      <c r="AX541" s="4">
        <v>15049171</v>
      </c>
      <c r="AY541" s="4">
        <f>Base[[#This Row],['[SC']Budget_total_retraites]]/Base[[#This Row],['[SC']Nombre_de_retraités]]</f>
        <v>22386.987296509556</v>
      </c>
      <c r="AZ541" s="4">
        <f>Base[[#This Row],['[SC']Budget_par_retraité]]*Base[[#This Row],['[SC']Nb_personnes_dépendantes]]</f>
        <v>0</v>
      </c>
      <c r="BA541" s="4">
        <f>Base[[#This Row],['[SC']'[Dépendance']Coût_retraite_personnes_dépendantes]]/Base[[#This Row],[Population_totale]]</f>
        <v>0</v>
      </c>
      <c r="BB54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1" s="4">
        <f>Base[[#This Row],['[SC']'[Dépendance']Gains]]-Base[[#This Row],['[SC']'[Dépendance']Coûts]]</f>
        <v>0</v>
      </c>
      <c r="BD541" s="4">
        <f>IF(Base[[#This Row],[Pathologie]]&lt;&gt;"Mort prématurée",0,Base[[#This Row],[Risque]]*Base[[#This Row],[Prévalence]]*Base[[#This Row],[Population_totale]])</f>
        <v>0</v>
      </c>
      <c r="BE541" s="4">
        <v>52.74</v>
      </c>
      <c r="BF541" s="4">
        <f>Base[[#This Row],['[SC']Âge_moyen_retraite]]-Base[[#This Row],['[SC']'[Mort_prématurée']Âge_moyen_mort précoce]]</f>
        <v>10.159999999999997</v>
      </c>
      <c r="BG541" s="4">
        <f>Base[[#This Row],[Espérance_vie]]+Base[[#This Row],['[SC']Hausse_esp_de_vie]]-Base[[#This Row],['[SC']Âge_moyen_retraite]]</f>
        <v>20.404874790994718</v>
      </c>
      <c r="BH541" s="4">
        <v>106583.42676924677</v>
      </c>
      <c r="BI541" s="4">
        <v>97601.789429271477</v>
      </c>
      <c r="BJ541" s="4">
        <v>302038.31496633729</v>
      </c>
      <c r="BK541" s="4">
        <v>117293.58934859755</v>
      </c>
      <c r="BL541" s="4">
        <v>1523999.9999999995</v>
      </c>
      <c r="BM5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1" s="4">
        <v>294804.96027377353</v>
      </c>
      <c r="BO5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1" s="4">
        <f>(Base[[#This Row],['[SC']'[Mort_prématurée']Gains]]-Base[[#This Row],['[SC']'[Mort_prématurée']Coûts]])/Base[[#This Row],[Population_totale]]</f>
        <v>0</v>
      </c>
      <c r="BQ541" s="4">
        <f>IF(Base[[#This Row],[Pathologie]]&lt;&gt;"Mort prématurée",0,Base[[#This Row],[Risque]])</f>
        <v>0</v>
      </c>
      <c r="BR541" s="4">
        <v>2680</v>
      </c>
      <c r="BS5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1" s="4">
        <f>Base[[#This Row],[Prévalence_prod]]*(1-Base[[#This Row],[Risque]])*Base[[#This Row],[Durée_arrêt]]*Base[[#This Row],[Population_emploi]]</f>
        <v>5860915.6518959031</v>
      </c>
      <c r="BV541" s="4">
        <f>Base[[#This Row],['[Prod']'[Absentéisme']Total_jours_absence_avant]]-Base[[#This Row],['[Prod']'[Absentéisme']Total_jours_absence_après]]</f>
        <v>1553663.3938810183</v>
      </c>
      <c r="BW541" s="4">
        <f>IF(AND(Base[[#This Row],[Pathologie]]&lt;&gt;"Dépendance",Base[[#This Row],[Pathologie]]&lt;&gt;"Mort prématurée",Base[[#This Row],[Pathologie]]&lt;&gt;"Migraine"),0.0619,0)</f>
        <v>6.1899999999999997E-2</v>
      </c>
      <c r="BX541" s="4">
        <v>254</v>
      </c>
      <c r="BY541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1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1" s="4">
        <f>Base[[#This Row],[Prévalence_prod]]*Base[[#This Row],[Présentéisme]]*Base[[#This Row],['[Prod']Jours_ouvrés]]</f>
        <v>1.7912080000000001</v>
      </c>
      <c r="CB541" s="4">
        <f>Base[[#This Row],[Prévalence_prod]]*(1-Base[[#This Row],[Risque]])*Base[[#This Row],[Présentéisme]]*Base[[#This Row],['[Prod']Jours_ouvrés]]</f>
        <v>1.4158752557881906</v>
      </c>
      <c r="CC541" s="4">
        <f>Base[[#This Row],['[Prod']'[Présentéisme']Jours_avant]]-Base[[#This Row],['[Prod']'[Présentéisme']Jours_après]]</f>
        <v>0.37533274421180951</v>
      </c>
      <c r="CD541" s="4">
        <f>Base[[#This Row],['[Prod']'[Présentéisme']Jours_gagnés]]/Base[[#This Row],['[Prod']Jours_ouvrés]]</f>
        <v>1.4776879693378328E-3</v>
      </c>
      <c r="CE541">
        <v>9.3428413505841454E-2</v>
      </c>
      <c r="CF541">
        <v>2.1038737314955848E-2</v>
      </c>
      <c r="CG541" s="4">
        <v>11</v>
      </c>
      <c r="CH541" s="4">
        <v>0.31563677172153043</v>
      </c>
      <c r="CI541" s="4">
        <v>1.3003350630813707E-4</v>
      </c>
      <c r="CJ541" s="4">
        <f>IF(Base[[#This Row],[Secteur]]&lt;&gt;"Moyenne",Base[[#This Row],['[Prod']'[Turnover']DMC_initiale]]*(1+Base[[#This Row],['[Prod']'[Turnover']Ecart_accidents]]*Base[[#This Row],['[Prod']Impact_motifs_turnover]]),CJ524*CI524+CJ525*CI525+CJ526*CI526+CJ527*CI527+CJ528*CI528+CJ529*CI529+CJ530*CI530+CJ531*CI531+CJ532*CI532+CJ533*CI533+CJ534*CI534+CJ535*CI535+CJ536*CI536+CJ537*CI537+CJ538*CI538+CJ539*CI539+CJ540*CI540)</f>
        <v>11.073046590399091</v>
      </c>
      <c r="CK541" s="4">
        <f>1/Base[[#This Row],['[Prod']'[Turnover']DMC_initiale]]</f>
        <v>9.0909090909090912E-2</v>
      </c>
      <c r="CL541" s="4">
        <f>1/Base[[#This Row],['[Prod']'[Turnover']DMC_finale]]</f>
        <v>9.030938250246795E-2</v>
      </c>
    </row>
    <row r="542" spans="2:90" x14ac:dyDescent="0.25">
      <c r="B542" s="4" t="s">
        <v>318</v>
      </c>
      <c r="C542">
        <v>30</v>
      </c>
      <c r="D542" t="s">
        <v>85</v>
      </c>
      <c r="E542" t="s">
        <v>8</v>
      </c>
      <c r="F542" s="3">
        <v>0.20954168595261374</v>
      </c>
      <c r="G542" s="3">
        <v>4.1000000000000002E-2</v>
      </c>
      <c r="H542" s="3">
        <v>4.1000000000000002E-2</v>
      </c>
      <c r="I542" s="3">
        <v>0.17199999999999999</v>
      </c>
      <c r="J542" s="3">
        <v>3.8954334592466999</v>
      </c>
      <c r="K542" s="3">
        <v>7.0000000000000007E-2</v>
      </c>
      <c r="L542" s="2">
        <f>Base[[#This Row],[Coût]]*Base[[#This Row],[Part_ménages_dépenses_santé]]</f>
        <v>0.27268034214726899</v>
      </c>
      <c r="M542" s="2">
        <v>0.82690611956969029</v>
      </c>
      <c r="N542" s="6">
        <v>27700000</v>
      </c>
      <c r="O542" s="7">
        <f>Base[[#This Row],[Coût_salarié]]*10^9*Base[[#This Row],[Risque]]*Base[[#This Row],[Prévalence]]*Base[[#This Row],[Part_coûts_salarié]]/Base[[#This Row],[Population_emploi]]</f>
        <v>6.9933386250772972E-2</v>
      </c>
      <c r="P542">
        <v>50</v>
      </c>
      <c r="Q542">
        <v>50</v>
      </c>
      <c r="R542" s="2">
        <v>9.9999999999999978E-2</v>
      </c>
      <c r="S542" s="2">
        <v>0.33340000000000003</v>
      </c>
      <c r="T542" s="4">
        <v>4.1000000000000002E-2</v>
      </c>
      <c r="U542" s="4">
        <f>IF(Bases_annexes!$F$5=0,16.6587111018772,0.77*Bases_annexes!$F$5/(IF(OR(ISBLANK('Données_d''entrée'!$E$44),'Données_d''entrée'!$E$44=0),35,'Données_d''entrée'!$E$44)*52))</f>
        <v>16.658711101877199</v>
      </c>
      <c r="V542" s="4">
        <v>6.5286422873795198</v>
      </c>
      <c r="W5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2" s="4">
        <v>234.5</v>
      </c>
      <c r="Y542" s="4">
        <f>(Base[[#This Row],['[Maladies']Coûts_évités_par_salarié]]+Base[[#This Row],['[Travail']Coûts_évités_par_salarié]])/Base[[#This Row],[Budget_santé_salarié]]</f>
        <v>1.4622307015292638E-2</v>
      </c>
      <c r="Z542" s="4">
        <v>0.8</v>
      </c>
      <c r="AA542" s="4">
        <f>Base[[#This Row],[Coût]]*Base[[#This Row],[Part_société_dépenses_santé]]</f>
        <v>3.1163467673973599</v>
      </c>
      <c r="AB542" s="4">
        <v>67635124</v>
      </c>
      <c r="AC542" s="4">
        <v>82.297079063317852</v>
      </c>
      <c r="AD542" s="4">
        <v>0.11599999999999999</v>
      </c>
      <c r="AE542" s="4">
        <f>Base[[#This Row],['[SC']Prévalence_travail]]*Base[[#This Row],[Population_emploi]]</f>
        <v>3213200</v>
      </c>
      <c r="AF542" s="4">
        <f>Base[[#This Row],[Risque]]*Base[[#This Row],['[SC']Patients_en_emploi]]</f>
        <v>673299.34530293848</v>
      </c>
      <c r="AG542" s="4">
        <v>552654220.25999999</v>
      </c>
      <c r="AH542" s="4">
        <f>IFERROR(Base[[#This Row],['[SC']Prestations]]/Base[[#This Row],['[SC']Patients_en_emploi]],0)</f>
        <v>171.99496460226564</v>
      </c>
      <c r="AI542" s="4">
        <v>51.7</v>
      </c>
      <c r="AJ5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2" s="4">
        <f>Base[[#This Row],['[SC']'[Travail']Coûts_évités]]/Base[[#This Row],[Population_emploi]]</f>
        <v>4.1806533235417884</v>
      </c>
      <c r="AL542" s="4">
        <f>Base[[#This Row],[Coût_société]]*10^9*Base[[#This Row],[Risque]]*Base[[#This Row],[Prévalence]]*Base[[#This Row],[Part_coûts_salarié]]/Base[[#This Row],[Population_emploi]]</f>
        <v>0.7992387000088339</v>
      </c>
      <c r="AM542" s="4">
        <f>IF(Base[[#This Row],[Pathologie]]&lt;&gt;"Dépendance",0,14909.24243952)</f>
        <v>0</v>
      </c>
      <c r="AN542" s="4">
        <f>IF(Base[[#This Row],[Pathologie]]&lt;&gt;"Dépendance",0,1316000)</f>
        <v>0</v>
      </c>
      <c r="AO542" s="4">
        <f>IF(Base[[#This Row],[Pathologie]]&lt;&gt;"Dépendance",0,Base[[#This Row],['[SC']Coût_personne_dépendante]]*Base[[#This Row],['[SC']Nb_personnes_dépendantes]])</f>
        <v>0</v>
      </c>
      <c r="AP542" s="4">
        <f>IF(Base[[#This Row],[Pathologie]]&lt;&gt;"Dépendance",0,Base[[#This Row],['[SC']Coût_total_dépendance]]/Base[[#This Row],[Population_totale]])</f>
        <v>0</v>
      </c>
      <c r="AQ542" s="4">
        <f>IF(Base[[#This Row],[Pathologie]]&lt;&gt;"Dépendance",0,4.5)</f>
        <v>0</v>
      </c>
      <c r="AR542" s="4">
        <v>1.0077957276768601</v>
      </c>
      <c r="AS542" s="4">
        <f>Base[[#This Row],[Espérance_vie]]+Base[[#This Row],['[SC']Hausse_esp_de_vie]]-Base[[#This Row],['[SC']Durée_moyenne_dépendance_avt]]+Base[[#This Row],[Risque]]</f>
        <v>83.514416476947332</v>
      </c>
      <c r="AT5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2" s="4">
        <v>62.9</v>
      </c>
      <c r="AW542" s="4">
        <f t="shared" si="16"/>
        <v>336905600000</v>
      </c>
      <c r="AX542" s="4">
        <v>15049171</v>
      </c>
      <c r="AY542" s="4">
        <f>Base[[#This Row],['[SC']Budget_total_retraites]]/Base[[#This Row],['[SC']Nombre_de_retraités]]</f>
        <v>22386.987296509556</v>
      </c>
      <c r="AZ542" s="4">
        <f>Base[[#This Row],['[SC']Budget_par_retraité]]*Base[[#This Row],['[SC']Nb_personnes_dépendantes]]</f>
        <v>0</v>
      </c>
      <c r="BA542" s="4">
        <f>Base[[#This Row],['[SC']'[Dépendance']Coût_retraite_personnes_dépendantes]]/Base[[#This Row],[Population_totale]]</f>
        <v>0</v>
      </c>
      <c r="BB54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2" s="4">
        <f>Base[[#This Row],['[SC']'[Dépendance']Gains]]-Base[[#This Row],['[SC']'[Dépendance']Coûts]]</f>
        <v>0</v>
      </c>
      <c r="BD542" s="4">
        <f>IF(Base[[#This Row],[Pathologie]]&lt;&gt;"Mort prématurée",0,Base[[#This Row],[Risque]]*Base[[#This Row],[Prévalence]]*Base[[#This Row],[Population_totale]])</f>
        <v>0</v>
      </c>
      <c r="BE542" s="4">
        <v>52.74</v>
      </c>
      <c r="BF542" s="4">
        <f>Base[[#This Row],['[SC']Âge_moyen_retraite]]-Base[[#This Row],['[SC']'[Mort_prématurée']Âge_moyen_mort précoce]]</f>
        <v>10.159999999999997</v>
      </c>
      <c r="BG542" s="4">
        <f>Base[[#This Row],[Espérance_vie]]+Base[[#This Row],['[SC']Hausse_esp_de_vie]]-Base[[#This Row],['[SC']Âge_moyen_retraite]]</f>
        <v>20.404874790994718</v>
      </c>
      <c r="BH542" s="4">
        <v>106583.42676924677</v>
      </c>
      <c r="BI542" s="4">
        <v>97601.789429271477</v>
      </c>
      <c r="BJ542" s="4">
        <v>302038.31496633729</v>
      </c>
      <c r="BK542" s="4">
        <v>117293.58934859755</v>
      </c>
      <c r="BL542" s="4">
        <v>1523999.9999999995</v>
      </c>
      <c r="BM5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2" s="4">
        <v>294804.96027377353</v>
      </c>
      <c r="BO5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2" s="4">
        <f>(Base[[#This Row],['[SC']'[Mort_prématurée']Gains]]-Base[[#This Row],['[SC']'[Mort_prématurée']Coûts]])/Base[[#This Row],[Population_totale]]</f>
        <v>0</v>
      </c>
      <c r="BQ542" s="4">
        <f>IF(Base[[#This Row],[Pathologie]]&lt;&gt;"Mort prématurée",0,Base[[#This Row],[Risque]])</f>
        <v>0</v>
      </c>
      <c r="BR542" s="4">
        <v>2680</v>
      </c>
      <c r="BS5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2" s="4">
        <f>Base[[#This Row],[Prévalence_prod]]*(1-Base[[#This Row],[Risque]])*Base[[#This Row],[Durée_arrêt]]*Base[[#This Row],[Population_emploi]]</f>
        <v>5860915.6518959031</v>
      </c>
      <c r="BV542" s="4">
        <f>Base[[#This Row],['[Prod']'[Absentéisme']Total_jours_absence_avant]]-Base[[#This Row],['[Prod']'[Absentéisme']Total_jours_absence_après]]</f>
        <v>1553663.3938810183</v>
      </c>
      <c r="BW542" s="4">
        <f>IF(AND(Base[[#This Row],[Pathologie]]&lt;&gt;"Dépendance",Base[[#This Row],[Pathologie]]&lt;&gt;"Mort prématurée",Base[[#This Row],[Pathologie]]&lt;&gt;"Migraine"),0.0619,0)</f>
        <v>6.1899999999999997E-2</v>
      </c>
      <c r="BX542" s="4">
        <v>254</v>
      </c>
      <c r="BY542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2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2" s="4">
        <f>Base[[#This Row],[Prévalence_prod]]*Base[[#This Row],[Présentéisme]]*Base[[#This Row],['[Prod']Jours_ouvrés]]</f>
        <v>1.7912080000000001</v>
      </c>
      <c r="CB542" s="4">
        <f>Base[[#This Row],[Prévalence_prod]]*(1-Base[[#This Row],[Risque]])*Base[[#This Row],[Présentéisme]]*Base[[#This Row],['[Prod']Jours_ouvrés]]</f>
        <v>1.4158752557881906</v>
      </c>
      <c r="CC542" s="4">
        <f>Base[[#This Row],['[Prod']'[Présentéisme']Jours_avant]]-Base[[#This Row],['[Prod']'[Présentéisme']Jours_après]]</f>
        <v>0.37533274421180951</v>
      </c>
      <c r="CD542" s="4">
        <f>Base[[#This Row],['[Prod']'[Présentéisme']Jours_gagnés]]/Base[[#This Row],['[Prod']Jours_ouvrés]]</f>
        <v>1.4776879693378328E-3</v>
      </c>
      <c r="CE542">
        <v>9.3428413505841454E-2</v>
      </c>
      <c r="CF542">
        <v>2.1038737314955848E-2</v>
      </c>
      <c r="CG542" s="4">
        <v>11</v>
      </c>
      <c r="CH542" s="4">
        <v>1.1688035738877327</v>
      </c>
      <c r="CI542" s="4">
        <v>9.6557438521367826E-3</v>
      </c>
      <c r="CJ542" s="4">
        <f>IF(Base[[#This Row],[Secteur]]&lt;&gt;"Moyenne",Base[[#This Row],['[Prod']'[Turnover']DMC_initiale]]*(1+Base[[#This Row],['[Prod']'[Turnover']Ecart_accidents]]*Base[[#This Row],['[Prod']Impact_motifs_turnover]]),CJ525*CI525+CJ526*CI526+CJ527*CI527+CJ528*CI528+CJ529*CI529+CJ530*CI530+CJ531*CI531+CJ532*CI532+CJ533*CI533+CJ534*CI534+CJ535*CI535+CJ536*CI536+CJ537*CI537+CJ538*CI538+CJ539*CI539+CJ540*CI540+CJ541*CI541)</f>
        <v>11.270491665001861</v>
      </c>
      <c r="CK542" s="4">
        <f>1/Base[[#This Row],['[Prod']'[Turnover']DMC_initiale]]</f>
        <v>9.0909090909090912E-2</v>
      </c>
      <c r="CL542" s="4">
        <f>1/Base[[#This Row],['[Prod']'[Turnover']DMC_finale]]</f>
        <v>8.8727273815861069E-2</v>
      </c>
    </row>
    <row r="543" spans="2:90" x14ac:dyDescent="0.25">
      <c r="B543" s="4" t="s">
        <v>319</v>
      </c>
      <c r="C543">
        <v>30</v>
      </c>
      <c r="D543" t="s">
        <v>85</v>
      </c>
      <c r="E543" t="s">
        <v>8</v>
      </c>
      <c r="F543" s="3">
        <v>0.20954168595261374</v>
      </c>
      <c r="G543" s="3">
        <v>4.1000000000000002E-2</v>
      </c>
      <c r="H543" s="3">
        <v>4.1000000000000002E-2</v>
      </c>
      <c r="I543" s="3">
        <v>0.17199999999999999</v>
      </c>
      <c r="J543" s="3">
        <v>3.8954334592466999</v>
      </c>
      <c r="K543" s="3">
        <v>7.0000000000000007E-2</v>
      </c>
      <c r="L543" s="2">
        <f>Base[[#This Row],[Coût]]*Base[[#This Row],[Part_ménages_dépenses_santé]]</f>
        <v>0.27268034214726899</v>
      </c>
      <c r="M543" s="2">
        <v>0.82690611956969029</v>
      </c>
      <c r="N543" s="6">
        <v>27700000</v>
      </c>
      <c r="O543" s="7">
        <f>Base[[#This Row],[Coût_salarié]]*10^9*Base[[#This Row],[Risque]]*Base[[#This Row],[Prévalence]]*Base[[#This Row],[Part_coûts_salarié]]/Base[[#This Row],[Population_emploi]]</f>
        <v>6.9933386250772972E-2</v>
      </c>
      <c r="P543">
        <v>50</v>
      </c>
      <c r="Q543">
        <v>50</v>
      </c>
      <c r="R543" s="2">
        <v>9.9999999999999978E-2</v>
      </c>
      <c r="S543" s="2">
        <v>0.33340000000000003</v>
      </c>
      <c r="T543" s="4">
        <v>4.1000000000000002E-2</v>
      </c>
      <c r="U543" s="4">
        <f>IF(Bases_annexes!$F$5=0,16.6587111018772,0.77*Bases_annexes!$F$5/(IF(OR(ISBLANK('Données_d''entrée'!$E$44),'Données_d''entrée'!$E$44=0),35,'Données_d''entrée'!$E$44)*52))</f>
        <v>16.658711101877199</v>
      </c>
      <c r="V543" s="4">
        <v>6.5286422873795198</v>
      </c>
      <c r="W5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3" s="4">
        <v>234.5</v>
      </c>
      <c r="Y543" s="4">
        <f>(Base[[#This Row],['[Maladies']Coûts_évités_par_salarié]]+Base[[#This Row],['[Travail']Coûts_évités_par_salarié]])/Base[[#This Row],[Budget_santé_salarié]]</f>
        <v>1.4622307015292638E-2</v>
      </c>
      <c r="Z543" s="4">
        <v>0.8</v>
      </c>
      <c r="AA543" s="4">
        <f>Base[[#This Row],[Coût]]*Base[[#This Row],[Part_société_dépenses_santé]]</f>
        <v>3.1163467673973599</v>
      </c>
      <c r="AB543" s="4">
        <v>67635124</v>
      </c>
      <c r="AC543" s="4">
        <v>82.297079063317852</v>
      </c>
      <c r="AD543" s="4">
        <v>0.11599999999999999</v>
      </c>
      <c r="AE543" s="4">
        <f>Base[[#This Row],['[SC']Prévalence_travail]]*Base[[#This Row],[Population_emploi]]</f>
        <v>3213200</v>
      </c>
      <c r="AF543" s="4">
        <f>Base[[#This Row],[Risque]]*Base[[#This Row],['[SC']Patients_en_emploi]]</f>
        <v>673299.34530293848</v>
      </c>
      <c r="AG543" s="4">
        <v>552654220.25999999</v>
      </c>
      <c r="AH543" s="4">
        <f>IFERROR(Base[[#This Row],['[SC']Prestations]]/Base[[#This Row],['[SC']Patients_en_emploi]],0)</f>
        <v>171.99496460226564</v>
      </c>
      <c r="AI543" s="4">
        <v>51.7</v>
      </c>
      <c r="AJ5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3" s="4">
        <f>Base[[#This Row],['[SC']'[Travail']Coûts_évités]]/Base[[#This Row],[Population_emploi]]</f>
        <v>4.1806533235417884</v>
      </c>
      <c r="AL543" s="4">
        <f>Base[[#This Row],[Coût_société]]*10^9*Base[[#This Row],[Risque]]*Base[[#This Row],[Prévalence]]*Base[[#This Row],[Part_coûts_salarié]]/Base[[#This Row],[Population_emploi]]</f>
        <v>0.7992387000088339</v>
      </c>
      <c r="AM543" s="4">
        <f>IF(Base[[#This Row],[Pathologie]]&lt;&gt;"Dépendance",0,14909.24243952)</f>
        <v>0</v>
      </c>
      <c r="AN543" s="4">
        <f>IF(Base[[#This Row],[Pathologie]]&lt;&gt;"Dépendance",0,1316000)</f>
        <v>0</v>
      </c>
      <c r="AO543" s="4">
        <f>IF(Base[[#This Row],[Pathologie]]&lt;&gt;"Dépendance",0,Base[[#This Row],['[SC']Coût_personne_dépendante]]*Base[[#This Row],['[SC']Nb_personnes_dépendantes]])</f>
        <v>0</v>
      </c>
      <c r="AP543" s="4">
        <f>IF(Base[[#This Row],[Pathologie]]&lt;&gt;"Dépendance",0,Base[[#This Row],['[SC']Coût_total_dépendance]]/Base[[#This Row],[Population_totale]])</f>
        <v>0</v>
      </c>
      <c r="AQ543" s="4">
        <f>IF(Base[[#This Row],[Pathologie]]&lt;&gt;"Dépendance",0,4.5)</f>
        <v>0</v>
      </c>
      <c r="AR543" s="4">
        <v>1.0077957276768601</v>
      </c>
      <c r="AS543" s="4">
        <f>Base[[#This Row],[Espérance_vie]]+Base[[#This Row],['[SC']Hausse_esp_de_vie]]-Base[[#This Row],['[SC']Durée_moyenne_dépendance_avt]]+Base[[#This Row],[Risque]]</f>
        <v>83.514416476947332</v>
      </c>
      <c r="AT5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3" s="4">
        <v>62.9</v>
      </c>
      <c r="AW543" s="4">
        <f t="shared" si="16"/>
        <v>336905600000</v>
      </c>
      <c r="AX543" s="4">
        <v>15049171</v>
      </c>
      <c r="AY543" s="4">
        <f>Base[[#This Row],['[SC']Budget_total_retraites]]/Base[[#This Row],['[SC']Nombre_de_retraités]]</f>
        <v>22386.987296509556</v>
      </c>
      <c r="AZ543" s="4">
        <f>Base[[#This Row],['[SC']Budget_par_retraité]]*Base[[#This Row],['[SC']Nb_personnes_dépendantes]]</f>
        <v>0</v>
      </c>
      <c r="BA543" s="4">
        <f>Base[[#This Row],['[SC']'[Dépendance']Coût_retraite_personnes_dépendantes]]/Base[[#This Row],[Population_totale]]</f>
        <v>0</v>
      </c>
      <c r="BB54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3" s="4">
        <f>Base[[#This Row],['[SC']'[Dépendance']Gains]]-Base[[#This Row],['[SC']'[Dépendance']Coûts]]</f>
        <v>0</v>
      </c>
      <c r="BD543" s="4">
        <f>IF(Base[[#This Row],[Pathologie]]&lt;&gt;"Mort prématurée",0,Base[[#This Row],[Risque]]*Base[[#This Row],[Prévalence]]*Base[[#This Row],[Population_totale]])</f>
        <v>0</v>
      </c>
      <c r="BE543" s="4">
        <v>52.74</v>
      </c>
      <c r="BF543" s="4">
        <f>Base[[#This Row],['[SC']Âge_moyen_retraite]]-Base[[#This Row],['[SC']'[Mort_prématurée']Âge_moyen_mort précoce]]</f>
        <v>10.159999999999997</v>
      </c>
      <c r="BG543" s="4">
        <f>Base[[#This Row],[Espérance_vie]]+Base[[#This Row],['[SC']Hausse_esp_de_vie]]-Base[[#This Row],['[SC']Âge_moyen_retraite]]</f>
        <v>20.404874790994718</v>
      </c>
      <c r="BH543" s="4">
        <v>106583.42676924677</v>
      </c>
      <c r="BI543" s="4">
        <v>97601.789429271477</v>
      </c>
      <c r="BJ543" s="4">
        <v>302038.31496633729</v>
      </c>
      <c r="BK543" s="4">
        <v>117293.58934859755</v>
      </c>
      <c r="BL543" s="4">
        <v>1523999.9999999995</v>
      </c>
      <c r="BM5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3" s="4">
        <v>294804.96027377353</v>
      </c>
      <c r="BO5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3" s="4">
        <f>(Base[[#This Row],['[SC']'[Mort_prématurée']Gains]]-Base[[#This Row],['[SC']'[Mort_prématurée']Coûts]])/Base[[#This Row],[Population_totale]]</f>
        <v>0</v>
      </c>
      <c r="BQ543" s="4">
        <f>IF(Base[[#This Row],[Pathologie]]&lt;&gt;"Mort prématurée",0,Base[[#This Row],[Risque]])</f>
        <v>0</v>
      </c>
      <c r="BR543" s="4">
        <v>2680</v>
      </c>
      <c r="BS5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3" s="4">
        <f>Base[[#This Row],[Prévalence_prod]]*(1-Base[[#This Row],[Risque]])*Base[[#This Row],[Durée_arrêt]]*Base[[#This Row],[Population_emploi]]</f>
        <v>5860915.6518959031</v>
      </c>
      <c r="BV543" s="4">
        <f>Base[[#This Row],['[Prod']'[Absentéisme']Total_jours_absence_avant]]-Base[[#This Row],['[Prod']'[Absentéisme']Total_jours_absence_après]]</f>
        <v>1553663.3938810183</v>
      </c>
      <c r="BW543" s="4">
        <f>IF(AND(Base[[#This Row],[Pathologie]]&lt;&gt;"Dépendance",Base[[#This Row],[Pathologie]]&lt;&gt;"Mort prématurée",Base[[#This Row],[Pathologie]]&lt;&gt;"Migraine"),0.0619,0)</f>
        <v>6.1899999999999997E-2</v>
      </c>
      <c r="BX543" s="4">
        <v>254</v>
      </c>
      <c r="BY54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3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3" s="4">
        <f>Base[[#This Row],[Prévalence_prod]]*Base[[#This Row],[Présentéisme]]*Base[[#This Row],['[Prod']Jours_ouvrés]]</f>
        <v>1.7912080000000001</v>
      </c>
      <c r="CB543" s="4">
        <f>Base[[#This Row],[Prévalence_prod]]*(1-Base[[#This Row],[Risque]])*Base[[#This Row],[Présentéisme]]*Base[[#This Row],['[Prod']Jours_ouvrés]]</f>
        <v>1.4158752557881906</v>
      </c>
      <c r="CC543" s="4">
        <f>Base[[#This Row],['[Prod']'[Présentéisme']Jours_avant]]-Base[[#This Row],['[Prod']'[Présentéisme']Jours_après]]</f>
        <v>0.37533274421180951</v>
      </c>
      <c r="CD543" s="4">
        <f>Base[[#This Row],['[Prod']'[Présentéisme']Jours_gagnés]]/Base[[#This Row],['[Prod']Jours_ouvrés]]</f>
        <v>1.4776879693378328E-3</v>
      </c>
      <c r="CE543">
        <v>9.3428413505841454E-2</v>
      </c>
      <c r="CF543">
        <v>2.1038737314955848E-2</v>
      </c>
      <c r="CG543" s="4">
        <v>11</v>
      </c>
      <c r="CH543" s="4">
        <v>0.52204401140486179</v>
      </c>
      <c r="CI543" s="4">
        <v>1.2443904150185675E-2</v>
      </c>
      <c r="CJ543" s="4">
        <f>IF(Base[[#This Row],[Secteur]]&lt;&gt;"Moyenne",Base[[#This Row],['[Prod']'[Turnover']DMC_initiale]]*(1+Base[[#This Row],['[Prod']'[Turnover']Ecart_accidents]]*Base[[#This Row],['[Prod']Impact_motifs_turnover]]),CJ526*CI526+CJ527*CI527+CJ528*CI528+CJ529*CI529+CJ530*CI530+CJ531*CI531+CJ532*CI532+CJ533*CI533+CJ534*CI534+CJ535*CI535+CJ536*CI536+CJ537*CI537+CJ538*CI538+CJ539*CI539+CJ540*CI540+CJ541*CI541+CJ542*CI542)</f>
        <v>11.120814615050721</v>
      </c>
      <c r="CK543" s="4">
        <f>1/Base[[#This Row],['[Prod']'[Turnover']DMC_initiale]]</f>
        <v>9.0909090909090912E-2</v>
      </c>
      <c r="CL543" s="4">
        <f>1/Base[[#This Row],['[Prod']'[Turnover']DMC_finale]]</f>
        <v>8.9921470199369843E-2</v>
      </c>
    </row>
    <row r="544" spans="2:90" x14ac:dyDescent="0.25">
      <c r="B544" s="4" t="s">
        <v>320</v>
      </c>
      <c r="C544">
        <v>30</v>
      </c>
      <c r="D544" t="s">
        <v>85</v>
      </c>
      <c r="E544" t="s">
        <v>8</v>
      </c>
      <c r="F544" s="3">
        <v>0.20954168595261374</v>
      </c>
      <c r="G544" s="3">
        <v>4.1000000000000002E-2</v>
      </c>
      <c r="H544" s="3">
        <v>4.1000000000000002E-2</v>
      </c>
      <c r="I544" s="3">
        <v>0.17199999999999999</v>
      </c>
      <c r="J544" s="3">
        <v>3.8954334592466999</v>
      </c>
      <c r="K544" s="3">
        <v>7.0000000000000007E-2</v>
      </c>
      <c r="L544" s="2">
        <f>Base[[#This Row],[Coût]]*Base[[#This Row],[Part_ménages_dépenses_santé]]</f>
        <v>0.27268034214726899</v>
      </c>
      <c r="M544" s="2">
        <v>0.82690611956969029</v>
      </c>
      <c r="N544" s="6">
        <v>27700000</v>
      </c>
      <c r="O544" s="7">
        <f>Base[[#This Row],[Coût_salarié]]*10^9*Base[[#This Row],[Risque]]*Base[[#This Row],[Prévalence]]*Base[[#This Row],[Part_coûts_salarié]]/Base[[#This Row],[Population_emploi]]</f>
        <v>6.9933386250772972E-2</v>
      </c>
      <c r="P544">
        <v>50</v>
      </c>
      <c r="Q544">
        <v>50</v>
      </c>
      <c r="R544" s="2">
        <v>9.9999999999999978E-2</v>
      </c>
      <c r="S544" s="2">
        <v>0.33340000000000003</v>
      </c>
      <c r="T544" s="4">
        <v>4.1000000000000002E-2</v>
      </c>
      <c r="U544" s="4">
        <f>IF(Bases_annexes!$F$5=0,16.6587111018772,0.77*Bases_annexes!$F$5/(IF(OR(ISBLANK('Données_d''entrée'!$E$44),'Données_d''entrée'!$E$44=0),35,'Données_d''entrée'!$E$44)*52))</f>
        <v>16.658711101877199</v>
      </c>
      <c r="V544" s="4">
        <v>6.5286422873795198</v>
      </c>
      <c r="W5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4" s="4">
        <v>234.5</v>
      </c>
      <c r="Y544" s="4">
        <f>(Base[[#This Row],['[Maladies']Coûts_évités_par_salarié]]+Base[[#This Row],['[Travail']Coûts_évités_par_salarié]])/Base[[#This Row],[Budget_santé_salarié]]</f>
        <v>1.4622307015292638E-2</v>
      </c>
      <c r="Z544" s="4">
        <v>0.8</v>
      </c>
      <c r="AA544" s="4">
        <f>Base[[#This Row],[Coût]]*Base[[#This Row],[Part_société_dépenses_santé]]</f>
        <v>3.1163467673973599</v>
      </c>
      <c r="AB544" s="4">
        <v>67635124</v>
      </c>
      <c r="AC544" s="4">
        <v>82.297079063317852</v>
      </c>
      <c r="AD544" s="4">
        <v>0.11599999999999999</v>
      </c>
      <c r="AE544" s="4">
        <f>Base[[#This Row],['[SC']Prévalence_travail]]*Base[[#This Row],[Population_emploi]]</f>
        <v>3213200</v>
      </c>
      <c r="AF544" s="4">
        <f>Base[[#This Row],[Risque]]*Base[[#This Row],['[SC']Patients_en_emploi]]</f>
        <v>673299.34530293848</v>
      </c>
      <c r="AG544" s="4">
        <v>552654220.25999999</v>
      </c>
      <c r="AH544" s="4">
        <f>IFERROR(Base[[#This Row],['[SC']Prestations]]/Base[[#This Row],['[SC']Patients_en_emploi]],0)</f>
        <v>171.99496460226564</v>
      </c>
      <c r="AI544" s="4">
        <v>51.7</v>
      </c>
      <c r="AJ5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4" s="4">
        <f>Base[[#This Row],['[SC']'[Travail']Coûts_évités]]/Base[[#This Row],[Population_emploi]]</f>
        <v>4.1806533235417884</v>
      </c>
      <c r="AL544" s="4">
        <f>Base[[#This Row],[Coût_société]]*10^9*Base[[#This Row],[Risque]]*Base[[#This Row],[Prévalence]]*Base[[#This Row],[Part_coûts_salarié]]/Base[[#This Row],[Population_emploi]]</f>
        <v>0.7992387000088339</v>
      </c>
      <c r="AM544" s="4">
        <f>IF(Base[[#This Row],[Pathologie]]&lt;&gt;"Dépendance",0,14909.24243952)</f>
        <v>0</v>
      </c>
      <c r="AN544" s="4">
        <f>IF(Base[[#This Row],[Pathologie]]&lt;&gt;"Dépendance",0,1316000)</f>
        <v>0</v>
      </c>
      <c r="AO544" s="4">
        <f>IF(Base[[#This Row],[Pathologie]]&lt;&gt;"Dépendance",0,Base[[#This Row],['[SC']Coût_personne_dépendante]]*Base[[#This Row],['[SC']Nb_personnes_dépendantes]])</f>
        <v>0</v>
      </c>
      <c r="AP544" s="4">
        <f>IF(Base[[#This Row],[Pathologie]]&lt;&gt;"Dépendance",0,Base[[#This Row],['[SC']Coût_total_dépendance]]/Base[[#This Row],[Population_totale]])</f>
        <v>0</v>
      </c>
      <c r="AQ544" s="4">
        <f>IF(Base[[#This Row],[Pathologie]]&lt;&gt;"Dépendance",0,4.5)</f>
        <v>0</v>
      </c>
      <c r="AR544" s="4">
        <v>1.0077957276768601</v>
      </c>
      <c r="AS544" s="4">
        <f>Base[[#This Row],[Espérance_vie]]+Base[[#This Row],['[SC']Hausse_esp_de_vie]]-Base[[#This Row],['[SC']Durée_moyenne_dépendance_avt]]+Base[[#This Row],[Risque]]</f>
        <v>83.514416476947332</v>
      </c>
      <c r="AT5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4" s="4">
        <v>62.9</v>
      </c>
      <c r="AW544" s="4">
        <f t="shared" si="16"/>
        <v>336905600000</v>
      </c>
      <c r="AX544" s="4">
        <v>15049171</v>
      </c>
      <c r="AY544" s="4">
        <f>Base[[#This Row],['[SC']Budget_total_retraites]]/Base[[#This Row],['[SC']Nombre_de_retraités]]</f>
        <v>22386.987296509556</v>
      </c>
      <c r="AZ544" s="4">
        <f>Base[[#This Row],['[SC']Budget_par_retraité]]*Base[[#This Row],['[SC']Nb_personnes_dépendantes]]</f>
        <v>0</v>
      </c>
      <c r="BA544" s="4">
        <f>Base[[#This Row],['[SC']'[Dépendance']Coût_retraite_personnes_dépendantes]]/Base[[#This Row],[Population_totale]]</f>
        <v>0</v>
      </c>
      <c r="BB54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4" s="4">
        <f>Base[[#This Row],['[SC']'[Dépendance']Gains]]-Base[[#This Row],['[SC']'[Dépendance']Coûts]]</f>
        <v>0</v>
      </c>
      <c r="BD544" s="4">
        <f>IF(Base[[#This Row],[Pathologie]]&lt;&gt;"Mort prématurée",0,Base[[#This Row],[Risque]]*Base[[#This Row],[Prévalence]]*Base[[#This Row],[Population_totale]])</f>
        <v>0</v>
      </c>
      <c r="BE544" s="4">
        <v>52.74</v>
      </c>
      <c r="BF544" s="4">
        <f>Base[[#This Row],['[SC']Âge_moyen_retraite]]-Base[[#This Row],['[SC']'[Mort_prématurée']Âge_moyen_mort précoce]]</f>
        <v>10.159999999999997</v>
      </c>
      <c r="BG544" s="4">
        <f>Base[[#This Row],[Espérance_vie]]+Base[[#This Row],['[SC']Hausse_esp_de_vie]]-Base[[#This Row],['[SC']Âge_moyen_retraite]]</f>
        <v>20.404874790994718</v>
      </c>
      <c r="BH544" s="4">
        <v>106583.42676924677</v>
      </c>
      <c r="BI544" s="4">
        <v>97601.789429271477</v>
      </c>
      <c r="BJ544" s="4">
        <v>302038.31496633729</v>
      </c>
      <c r="BK544" s="4">
        <v>117293.58934859755</v>
      </c>
      <c r="BL544" s="4">
        <v>1523999.9999999995</v>
      </c>
      <c r="BM5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4" s="4">
        <v>294804.96027377353</v>
      </c>
      <c r="BO5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4" s="4">
        <f>(Base[[#This Row],['[SC']'[Mort_prématurée']Gains]]-Base[[#This Row],['[SC']'[Mort_prématurée']Coûts]])/Base[[#This Row],[Population_totale]]</f>
        <v>0</v>
      </c>
      <c r="BQ544" s="4">
        <f>IF(Base[[#This Row],[Pathologie]]&lt;&gt;"Mort prématurée",0,Base[[#This Row],[Risque]])</f>
        <v>0</v>
      </c>
      <c r="BR544" s="4">
        <v>2680</v>
      </c>
      <c r="BS5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4" s="4">
        <f>Base[[#This Row],[Prévalence_prod]]*(1-Base[[#This Row],[Risque]])*Base[[#This Row],[Durée_arrêt]]*Base[[#This Row],[Population_emploi]]</f>
        <v>5860915.6518959031</v>
      </c>
      <c r="BV544" s="4">
        <f>Base[[#This Row],['[Prod']'[Absentéisme']Total_jours_absence_avant]]-Base[[#This Row],['[Prod']'[Absentéisme']Total_jours_absence_après]]</f>
        <v>1553663.3938810183</v>
      </c>
      <c r="BW544" s="4">
        <f>IF(AND(Base[[#This Row],[Pathologie]]&lt;&gt;"Dépendance",Base[[#This Row],[Pathologie]]&lt;&gt;"Mort prématurée",Base[[#This Row],[Pathologie]]&lt;&gt;"Migraine"),0.0619,0)</f>
        <v>6.1899999999999997E-2</v>
      </c>
      <c r="BX544" s="4">
        <v>254</v>
      </c>
      <c r="BY54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4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4" s="4">
        <f>Base[[#This Row],[Prévalence_prod]]*Base[[#This Row],[Présentéisme]]*Base[[#This Row],['[Prod']Jours_ouvrés]]</f>
        <v>1.7912080000000001</v>
      </c>
      <c r="CB544" s="4">
        <f>Base[[#This Row],[Prévalence_prod]]*(1-Base[[#This Row],[Risque]])*Base[[#This Row],[Présentéisme]]*Base[[#This Row],['[Prod']Jours_ouvrés]]</f>
        <v>1.4158752557881906</v>
      </c>
      <c r="CC544" s="4">
        <f>Base[[#This Row],['[Prod']'[Présentéisme']Jours_avant]]-Base[[#This Row],['[Prod']'[Présentéisme']Jours_après]]</f>
        <v>0.37533274421180951</v>
      </c>
      <c r="CD544" s="4">
        <f>Base[[#This Row],['[Prod']'[Présentéisme']Jours_gagnés]]/Base[[#This Row],['[Prod']Jours_ouvrés]]</f>
        <v>1.4776879693378328E-3</v>
      </c>
      <c r="CE544">
        <v>9.3428413505841454E-2</v>
      </c>
      <c r="CF544">
        <v>2.1038737314955848E-2</v>
      </c>
      <c r="CG544" s="4">
        <v>11</v>
      </c>
      <c r="CH544" s="4">
        <v>0.49446424657188709</v>
      </c>
      <c r="CI544" s="4">
        <v>1.0795805058605798E-2</v>
      </c>
      <c r="CJ544" s="4">
        <f>IF(Base[[#This Row],[Secteur]]&lt;&gt;"Moyenne",Base[[#This Row],['[Prod']'[Turnover']DMC_initiale]]*(1+Base[[#This Row],['[Prod']'[Turnover']Ecart_accidents]]*Base[[#This Row],['[Prod']Impact_motifs_turnover]]),CJ527*CI527+CJ528*CI528+CJ529*CI529+CJ530*CI530+CJ531*CI531+CJ532*CI532+CJ533*CI533+CJ534*CI534+CJ535*CI535+CJ536*CI536+CJ537*CI537+CJ538*CI538+CJ539*CI539+CJ540*CI540+CJ541*CI541+CJ542*CI542+CJ543*CI543)</f>
        <v>11.114431937347899</v>
      </c>
      <c r="CK544" s="4">
        <f>1/Base[[#This Row],['[Prod']'[Turnover']DMC_initiale]]</f>
        <v>9.0909090909090912E-2</v>
      </c>
      <c r="CL544" s="4">
        <f>1/Base[[#This Row],['[Prod']'[Turnover']DMC_finale]]</f>
        <v>8.9973109344409538E-2</v>
      </c>
    </row>
    <row r="545" spans="2:90" x14ac:dyDescent="0.25">
      <c r="B545" s="4" t="s">
        <v>321</v>
      </c>
      <c r="C545">
        <v>30</v>
      </c>
      <c r="D545" t="s">
        <v>85</v>
      </c>
      <c r="E545" t="s">
        <v>8</v>
      </c>
      <c r="F545" s="3">
        <v>0.20954168595261374</v>
      </c>
      <c r="G545" s="3">
        <v>4.1000000000000002E-2</v>
      </c>
      <c r="H545" s="3">
        <v>4.1000000000000002E-2</v>
      </c>
      <c r="I545" s="3">
        <v>0.17199999999999999</v>
      </c>
      <c r="J545" s="3">
        <v>3.8954334592466999</v>
      </c>
      <c r="K545" s="3">
        <v>7.0000000000000007E-2</v>
      </c>
      <c r="L545" s="2">
        <f>Base[[#This Row],[Coût]]*Base[[#This Row],[Part_ménages_dépenses_santé]]</f>
        <v>0.27268034214726899</v>
      </c>
      <c r="M545" s="2">
        <v>0.82690611956969029</v>
      </c>
      <c r="N545" s="6">
        <v>27700000</v>
      </c>
      <c r="O545" s="7">
        <f>Base[[#This Row],[Coût_salarié]]*10^9*Base[[#This Row],[Risque]]*Base[[#This Row],[Prévalence]]*Base[[#This Row],[Part_coûts_salarié]]/Base[[#This Row],[Population_emploi]]</f>
        <v>6.9933386250772972E-2</v>
      </c>
      <c r="P545">
        <v>50</v>
      </c>
      <c r="Q545">
        <v>50</v>
      </c>
      <c r="R545" s="2">
        <v>9.9999999999999978E-2</v>
      </c>
      <c r="S545" s="2">
        <v>0.33340000000000003</v>
      </c>
      <c r="T545" s="4">
        <v>4.1000000000000002E-2</v>
      </c>
      <c r="U545" s="4">
        <f>IF(Bases_annexes!$F$5=0,16.6587111018772,0.77*Bases_annexes!$F$5/(IF(OR(ISBLANK('Données_d''entrée'!$E$44),'Données_d''entrée'!$E$44=0),35,'Données_d''entrée'!$E$44)*52))</f>
        <v>16.658711101877199</v>
      </c>
      <c r="V545" s="4">
        <v>6.5286422873795198</v>
      </c>
      <c r="W5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5" s="4">
        <v>234.5</v>
      </c>
      <c r="Y545" s="4">
        <f>(Base[[#This Row],['[Maladies']Coûts_évités_par_salarié]]+Base[[#This Row],['[Travail']Coûts_évités_par_salarié]])/Base[[#This Row],[Budget_santé_salarié]]</f>
        <v>1.4622307015292638E-2</v>
      </c>
      <c r="Z545" s="4">
        <v>0.8</v>
      </c>
      <c r="AA545" s="4">
        <f>Base[[#This Row],[Coût]]*Base[[#This Row],[Part_société_dépenses_santé]]</f>
        <v>3.1163467673973599</v>
      </c>
      <c r="AB545" s="4">
        <v>67635124</v>
      </c>
      <c r="AC545" s="4">
        <v>82.297079063317852</v>
      </c>
      <c r="AD545" s="4">
        <v>0.11599999999999999</v>
      </c>
      <c r="AE545" s="4">
        <f>Base[[#This Row],['[SC']Prévalence_travail]]*Base[[#This Row],[Population_emploi]]</f>
        <v>3213200</v>
      </c>
      <c r="AF545" s="4">
        <f>Base[[#This Row],[Risque]]*Base[[#This Row],['[SC']Patients_en_emploi]]</f>
        <v>673299.34530293848</v>
      </c>
      <c r="AG545" s="4">
        <v>552654220.25999999</v>
      </c>
      <c r="AH545" s="4">
        <f>IFERROR(Base[[#This Row],['[SC']Prestations]]/Base[[#This Row],['[SC']Patients_en_emploi]],0)</f>
        <v>171.99496460226564</v>
      </c>
      <c r="AI545" s="4">
        <v>51.7</v>
      </c>
      <c r="AJ5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5" s="4">
        <f>Base[[#This Row],['[SC']'[Travail']Coûts_évités]]/Base[[#This Row],[Population_emploi]]</f>
        <v>4.1806533235417884</v>
      </c>
      <c r="AL545" s="4">
        <f>Base[[#This Row],[Coût_société]]*10^9*Base[[#This Row],[Risque]]*Base[[#This Row],[Prévalence]]*Base[[#This Row],[Part_coûts_salarié]]/Base[[#This Row],[Population_emploi]]</f>
        <v>0.7992387000088339</v>
      </c>
      <c r="AM545" s="4">
        <f>IF(Base[[#This Row],[Pathologie]]&lt;&gt;"Dépendance",0,14909.24243952)</f>
        <v>0</v>
      </c>
      <c r="AN545" s="4">
        <f>IF(Base[[#This Row],[Pathologie]]&lt;&gt;"Dépendance",0,1316000)</f>
        <v>0</v>
      </c>
      <c r="AO545" s="4">
        <f>IF(Base[[#This Row],[Pathologie]]&lt;&gt;"Dépendance",0,Base[[#This Row],['[SC']Coût_personne_dépendante]]*Base[[#This Row],['[SC']Nb_personnes_dépendantes]])</f>
        <v>0</v>
      </c>
      <c r="AP545" s="4">
        <f>IF(Base[[#This Row],[Pathologie]]&lt;&gt;"Dépendance",0,Base[[#This Row],['[SC']Coût_total_dépendance]]/Base[[#This Row],[Population_totale]])</f>
        <v>0</v>
      </c>
      <c r="AQ545" s="4">
        <f>IF(Base[[#This Row],[Pathologie]]&lt;&gt;"Dépendance",0,4.5)</f>
        <v>0</v>
      </c>
      <c r="AR545" s="4">
        <v>1.0077957276768601</v>
      </c>
      <c r="AS545" s="4">
        <f>Base[[#This Row],[Espérance_vie]]+Base[[#This Row],['[SC']Hausse_esp_de_vie]]-Base[[#This Row],['[SC']Durée_moyenne_dépendance_avt]]+Base[[#This Row],[Risque]]</f>
        <v>83.514416476947332</v>
      </c>
      <c r="AT5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5" s="4">
        <v>62.9</v>
      </c>
      <c r="AW545" s="4">
        <f t="shared" si="16"/>
        <v>336905600000</v>
      </c>
      <c r="AX545" s="4">
        <v>15049171</v>
      </c>
      <c r="AY545" s="4">
        <f>Base[[#This Row],['[SC']Budget_total_retraites]]/Base[[#This Row],['[SC']Nombre_de_retraités]]</f>
        <v>22386.987296509556</v>
      </c>
      <c r="AZ545" s="4">
        <f>Base[[#This Row],['[SC']Budget_par_retraité]]*Base[[#This Row],['[SC']Nb_personnes_dépendantes]]</f>
        <v>0</v>
      </c>
      <c r="BA545" s="4">
        <f>Base[[#This Row],['[SC']'[Dépendance']Coût_retraite_personnes_dépendantes]]/Base[[#This Row],[Population_totale]]</f>
        <v>0</v>
      </c>
      <c r="BB54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5" s="4">
        <f>Base[[#This Row],['[SC']'[Dépendance']Gains]]-Base[[#This Row],['[SC']'[Dépendance']Coûts]]</f>
        <v>0</v>
      </c>
      <c r="BD545" s="4">
        <f>IF(Base[[#This Row],[Pathologie]]&lt;&gt;"Mort prématurée",0,Base[[#This Row],[Risque]]*Base[[#This Row],[Prévalence]]*Base[[#This Row],[Population_totale]])</f>
        <v>0</v>
      </c>
      <c r="BE545" s="4">
        <v>52.74</v>
      </c>
      <c r="BF545" s="4">
        <f>Base[[#This Row],['[SC']Âge_moyen_retraite]]-Base[[#This Row],['[SC']'[Mort_prématurée']Âge_moyen_mort précoce]]</f>
        <v>10.159999999999997</v>
      </c>
      <c r="BG545" s="4">
        <f>Base[[#This Row],[Espérance_vie]]+Base[[#This Row],['[SC']Hausse_esp_de_vie]]-Base[[#This Row],['[SC']Âge_moyen_retraite]]</f>
        <v>20.404874790994718</v>
      </c>
      <c r="BH545" s="4">
        <v>106583.42676924677</v>
      </c>
      <c r="BI545" s="4">
        <v>97601.789429271477</v>
      </c>
      <c r="BJ545" s="4">
        <v>302038.31496633729</v>
      </c>
      <c r="BK545" s="4">
        <v>117293.58934859755</v>
      </c>
      <c r="BL545" s="4">
        <v>1523999.9999999995</v>
      </c>
      <c r="BM5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5" s="4">
        <v>294804.96027377353</v>
      </c>
      <c r="BO5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5" s="4">
        <f>(Base[[#This Row],['[SC']'[Mort_prématurée']Gains]]-Base[[#This Row],['[SC']'[Mort_prématurée']Coûts]])/Base[[#This Row],[Population_totale]]</f>
        <v>0</v>
      </c>
      <c r="BQ545" s="4">
        <f>IF(Base[[#This Row],[Pathologie]]&lt;&gt;"Mort prématurée",0,Base[[#This Row],[Risque]])</f>
        <v>0</v>
      </c>
      <c r="BR545" s="4">
        <v>2680</v>
      </c>
      <c r="BS5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5" s="4">
        <f>Base[[#This Row],[Prévalence_prod]]*(1-Base[[#This Row],[Risque]])*Base[[#This Row],[Durée_arrêt]]*Base[[#This Row],[Population_emploi]]</f>
        <v>5860915.6518959031</v>
      </c>
      <c r="BV545" s="4">
        <f>Base[[#This Row],['[Prod']'[Absentéisme']Total_jours_absence_avant]]-Base[[#This Row],['[Prod']'[Absentéisme']Total_jours_absence_après]]</f>
        <v>1553663.3938810183</v>
      </c>
      <c r="BW545" s="4">
        <f>IF(AND(Base[[#This Row],[Pathologie]]&lt;&gt;"Dépendance",Base[[#This Row],[Pathologie]]&lt;&gt;"Mort prématurée",Base[[#This Row],[Pathologie]]&lt;&gt;"Migraine"),0.0619,0)</f>
        <v>6.1899999999999997E-2</v>
      </c>
      <c r="BX545" s="4">
        <v>254</v>
      </c>
      <c r="BY545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5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5" s="4">
        <f>Base[[#This Row],[Prévalence_prod]]*Base[[#This Row],[Présentéisme]]*Base[[#This Row],['[Prod']Jours_ouvrés]]</f>
        <v>1.7912080000000001</v>
      </c>
      <c r="CB545" s="4">
        <f>Base[[#This Row],[Prévalence_prod]]*(1-Base[[#This Row],[Risque]])*Base[[#This Row],[Présentéisme]]*Base[[#This Row],['[Prod']Jours_ouvrés]]</f>
        <v>1.4158752557881906</v>
      </c>
      <c r="CC545" s="4">
        <f>Base[[#This Row],['[Prod']'[Présentéisme']Jours_avant]]-Base[[#This Row],['[Prod']'[Présentéisme']Jours_après]]</f>
        <v>0.37533274421180951</v>
      </c>
      <c r="CD545" s="4">
        <f>Base[[#This Row],['[Prod']'[Présentéisme']Jours_gagnés]]/Base[[#This Row],['[Prod']Jours_ouvrés]]</f>
        <v>1.4776879693378328E-3</v>
      </c>
      <c r="CE545">
        <v>9.3428413505841454E-2</v>
      </c>
      <c r="CF545">
        <v>2.1038737314955848E-2</v>
      </c>
      <c r="CG545" s="4">
        <v>11</v>
      </c>
      <c r="CH545" s="4">
        <v>0.85274500894619554</v>
      </c>
      <c r="CI545" s="4">
        <v>4.2903496994109176E-2</v>
      </c>
      <c r="CJ545" s="4">
        <f>IF(Base[[#This Row],[Secteur]]&lt;&gt;"Moyenne",Base[[#This Row],['[Prod']'[Turnover']DMC_initiale]]*(1+Base[[#This Row],['[Prod']'[Turnover']Ecart_accidents]]*Base[[#This Row],['[Prod']Impact_motifs_turnover]]),CJ528*CI528+CJ529*CI529+CJ530*CI530+CJ531*CI531+CJ532*CI532+CJ533*CI533+CJ534*CI534+CJ535*CI535+CJ536*CI536+CJ537*CI537+CJ538*CI538+CJ539*CI539+CJ540*CI540+CJ541*CI541+CJ542*CI542+CJ543*CI543+CJ544*CI544)</f>
        <v>11.197347460638447</v>
      </c>
      <c r="CK545" s="4">
        <f>1/Base[[#This Row],['[Prod']'[Turnover']DMC_initiale]]</f>
        <v>9.0909090909090912E-2</v>
      </c>
      <c r="CL545" s="4">
        <f>1/Base[[#This Row],['[Prod']'[Turnover']DMC_finale]]</f>
        <v>8.930686517635153E-2</v>
      </c>
    </row>
    <row r="546" spans="2:90" x14ac:dyDescent="0.25">
      <c r="B546" s="4" t="s">
        <v>322</v>
      </c>
      <c r="C546">
        <v>30</v>
      </c>
      <c r="D546" t="s">
        <v>85</v>
      </c>
      <c r="E546" t="s">
        <v>8</v>
      </c>
      <c r="F546" s="3">
        <v>0.20954168595261374</v>
      </c>
      <c r="G546" s="3">
        <v>4.1000000000000002E-2</v>
      </c>
      <c r="H546" s="3">
        <v>4.1000000000000002E-2</v>
      </c>
      <c r="I546" s="3">
        <v>0.17199999999999999</v>
      </c>
      <c r="J546" s="3">
        <v>3.8954334592466999</v>
      </c>
      <c r="K546" s="3">
        <v>7.0000000000000007E-2</v>
      </c>
      <c r="L546" s="2">
        <f>Base[[#This Row],[Coût]]*Base[[#This Row],[Part_ménages_dépenses_santé]]</f>
        <v>0.27268034214726899</v>
      </c>
      <c r="M546" s="2">
        <v>0.82690611956969029</v>
      </c>
      <c r="N546" s="6">
        <v>27700000</v>
      </c>
      <c r="O546" s="7">
        <f>Base[[#This Row],[Coût_salarié]]*10^9*Base[[#This Row],[Risque]]*Base[[#This Row],[Prévalence]]*Base[[#This Row],[Part_coûts_salarié]]/Base[[#This Row],[Population_emploi]]</f>
        <v>6.9933386250772972E-2</v>
      </c>
      <c r="P546">
        <v>50</v>
      </c>
      <c r="Q546">
        <v>50</v>
      </c>
      <c r="R546" s="2">
        <v>9.9999999999999978E-2</v>
      </c>
      <c r="S546" s="2">
        <v>0.33340000000000003</v>
      </c>
      <c r="T546" s="4">
        <v>4.1000000000000002E-2</v>
      </c>
      <c r="U546" s="4">
        <f>IF(Bases_annexes!$F$5=0,16.6587111018772,0.77*Bases_annexes!$F$5/(IF(OR(ISBLANK('Données_d''entrée'!$E$44),'Données_d''entrée'!$E$44=0),35,'Données_d''entrée'!$E$44)*52))</f>
        <v>16.658711101877199</v>
      </c>
      <c r="V546" s="4">
        <v>6.5286422873795198</v>
      </c>
      <c r="W5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6" s="4">
        <v>234.5</v>
      </c>
      <c r="Y546" s="4">
        <f>(Base[[#This Row],['[Maladies']Coûts_évités_par_salarié]]+Base[[#This Row],['[Travail']Coûts_évités_par_salarié]])/Base[[#This Row],[Budget_santé_salarié]]</f>
        <v>1.4622307015292638E-2</v>
      </c>
      <c r="Z546" s="4">
        <v>0.8</v>
      </c>
      <c r="AA546" s="4">
        <f>Base[[#This Row],[Coût]]*Base[[#This Row],[Part_société_dépenses_santé]]</f>
        <v>3.1163467673973599</v>
      </c>
      <c r="AB546" s="4">
        <v>67635124</v>
      </c>
      <c r="AC546" s="4">
        <v>82.297079063317852</v>
      </c>
      <c r="AD546" s="4">
        <v>0.11599999999999999</v>
      </c>
      <c r="AE546" s="4">
        <f>Base[[#This Row],['[SC']Prévalence_travail]]*Base[[#This Row],[Population_emploi]]</f>
        <v>3213200</v>
      </c>
      <c r="AF546" s="4">
        <f>Base[[#This Row],[Risque]]*Base[[#This Row],['[SC']Patients_en_emploi]]</f>
        <v>673299.34530293848</v>
      </c>
      <c r="AG546" s="4">
        <v>552654220.25999999</v>
      </c>
      <c r="AH546" s="4">
        <f>IFERROR(Base[[#This Row],['[SC']Prestations]]/Base[[#This Row],['[SC']Patients_en_emploi]],0)</f>
        <v>171.99496460226564</v>
      </c>
      <c r="AI546" s="4">
        <v>51.7</v>
      </c>
      <c r="AJ5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6" s="4">
        <f>Base[[#This Row],['[SC']'[Travail']Coûts_évités]]/Base[[#This Row],[Population_emploi]]</f>
        <v>4.1806533235417884</v>
      </c>
      <c r="AL546" s="4">
        <f>Base[[#This Row],[Coût_société]]*10^9*Base[[#This Row],[Risque]]*Base[[#This Row],[Prévalence]]*Base[[#This Row],[Part_coûts_salarié]]/Base[[#This Row],[Population_emploi]]</f>
        <v>0.7992387000088339</v>
      </c>
      <c r="AM546" s="4">
        <f>IF(Base[[#This Row],[Pathologie]]&lt;&gt;"Dépendance",0,14909.24243952)</f>
        <v>0</v>
      </c>
      <c r="AN546" s="4">
        <f>IF(Base[[#This Row],[Pathologie]]&lt;&gt;"Dépendance",0,1316000)</f>
        <v>0</v>
      </c>
      <c r="AO546" s="4">
        <f>IF(Base[[#This Row],[Pathologie]]&lt;&gt;"Dépendance",0,Base[[#This Row],['[SC']Coût_personne_dépendante]]*Base[[#This Row],['[SC']Nb_personnes_dépendantes]])</f>
        <v>0</v>
      </c>
      <c r="AP546" s="4">
        <f>IF(Base[[#This Row],[Pathologie]]&lt;&gt;"Dépendance",0,Base[[#This Row],['[SC']Coût_total_dépendance]]/Base[[#This Row],[Population_totale]])</f>
        <v>0</v>
      </c>
      <c r="AQ546" s="4">
        <f>IF(Base[[#This Row],[Pathologie]]&lt;&gt;"Dépendance",0,4.5)</f>
        <v>0</v>
      </c>
      <c r="AR546" s="4">
        <v>1.0077957276768601</v>
      </c>
      <c r="AS546" s="4">
        <f>Base[[#This Row],[Espérance_vie]]+Base[[#This Row],['[SC']Hausse_esp_de_vie]]-Base[[#This Row],['[SC']Durée_moyenne_dépendance_avt]]+Base[[#This Row],[Risque]]</f>
        <v>83.514416476947332</v>
      </c>
      <c r="AT5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6" s="4">
        <v>62.9</v>
      </c>
      <c r="AW546" s="4">
        <f t="shared" si="16"/>
        <v>336905600000</v>
      </c>
      <c r="AX546" s="4">
        <v>15049171</v>
      </c>
      <c r="AY546" s="4">
        <f>Base[[#This Row],['[SC']Budget_total_retraites]]/Base[[#This Row],['[SC']Nombre_de_retraités]]</f>
        <v>22386.987296509556</v>
      </c>
      <c r="AZ546" s="4">
        <f>Base[[#This Row],['[SC']Budget_par_retraité]]*Base[[#This Row],['[SC']Nb_personnes_dépendantes]]</f>
        <v>0</v>
      </c>
      <c r="BA546" s="4">
        <f>Base[[#This Row],['[SC']'[Dépendance']Coût_retraite_personnes_dépendantes]]/Base[[#This Row],[Population_totale]]</f>
        <v>0</v>
      </c>
      <c r="BB54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6" s="4">
        <f>Base[[#This Row],['[SC']'[Dépendance']Gains]]-Base[[#This Row],['[SC']'[Dépendance']Coûts]]</f>
        <v>0</v>
      </c>
      <c r="BD546" s="4">
        <f>IF(Base[[#This Row],[Pathologie]]&lt;&gt;"Mort prématurée",0,Base[[#This Row],[Risque]]*Base[[#This Row],[Prévalence]]*Base[[#This Row],[Population_totale]])</f>
        <v>0</v>
      </c>
      <c r="BE546" s="4">
        <v>52.74</v>
      </c>
      <c r="BF546" s="4">
        <f>Base[[#This Row],['[SC']Âge_moyen_retraite]]-Base[[#This Row],['[SC']'[Mort_prématurée']Âge_moyen_mort précoce]]</f>
        <v>10.159999999999997</v>
      </c>
      <c r="BG546" s="4">
        <f>Base[[#This Row],[Espérance_vie]]+Base[[#This Row],['[SC']Hausse_esp_de_vie]]-Base[[#This Row],['[SC']Âge_moyen_retraite]]</f>
        <v>20.404874790994718</v>
      </c>
      <c r="BH546" s="4">
        <v>106583.42676924677</v>
      </c>
      <c r="BI546" s="4">
        <v>97601.789429271477</v>
      </c>
      <c r="BJ546" s="4">
        <v>302038.31496633729</v>
      </c>
      <c r="BK546" s="4">
        <v>117293.58934859755</v>
      </c>
      <c r="BL546" s="4">
        <v>1523999.9999999995</v>
      </c>
      <c r="BM5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6" s="4">
        <v>294804.96027377353</v>
      </c>
      <c r="BO5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6" s="4">
        <f>(Base[[#This Row],['[SC']'[Mort_prématurée']Gains]]-Base[[#This Row],['[SC']'[Mort_prématurée']Coûts]])/Base[[#This Row],[Population_totale]]</f>
        <v>0</v>
      </c>
      <c r="BQ546" s="4">
        <f>IF(Base[[#This Row],[Pathologie]]&lt;&gt;"Mort prématurée",0,Base[[#This Row],[Risque]])</f>
        <v>0</v>
      </c>
      <c r="BR546" s="4">
        <v>2680</v>
      </c>
      <c r="BS5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6" s="4">
        <f>Base[[#This Row],[Prévalence_prod]]*(1-Base[[#This Row],[Risque]])*Base[[#This Row],[Durée_arrêt]]*Base[[#This Row],[Population_emploi]]</f>
        <v>5860915.6518959031</v>
      </c>
      <c r="BV546" s="4">
        <f>Base[[#This Row],['[Prod']'[Absentéisme']Total_jours_absence_avant]]-Base[[#This Row],['[Prod']'[Absentéisme']Total_jours_absence_après]]</f>
        <v>1553663.3938810183</v>
      </c>
      <c r="BW546" s="4">
        <f>IF(AND(Base[[#This Row],[Pathologie]]&lt;&gt;"Dépendance",Base[[#This Row],[Pathologie]]&lt;&gt;"Mort prématurée",Base[[#This Row],[Pathologie]]&lt;&gt;"Migraine"),0.0619,0)</f>
        <v>6.1899999999999997E-2</v>
      </c>
      <c r="BX546" s="4">
        <v>254</v>
      </c>
      <c r="BY546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6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6" s="4">
        <f>Base[[#This Row],[Prévalence_prod]]*Base[[#This Row],[Présentéisme]]*Base[[#This Row],['[Prod']Jours_ouvrés]]</f>
        <v>1.7912080000000001</v>
      </c>
      <c r="CB546" s="4">
        <f>Base[[#This Row],[Prévalence_prod]]*(1-Base[[#This Row],[Risque]])*Base[[#This Row],[Présentéisme]]*Base[[#This Row],['[Prod']Jours_ouvrés]]</f>
        <v>1.4158752557881906</v>
      </c>
      <c r="CC546" s="4">
        <f>Base[[#This Row],['[Prod']'[Présentéisme']Jours_avant]]-Base[[#This Row],['[Prod']'[Présentéisme']Jours_après]]</f>
        <v>0.37533274421180951</v>
      </c>
      <c r="CD546" s="4">
        <f>Base[[#This Row],['[Prod']'[Présentéisme']Jours_gagnés]]/Base[[#This Row],['[Prod']Jours_ouvrés]]</f>
        <v>1.4776879693378328E-3</v>
      </c>
      <c r="CE546">
        <v>9.3428413505841454E-2</v>
      </c>
      <c r="CF546">
        <v>2.1038737314955848E-2</v>
      </c>
      <c r="CG546" s="4">
        <v>11</v>
      </c>
      <c r="CH546" s="4">
        <v>1.6219398392978641</v>
      </c>
      <c r="CI546" s="4">
        <v>9.628527536862988E-2</v>
      </c>
      <c r="CJ546" s="4">
        <f>IF(Base[[#This Row],[Secteur]]&lt;&gt;"Moyenne",Base[[#This Row],['[Prod']'[Turnover']DMC_initiale]]*(1+Base[[#This Row],['[Prod']'[Turnover']Ecart_accidents]]*Base[[#This Row],['[Prod']Impact_motifs_turnover]]),CJ529*CI529+CJ530*CI530+CJ531*CI531+CJ532*CI532+CJ533*CI533+CJ534*CI534+CJ535*CI535+CJ536*CI536+CJ537*CI537+CJ538*CI538+CJ539*CI539+CJ540*CI540+CJ541*CI541+CJ542*CI542+CJ543*CI543+CJ544*CI544+CJ545*CI545)</f>
        <v>11.375359228416144</v>
      </c>
      <c r="CK546" s="4">
        <f>1/Base[[#This Row],['[Prod']'[Turnover']DMC_initiale]]</f>
        <v>9.0909090909090912E-2</v>
      </c>
      <c r="CL546" s="4">
        <f>1/Base[[#This Row],['[Prod']'[Turnover']DMC_finale]]</f>
        <v>8.7909311690303041E-2</v>
      </c>
    </row>
    <row r="547" spans="2:90" x14ac:dyDescent="0.25">
      <c r="B547" s="4" t="s">
        <v>323</v>
      </c>
      <c r="C547">
        <v>30</v>
      </c>
      <c r="D547" t="s">
        <v>85</v>
      </c>
      <c r="E547" t="s">
        <v>8</v>
      </c>
      <c r="F547" s="3">
        <v>0.20954168595261374</v>
      </c>
      <c r="G547" s="3">
        <v>4.1000000000000002E-2</v>
      </c>
      <c r="H547" s="3">
        <v>4.1000000000000002E-2</v>
      </c>
      <c r="I547" s="3">
        <v>0.17199999999999999</v>
      </c>
      <c r="J547" s="3">
        <v>3.8954334592466999</v>
      </c>
      <c r="K547" s="3">
        <v>7.0000000000000007E-2</v>
      </c>
      <c r="L547" s="2">
        <f>Base[[#This Row],[Coût]]*Base[[#This Row],[Part_ménages_dépenses_santé]]</f>
        <v>0.27268034214726899</v>
      </c>
      <c r="M547" s="2">
        <v>0.82690611956969029</v>
      </c>
      <c r="N547" s="6">
        <v>27700000</v>
      </c>
      <c r="O547" s="7">
        <f>Base[[#This Row],[Coût_salarié]]*10^9*Base[[#This Row],[Risque]]*Base[[#This Row],[Prévalence]]*Base[[#This Row],[Part_coûts_salarié]]/Base[[#This Row],[Population_emploi]]</f>
        <v>6.9933386250772972E-2</v>
      </c>
      <c r="P547">
        <v>50</v>
      </c>
      <c r="Q547">
        <v>50</v>
      </c>
      <c r="R547" s="2">
        <v>9.9999999999999978E-2</v>
      </c>
      <c r="S547" s="2">
        <v>0.33340000000000003</v>
      </c>
      <c r="T547" s="4">
        <v>4.1000000000000002E-2</v>
      </c>
      <c r="U547" s="4">
        <f>IF(Bases_annexes!$F$5=0,16.6587111018772,0.77*Bases_annexes!$F$5/(IF(OR(ISBLANK('Données_d''entrée'!$E$44),'Données_d''entrée'!$E$44=0),35,'Données_d''entrée'!$E$44)*52))</f>
        <v>16.658711101877199</v>
      </c>
      <c r="V547" s="4">
        <v>6.5286422873795198</v>
      </c>
      <c r="W5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7" s="4">
        <v>234.5</v>
      </c>
      <c r="Y547" s="4">
        <f>(Base[[#This Row],['[Maladies']Coûts_évités_par_salarié]]+Base[[#This Row],['[Travail']Coûts_évités_par_salarié]])/Base[[#This Row],[Budget_santé_salarié]]</f>
        <v>1.4622307015292638E-2</v>
      </c>
      <c r="Z547" s="4">
        <v>0.8</v>
      </c>
      <c r="AA547" s="4">
        <f>Base[[#This Row],[Coût]]*Base[[#This Row],[Part_société_dépenses_santé]]</f>
        <v>3.1163467673973599</v>
      </c>
      <c r="AB547" s="4">
        <v>67635124</v>
      </c>
      <c r="AC547" s="4">
        <v>82.297079063317852</v>
      </c>
      <c r="AD547" s="4">
        <v>0.11599999999999999</v>
      </c>
      <c r="AE547" s="4">
        <f>Base[[#This Row],['[SC']Prévalence_travail]]*Base[[#This Row],[Population_emploi]]</f>
        <v>3213200</v>
      </c>
      <c r="AF547" s="4">
        <f>Base[[#This Row],[Risque]]*Base[[#This Row],['[SC']Patients_en_emploi]]</f>
        <v>673299.34530293848</v>
      </c>
      <c r="AG547" s="4">
        <v>552654220.25999999</v>
      </c>
      <c r="AH547" s="4">
        <f>IFERROR(Base[[#This Row],['[SC']Prestations]]/Base[[#This Row],['[SC']Patients_en_emploi]],0)</f>
        <v>171.99496460226564</v>
      </c>
      <c r="AI547" s="4">
        <v>51.7</v>
      </c>
      <c r="AJ5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7" s="4">
        <f>Base[[#This Row],['[SC']'[Travail']Coûts_évités]]/Base[[#This Row],[Population_emploi]]</f>
        <v>4.1806533235417884</v>
      </c>
      <c r="AL547" s="4">
        <f>Base[[#This Row],[Coût_société]]*10^9*Base[[#This Row],[Risque]]*Base[[#This Row],[Prévalence]]*Base[[#This Row],[Part_coûts_salarié]]/Base[[#This Row],[Population_emploi]]</f>
        <v>0.7992387000088339</v>
      </c>
      <c r="AM547" s="4">
        <f>IF(Base[[#This Row],[Pathologie]]&lt;&gt;"Dépendance",0,14909.24243952)</f>
        <v>0</v>
      </c>
      <c r="AN547" s="4">
        <f>IF(Base[[#This Row],[Pathologie]]&lt;&gt;"Dépendance",0,1316000)</f>
        <v>0</v>
      </c>
      <c r="AO547" s="4">
        <f>IF(Base[[#This Row],[Pathologie]]&lt;&gt;"Dépendance",0,Base[[#This Row],['[SC']Coût_personne_dépendante]]*Base[[#This Row],['[SC']Nb_personnes_dépendantes]])</f>
        <v>0</v>
      </c>
      <c r="AP547" s="4">
        <f>IF(Base[[#This Row],[Pathologie]]&lt;&gt;"Dépendance",0,Base[[#This Row],['[SC']Coût_total_dépendance]]/Base[[#This Row],[Population_totale]])</f>
        <v>0</v>
      </c>
      <c r="AQ547" s="4">
        <f>IF(Base[[#This Row],[Pathologie]]&lt;&gt;"Dépendance",0,4.5)</f>
        <v>0</v>
      </c>
      <c r="AR547" s="4">
        <v>1.0077957276768601</v>
      </c>
      <c r="AS547" s="4">
        <f>Base[[#This Row],[Espérance_vie]]+Base[[#This Row],['[SC']Hausse_esp_de_vie]]-Base[[#This Row],['[SC']Durée_moyenne_dépendance_avt]]+Base[[#This Row],[Risque]]</f>
        <v>83.514416476947332</v>
      </c>
      <c r="AT5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7" s="4">
        <v>62.9</v>
      </c>
      <c r="AW547" s="4">
        <f t="shared" si="16"/>
        <v>336905600000</v>
      </c>
      <c r="AX547" s="4">
        <v>15049171</v>
      </c>
      <c r="AY547" s="4">
        <f>Base[[#This Row],['[SC']Budget_total_retraites]]/Base[[#This Row],['[SC']Nombre_de_retraités]]</f>
        <v>22386.987296509556</v>
      </c>
      <c r="AZ547" s="4">
        <f>Base[[#This Row],['[SC']Budget_par_retraité]]*Base[[#This Row],['[SC']Nb_personnes_dépendantes]]</f>
        <v>0</v>
      </c>
      <c r="BA547" s="4">
        <f>Base[[#This Row],['[SC']'[Dépendance']Coût_retraite_personnes_dépendantes]]/Base[[#This Row],[Population_totale]]</f>
        <v>0</v>
      </c>
      <c r="BB5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7" s="4">
        <f>Base[[#This Row],['[SC']'[Dépendance']Gains]]-Base[[#This Row],['[SC']'[Dépendance']Coûts]]</f>
        <v>0</v>
      </c>
      <c r="BD547" s="4">
        <f>IF(Base[[#This Row],[Pathologie]]&lt;&gt;"Mort prématurée",0,Base[[#This Row],[Risque]]*Base[[#This Row],[Prévalence]]*Base[[#This Row],[Population_totale]])</f>
        <v>0</v>
      </c>
      <c r="BE547" s="4">
        <v>52.74</v>
      </c>
      <c r="BF547" s="4">
        <f>Base[[#This Row],['[SC']Âge_moyen_retraite]]-Base[[#This Row],['[SC']'[Mort_prématurée']Âge_moyen_mort précoce]]</f>
        <v>10.159999999999997</v>
      </c>
      <c r="BG547" s="4">
        <f>Base[[#This Row],[Espérance_vie]]+Base[[#This Row],['[SC']Hausse_esp_de_vie]]-Base[[#This Row],['[SC']Âge_moyen_retraite]]</f>
        <v>20.404874790994718</v>
      </c>
      <c r="BH547" s="4">
        <v>106583.42676924677</v>
      </c>
      <c r="BI547" s="4">
        <v>97601.789429271477</v>
      </c>
      <c r="BJ547" s="4">
        <v>302038.31496633729</v>
      </c>
      <c r="BK547" s="4">
        <v>117293.58934859755</v>
      </c>
      <c r="BL547" s="4">
        <v>1523999.9999999995</v>
      </c>
      <c r="BM5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7" s="4">
        <v>294804.96027377353</v>
      </c>
      <c r="BO5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7" s="4">
        <f>(Base[[#This Row],['[SC']'[Mort_prématurée']Gains]]-Base[[#This Row],['[SC']'[Mort_prématurée']Coûts]])/Base[[#This Row],[Population_totale]]</f>
        <v>0</v>
      </c>
      <c r="BQ547" s="4">
        <f>IF(Base[[#This Row],[Pathologie]]&lt;&gt;"Mort prématurée",0,Base[[#This Row],[Risque]])</f>
        <v>0</v>
      </c>
      <c r="BR547" s="4">
        <v>2680</v>
      </c>
      <c r="BS5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7" s="4">
        <f>Base[[#This Row],[Prévalence_prod]]*(1-Base[[#This Row],[Risque]])*Base[[#This Row],[Durée_arrêt]]*Base[[#This Row],[Population_emploi]]</f>
        <v>5860915.6518959031</v>
      </c>
      <c r="BV547" s="4">
        <f>Base[[#This Row],['[Prod']'[Absentéisme']Total_jours_absence_avant]]-Base[[#This Row],['[Prod']'[Absentéisme']Total_jours_absence_après]]</f>
        <v>1553663.3938810183</v>
      </c>
      <c r="BW547" s="4">
        <f>IF(AND(Base[[#This Row],[Pathologie]]&lt;&gt;"Dépendance",Base[[#This Row],[Pathologie]]&lt;&gt;"Mort prématurée",Base[[#This Row],[Pathologie]]&lt;&gt;"Migraine"),0.0619,0)</f>
        <v>6.1899999999999997E-2</v>
      </c>
      <c r="BX547" s="4">
        <v>254</v>
      </c>
      <c r="BY547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7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7" s="4">
        <f>Base[[#This Row],[Prévalence_prod]]*Base[[#This Row],[Présentéisme]]*Base[[#This Row],['[Prod']Jours_ouvrés]]</f>
        <v>1.7912080000000001</v>
      </c>
      <c r="CB547" s="4">
        <f>Base[[#This Row],[Prévalence_prod]]*(1-Base[[#This Row],[Risque]])*Base[[#This Row],[Présentéisme]]*Base[[#This Row],['[Prod']Jours_ouvrés]]</f>
        <v>1.4158752557881906</v>
      </c>
      <c r="CC547" s="4">
        <f>Base[[#This Row],['[Prod']'[Présentéisme']Jours_avant]]-Base[[#This Row],['[Prod']'[Présentéisme']Jours_après]]</f>
        <v>0.37533274421180951</v>
      </c>
      <c r="CD547" s="4">
        <f>Base[[#This Row],['[Prod']'[Présentéisme']Jours_gagnés]]/Base[[#This Row],['[Prod']Jours_ouvrés]]</f>
        <v>1.4776879693378328E-3</v>
      </c>
      <c r="CE547">
        <v>9.3428413505841454E-2</v>
      </c>
      <c r="CF547">
        <v>2.1038737314955848E-2</v>
      </c>
      <c r="CG547" s="4">
        <v>11</v>
      </c>
      <c r="CH547" s="4">
        <v>0.96913802401210614</v>
      </c>
      <c r="CI547" s="4">
        <v>0.10293966445307301</v>
      </c>
      <c r="CJ547" s="4">
        <f>IF(Base[[#This Row],[Secteur]]&lt;&gt;"Moyenne",Base[[#This Row],['[Prod']'[Turnover']DMC_initiale]]*(1+Base[[#This Row],['[Prod']'[Turnover']Ecart_accidents]]*Base[[#This Row],['[Prod']Impact_motifs_turnover]]),CJ530*CI530+CJ531*CI531+CJ532*CI532+CJ533*CI533+CJ534*CI534+CJ535*CI535+CJ536*CI536+CJ537*CI537+CJ538*CI538+CJ539*CI539+CJ540*CI540+CJ541*CI541+CJ542*CI542+CJ543*CI543+CJ544*CI544+CJ545*CI545+CJ546*CI546)</f>
        <v>11.224283843400386</v>
      </c>
      <c r="CK547" s="4">
        <f>1/Base[[#This Row],['[Prod']'[Turnover']DMC_initiale]]</f>
        <v>9.0909090909090912E-2</v>
      </c>
      <c r="CL547" s="4">
        <f>1/Base[[#This Row],['[Prod']'[Turnover']DMC_finale]]</f>
        <v>8.9092543805186858E-2</v>
      </c>
    </row>
    <row r="548" spans="2:90" x14ac:dyDescent="0.25">
      <c r="B548" s="4" t="s">
        <v>324</v>
      </c>
      <c r="C548">
        <v>30</v>
      </c>
      <c r="D548" t="s">
        <v>85</v>
      </c>
      <c r="E548" t="s">
        <v>8</v>
      </c>
      <c r="F548" s="3">
        <v>0.20954168595261374</v>
      </c>
      <c r="G548" s="3">
        <v>4.1000000000000002E-2</v>
      </c>
      <c r="H548" s="3">
        <v>4.1000000000000002E-2</v>
      </c>
      <c r="I548" s="3">
        <v>0.17199999999999999</v>
      </c>
      <c r="J548" s="3">
        <v>3.8954334592466999</v>
      </c>
      <c r="K548" s="3">
        <v>7.0000000000000007E-2</v>
      </c>
      <c r="L548" s="2">
        <f>Base[[#This Row],[Coût]]*Base[[#This Row],[Part_ménages_dépenses_santé]]</f>
        <v>0.27268034214726899</v>
      </c>
      <c r="M548" s="2">
        <v>0.82690611956969029</v>
      </c>
      <c r="N548" s="6">
        <v>27700000</v>
      </c>
      <c r="O548" s="7">
        <f>Base[[#This Row],[Coût_salarié]]*10^9*Base[[#This Row],[Risque]]*Base[[#This Row],[Prévalence]]*Base[[#This Row],[Part_coûts_salarié]]/Base[[#This Row],[Population_emploi]]</f>
        <v>6.9933386250772972E-2</v>
      </c>
      <c r="P548">
        <v>50</v>
      </c>
      <c r="Q548">
        <v>50</v>
      </c>
      <c r="R548" s="2">
        <v>9.9999999999999978E-2</v>
      </c>
      <c r="S548" s="2">
        <v>0.33340000000000003</v>
      </c>
      <c r="T548" s="4">
        <v>4.1000000000000002E-2</v>
      </c>
      <c r="U548" s="4">
        <f>IF(Bases_annexes!$F$5=0,16.6587111018772,0.77*Bases_annexes!$F$5/(IF(OR(ISBLANK('Données_d''entrée'!$E$44),'Données_d''entrée'!$E$44=0),35,'Données_d''entrée'!$E$44)*52))</f>
        <v>16.658711101877199</v>
      </c>
      <c r="V548" s="4">
        <v>6.5286422873795198</v>
      </c>
      <c r="W5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8" s="4">
        <v>234.5</v>
      </c>
      <c r="Y548" s="4">
        <f>(Base[[#This Row],['[Maladies']Coûts_évités_par_salarié]]+Base[[#This Row],['[Travail']Coûts_évités_par_salarié]])/Base[[#This Row],[Budget_santé_salarié]]</f>
        <v>1.4622307015292638E-2</v>
      </c>
      <c r="Z548" s="4">
        <v>0.8</v>
      </c>
      <c r="AA548" s="4">
        <f>Base[[#This Row],[Coût]]*Base[[#This Row],[Part_société_dépenses_santé]]</f>
        <v>3.1163467673973599</v>
      </c>
      <c r="AB548" s="4">
        <v>67635124</v>
      </c>
      <c r="AC548" s="4">
        <v>82.297079063317852</v>
      </c>
      <c r="AD548" s="4">
        <v>0.11599999999999999</v>
      </c>
      <c r="AE548" s="4">
        <f>Base[[#This Row],['[SC']Prévalence_travail]]*Base[[#This Row],[Population_emploi]]</f>
        <v>3213200</v>
      </c>
      <c r="AF548" s="4">
        <f>Base[[#This Row],[Risque]]*Base[[#This Row],['[SC']Patients_en_emploi]]</f>
        <v>673299.34530293848</v>
      </c>
      <c r="AG548" s="4">
        <v>552654220.25999999</v>
      </c>
      <c r="AH548" s="4">
        <f>IFERROR(Base[[#This Row],['[SC']Prestations]]/Base[[#This Row],['[SC']Patients_en_emploi]],0)</f>
        <v>171.99496460226564</v>
      </c>
      <c r="AI548" s="4">
        <v>51.7</v>
      </c>
      <c r="AJ5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8" s="4">
        <f>Base[[#This Row],['[SC']'[Travail']Coûts_évités]]/Base[[#This Row],[Population_emploi]]</f>
        <v>4.1806533235417884</v>
      </c>
      <c r="AL548" s="4">
        <f>Base[[#This Row],[Coût_société]]*10^9*Base[[#This Row],[Risque]]*Base[[#This Row],[Prévalence]]*Base[[#This Row],[Part_coûts_salarié]]/Base[[#This Row],[Population_emploi]]</f>
        <v>0.7992387000088339</v>
      </c>
      <c r="AM548" s="4">
        <f>IF(Base[[#This Row],[Pathologie]]&lt;&gt;"Dépendance",0,14909.24243952)</f>
        <v>0</v>
      </c>
      <c r="AN548" s="4">
        <f>IF(Base[[#This Row],[Pathologie]]&lt;&gt;"Dépendance",0,1316000)</f>
        <v>0</v>
      </c>
      <c r="AO548" s="4">
        <f>IF(Base[[#This Row],[Pathologie]]&lt;&gt;"Dépendance",0,Base[[#This Row],['[SC']Coût_personne_dépendante]]*Base[[#This Row],['[SC']Nb_personnes_dépendantes]])</f>
        <v>0</v>
      </c>
      <c r="AP548" s="4">
        <f>IF(Base[[#This Row],[Pathologie]]&lt;&gt;"Dépendance",0,Base[[#This Row],['[SC']Coût_total_dépendance]]/Base[[#This Row],[Population_totale]])</f>
        <v>0</v>
      </c>
      <c r="AQ548" s="4">
        <f>IF(Base[[#This Row],[Pathologie]]&lt;&gt;"Dépendance",0,4.5)</f>
        <v>0</v>
      </c>
      <c r="AR548" s="4">
        <v>1.0077957276768601</v>
      </c>
      <c r="AS548" s="4">
        <f>Base[[#This Row],[Espérance_vie]]+Base[[#This Row],['[SC']Hausse_esp_de_vie]]-Base[[#This Row],['[SC']Durée_moyenne_dépendance_avt]]+Base[[#This Row],[Risque]]</f>
        <v>83.514416476947332</v>
      </c>
      <c r="AT5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8" s="4">
        <v>62.9</v>
      </c>
      <c r="AW548" s="4">
        <f t="shared" si="16"/>
        <v>336905600000</v>
      </c>
      <c r="AX548" s="4">
        <v>15049171</v>
      </c>
      <c r="AY548" s="4">
        <f>Base[[#This Row],['[SC']Budget_total_retraites]]/Base[[#This Row],['[SC']Nombre_de_retraités]]</f>
        <v>22386.987296509556</v>
      </c>
      <c r="AZ548" s="4">
        <f>Base[[#This Row],['[SC']Budget_par_retraité]]*Base[[#This Row],['[SC']Nb_personnes_dépendantes]]</f>
        <v>0</v>
      </c>
      <c r="BA548" s="4">
        <f>Base[[#This Row],['[SC']'[Dépendance']Coût_retraite_personnes_dépendantes]]/Base[[#This Row],[Population_totale]]</f>
        <v>0</v>
      </c>
      <c r="BB5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8" s="4">
        <f>Base[[#This Row],['[SC']'[Dépendance']Gains]]-Base[[#This Row],['[SC']'[Dépendance']Coûts]]</f>
        <v>0</v>
      </c>
      <c r="BD548" s="4">
        <f>IF(Base[[#This Row],[Pathologie]]&lt;&gt;"Mort prématurée",0,Base[[#This Row],[Risque]]*Base[[#This Row],[Prévalence]]*Base[[#This Row],[Population_totale]])</f>
        <v>0</v>
      </c>
      <c r="BE548" s="4">
        <v>52.74</v>
      </c>
      <c r="BF548" s="4">
        <f>Base[[#This Row],['[SC']Âge_moyen_retraite]]-Base[[#This Row],['[SC']'[Mort_prématurée']Âge_moyen_mort précoce]]</f>
        <v>10.159999999999997</v>
      </c>
      <c r="BG548" s="4">
        <f>Base[[#This Row],[Espérance_vie]]+Base[[#This Row],['[SC']Hausse_esp_de_vie]]-Base[[#This Row],['[SC']Âge_moyen_retraite]]</f>
        <v>20.404874790994718</v>
      </c>
      <c r="BH548" s="4">
        <v>106583.42676924677</v>
      </c>
      <c r="BI548" s="4">
        <v>97601.789429271477</v>
      </c>
      <c r="BJ548" s="4">
        <v>302038.31496633729</v>
      </c>
      <c r="BK548" s="4">
        <v>117293.58934859755</v>
      </c>
      <c r="BL548" s="4">
        <v>1523999.9999999995</v>
      </c>
      <c r="BM5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8" s="4">
        <v>294804.96027377353</v>
      </c>
      <c r="BO5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8" s="4">
        <f>(Base[[#This Row],['[SC']'[Mort_prématurée']Gains]]-Base[[#This Row],['[SC']'[Mort_prématurée']Coûts]])/Base[[#This Row],[Population_totale]]</f>
        <v>0</v>
      </c>
      <c r="BQ548" s="4">
        <f>IF(Base[[#This Row],[Pathologie]]&lt;&gt;"Mort prématurée",0,Base[[#This Row],[Risque]])</f>
        <v>0</v>
      </c>
      <c r="BR548" s="4">
        <v>2680</v>
      </c>
      <c r="BS5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8" s="4">
        <f>Base[[#This Row],[Prévalence_prod]]*(1-Base[[#This Row],[Risque]])*Base[[#This Row],[Durée_arrêt]]*Base[[#This Row],[Population_emploi]]</f>
        <v>5860915.6518959031</v>
      </c>
      <c r="BV548" s="4">
        <f>Base[[#This Row],['[Prod']'[Absentéisme']Total_jours_absence_avant]]-Base[[#This Row],['[Prod']'[Absentéisme']Total_jours_absence_après]]</f>
        <v>1553663.3938810183</v>
      </c>
      <c r="BW548" s="4">
        <f>IF(AND(Base[[#This Row],[Pathologie]]&lt;&gt;"Dépendance",Base[[#This Row],[Pathologie]]&lt;&gt;"Mort prématurée",Base[[#This Row],[Pathologie]]&lt;&gt;"Migraine"),0.0619,0)</f>
        <v>6.1899999999999997E-2</v>
      </c>
      <c r="BX548" s="4">
        <v>254</v>
      </c>
      <c r="BY548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8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8" s="4">
        <f>Base[[#This Row],[Prévalence_prod]]*Base[[#This Row],[Présentéisme]]*Base[[#This Row],['[Prod']Jours_ouvrés]]</f>
        <v>1.7912080000000001</v>
      </c>
      <c r="CB548" s="4">
        <f>Base[[#This Row],[Prévalence_prod]]*(1-Base[[#This Row],[Risque]])*Base[[#This Row],[Présentéisme]]*Base[[#This Row],['[Prod']Jours_ouvrés]]</f>
        <v>1.4158752557881906</v>
      </c>
      <c r="CC548" s="4">
        <f>Base[[#This Row],['[Prod']'[Présentéisme']Jours_avant]]-Base[[#This Row],['[Prod']'[Présentéisme']Jours_après]]</f>
        <v>0.37533274421180951</v>
      </c>
      <c r="CD548" s="4">
        <f>Base[[#This Row],['[Prod']'[Présentéisme']Jours_gagnés]]/Base[[#This Row],['[Prod']Jours_ouvrés]]</f>
        <v>1.4776879693378328E-3</v>
      </c>
      <c r="CE548">
        <v>9.3428413505841454E-2</v>
      </c>
      <c r="CF548">
        <v>2.1038737314955848E-2</v>
      </c>
      <c r="CG548" s="4">
        <v>11</v>
      </c>
      <c r="CH548" s="4">
        <v>1.3987208237662601</v>
      </c>
      <c r="CI548" s="4">
        <v>2.1768516166491274E-2</v>
      </c>
      <c r="CJ548" s="4">
        <f>IF(Base[[#This Row],[Secteur]]&lt;&gt;"Moyenne",Base[[#This Row],['[Prod']'[Turnover']DMC_initiale]]*(1+Base[[#This Row],['[Prod']'[Turnover']Ecart_accidents]]*Base[[#This Row],['[Prod']Impact_motifs_turnover]]),CJ531*CI531+CJ532*CI532+CJ533*CI533+CJ534*CI534+CJ535*CI535+CJ536*CI536+CJ537*CI537+CJ538*CI538+CJ539*CI539+CJ540*CI540+CJ541*CI541+CJ542*CI542+CJ543*CI543+CJ544*CI544+CJ545*CI545+CJ546*CI546+CJ547*CI547)</f>
        <v>11.323700519869947</v>
      </c>
      <c r="CK548" s="4">
        <f>1/Base[[#This Row],['[Prod']'[Turnover']DMC_initiale]]</f>
        <v>9.0909090909090912E-2</v>
      </c>
      <c r="CL548" s="4">
        <f>1/Base[[#This Row],['[Prod']'[Turnover']DMC_finale]]</f>
        <v>8.8310353867561045E-2</v>
      </c>
    </row>
    <row r="549" spans="2:90" x14ac:dyDescent="0.25">
      <c r="B549" s="4" t="s">
        <v>325</v>
      </c>
      <c r="C549">
        <v>30</v>
      </c>
      <c r="D549" t="s">
        <v>85</v>
      </c>
      <c r="E549" t="s">
        <v>8</v>
      </c>
      <c r="F549" s="3">
        <v>0.20954168595261374</v>
      </c>
      <c r="G549" s="3">
        <v>4.1000000000000002E-2</v>
      </c>
      <c r="H549" s="3">
        <v>4.1000000000000002E-2</v>
      </c>
      <c r="I549" s="3">
        <v>0.17199999999999999</v>
      </c>
      <c r="J549" s="3">
        <v>3.8954334592466999</v>
      </c>
      <c r="K549" s="3">
        <v>7.0000000000000007E-2</v>
      </c>
      <c r="L549" s="2">
        <f>Base[[#This Row],[Coût]]*Base[[#This Row],[Part_ménages_dépenses_santé]]</f>
        <v>0.27268034214726899</v>
      </c>
      <c r="M549" s="2">
        <v>0.82690611956969029</v>
      </c>
      <c r="N549" s="6">
        <v>27700000</v>
      </c>
      <c r="O549" s="7">
        <f>Base[[#This Row],[Coût_salarié]]*10^9*Base[[#This Row],[Risque]]*Base[[#This Row],[Prévalence]]*Base[[#This Row],[Part_coûts_salarié]]/Base[[#This Row],[Population_emploi]]</f>
        <v>6.9933386250772972E-2</v>
      </c>
      <c r="P549">
        <v>50</v>
      </c>
      <c r="Q549">
        <v>50</v>
      </c>
      <c r="R549" s="2">
        <v>9.9999999999999978E-2</v>
      </c>
      <c r="S549" s="2">
        <v>0.33340000000000003</v>
      </c>
      <c r="T549" s="4">
        <v>4.1000000000000002E-2</v>
      </c>
      <c r="U549" s="4">
        <f>IF(Bases_annexes!$F$5=0,16.6587111018772,0.77*Bases_annexes!$F$5/(IF(OR(ISBLANK('Données_d''entrée'!$E$44),'Données_d''entrée'!$E$44=0),35,'Données_d''entrée'!$E$44)*52))</f>
        <v>16.658711101877199</v>
      </c>
      <c r="V549" s="4">
        <v>6.5286422873795198</v>
      </c>
      <c r="W5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49" s="4">
        <v>234.5</v>
      </c>
      <c r="Y549" s="4">
        <f>(Base[[#This Row],['[Maladies']Coûts_évités_par_salarié]]+Base[[#This Row],['[Travail']Coûts_évités_par_salarié]])/Base[[#This Row],[Budget_santé_salarié]]</f>
        <v>1.4622307015292638E-2</v>
      </c>
      <c r="Z549" s="4">
        <v>0.8</v>
      </c>
      <c r="AA549" s="4">
        <f>Base[[#This Row],[Coût]]*Base[[#This Row],[Part_société_dépenses_santé]]</f>
        <v>3.1163467673973599</v>
      </c>
      <c r="AB549" s="4">
        <v>67635124</v>
      </c>
      <c r="AC549" s="4">
        <v>82.297079063317852</v>
      </c>
      <c r="AD549" s="4">
        <v>0.11599999999999999</v>
      </c>
      <c r="AE549" s="4">
        <f>Base[[#This Row],['[SC']Prévalence_travail]]*Base[[#This Row],[Population_emploi]]</f>
        <v>3213200</v>
      </c>
      <c r="AF549" s="4">
        <f>Base[[#This Row],[Risque]]*Base[[#This Row],['[SC']Patients_en_emploi]]</f>
        <v>673299.34530293848</v>
      </c>
      <c r="AG549" s="4">
        <v>552654220.25999999</v>
      </c>
      <c r="AH549" s="4">
        <f>IFERROR(Base[[#This Row],['[SC']Prestations]]/Base[[#This Row],['[SC']Patients_en_emploi]],0)</f>
        <v>171.99496460226564</v>
      </c>
      <c r="AI549" s="4">
        <v>51.7</v>
      </c>
      <c r="AJ5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49" s="4">
        <f>Base[[#This Row],['[SC']'[Travail']Coûts_évités]]/Base[[#This Row],[Population_emploi]]</f>
        <v>4.1806533235417884</v>
      </c>
      <c r="AL549" s="4">
        <f>Base[[#This Row],[Coût_société]]*10^9*Base[[#This Row],[Risque]]*Base[[#This Row],[Prévalence]]*Base[[#This Row],[Part_coûts_salarié]]/Base[[#This Row],[Population_emploi]]</f>
        <v>0.7992387000088339</v>
      </c>
      <c r="AM549" s="4">
        <f>IF(Base[[#This Row],[Pathologie]]&lt;&gt;"Dépendance",0,14909.24243952)</f>
        <v>0</v>
      </c>
      <c r="AN549" s="4">
        <f>IF(Base[[#This Row],[Pathologie]]&lt;&gt;"Dépendance",0,1316000)</f>
        <v>0</v>
      </c>
      <c r="AO549" s="4">
        <f>IF(Base[[#This Row],[Pathologie]]&lt;&gt;"Dépendance",0,Base[[#This Row],['[SC']Coût_personne_dépendante]]*Base[[#This Row],['[SC']Nb_personnes_dépendantes]])</f>
        <v>0</v>
      </c>
      <c r="AP549" s="4">
        <f>IF(Base[[#This Row],[Pathologie]]&lt;&gt;"Dépendance",0,Base[[#This Row],['[SC']Coût_total_dépendance]]/Base[[#This Row],[Population_totale]])</f>
        <v>0</v>
      </c>
      <c r="AQ549" s="4">
        <f>IF(Base[[#This Row],[Pathologie]]&lt;&gt;"Dépendance",0,4.5)</f>
        <v>0</v>
      </c>
      <c r="AR549" s="4">
        <v>1.0077957276768601</v>
      </c>
      <c r="AS549" s="4">
        <f>Base[[#This Row],[Espérance_vie]]+Base[[#This Row],['[SC']Hausse_esp_de_vie]]-Base[[#This Row],['[SC']Durée_moyenne_dépendance_avt]]+Base[[#This Row],[Risque]]</f>
        <v>83.514416476947332</v>
      </c>
      <c r="AT5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49" s="4">
        <v>62.9</v>
      </c>
      <c r="AW549" s="4">
        <f t="shared" si="16"/>
        <v>336905600000</v>
      </c>
      <c r="AX549" s="4">
        <v>15049171</v>
      </c>
      <c r="AY549" s="4">
        <f>Base[[#This Row],['[SC']Budget_total_retraites]]/Base[[#This Row],['[SC']Nombre_de_retraités]]</f>
        <v>22386.987296509556</v>
      </c>
      <c r="AZ549" s="4">
        <f>Base[[#This Row],['[SC']Budget_par_retraité]]*Base[[#This Row],['[SC']Nb_personnes_dépendantes]]</f>
        <v>0</v>
      </c>
      <c r="BA549" s="4">
        <f>Base[[#This Row],['[SC']'[Dépendance']Coût_retraite_personnes_dépendantes]]/Base[[#This Row],[Population_totale]]</f>
        <v>0</v>
      </c>
      <c r="BB5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49" s="4">
        <f>Base[[#This Row],['[SC']'[Dépendance']Gains]]-Base[[#This Row],['[SC']'[Dépendance']Coûts]]</f>
        <v>0</v>
      </c>
      <c r="BD549" s="4">
        <f>IF(Base[[#This Row],[Pathologie]]&lt;&gt;"Mort prématurée",0,Base[[#This Row],[Risque]]*Base[[#This Row],[Prévalence]]*Base[[#This Row],[Population_totale]])</f>
        <v>0</v>
      </c>
      <c r="BE549" s="4">
        <v>52.74</v>
      </c>
      <c r="BF549" s="4">
        <f>Base[[#This Row],['[SC']Âge_moyen_retraite]]-Base[[#This Row],['[SC']'[Mort_prématurée']Âge_moyen_mort précoce]]</f>
        <v>10.159999999999997</v>
      </c>
      <c r="BG549" s="4">
        <f>Base[[#This Row],[Espérance_vie]]+Base[[#This Row],['[SC']Hausse_esp_de_vie]]-Base[[#This Row],['[SC']Âge_moyen_retraite]]</f>
        <v>20.404874790994718</v>
      </c>
      <c r="BH549" s="4">
        <v>106583.42676924677</v>
      </c>
      <c r="BI549" s="4">
        <v>97601.789429271477</v>
      </c>
      <c r="BJ549" s="4">
        <v>302038.31496633729</v>
      </c>
      <c r="BK549" s="4">
        <v>117293.58934859755</v>
      </c>
      <c r="BL549" s="4">
        <v>1523999.9999999995</v>
      </c>
      <c r="BM5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49" s="4">
        <v>294804.96027377353</v>
      </c>
      <c r="BO5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49" s="4">
        <f>(Base[[#This Row],['[SC']'[Mort_prématurée']Gains]]-Base[[#This Row],['[SC']'[Mort_prématurée']Coûts]])/Base[[#This Row],[Population_totale]]</f>
        <v>0</v>
      </c>
      <c r="BQ549" s="4">
        <f>IF(Base[[#This Row],[Pathologie]]&lt;&gt;"Mort prématurée",0,Base[[#This Row],[Risque]])</f>
        <v>0</v>
      </c>
      <c r="BR549" s="4">
        <v>2680</v>
      </c>
      <c r="BS5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49" s="4">
        <f>Base[[#This Row],[Prévalence_prod]]*(1-Base[[#This Row],[Risque]])*Base[[#This Row],[Durée_arrêt]]*Base[[#This Row],[Population_emploi]]</f>
        <v>5860915.6518959031</v>
      </c>
      <c r="BV549" s="4">
        <f>Base[[#This Row],['[Prod']'[Absentéisme']Total_jours_absence_avant]]-Base[[#This Row],['[Prod']'[Absentéisme']Total_jours_absence_après]]</f>
        <v>1553663.3938810183</v>
      </c>
      <c r="BW549" s="4">
        <f>IF(AND(Base[[#This Row],[Pathologie]]&lt;&gt;"Dépendance",Base[[#This Row],[Pathologie]]&lt;&gt;"Mort prématurée",Base[[#This Row],[Pathologie]]&lt;&gt;"Migraine"),0.0619,0)</f>
        <v>6.1899999999999997E-2</v>
      </c>
      <c r="BX549" s="4">
        <v>254</v>
      </c>
      <c r="BY549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49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49" s="4">
        <f>Base[[#This Row],[Prévalence_prod]]*Base[[#This Row],[Présentéisme]]*Base[[#This Row],['[Prod']Jours_ouvrés]]</f>
        <v>1.7912080000000001</v>
      </c>
      <c r="CB549" s="4">
        <f>Base[[#This Row],[Prévalence_prod]]*(1-Base[[#This Row],[Risque]])*Base[[#This Row],[Présentéisme]]*Base[[#This Row],['[Prod']Jours_ouvrés]]</f>
        <v>1.4158752557881906</v>
      </c>
      <c r="CC549" s="4">
        <f>Base[[#This Row],['[Prod']'[Présentéisme']Jours_avant]]-Base[[#This Row],['[Prod']'[Présentéisme']Jours_après]]</f>
        <v>0.37533274421180951</v>
      </c>
      <c r="CD549" s="4">
        <f>Base[[#This Row],['[Prod']'[Présentéisme']Jours_gagnés]]/Base[[#This Row],['[Prod']Jours_ouvrés]]</f>
        <v>1.4776879693378328E-3</v>
      </c>
      <c r="CE549">
        <v>9.3428413505841454E-2</v>
      </c>
      <c r="CF549">
        <v>2.1038737314955848E-2</v>
      </c>
      <c r="CG549" s="4">
        <v>11</v>
      </c>
      <c r="CH549" s="4">
        <v>1.1624525375985588</v>
      </c>
      <c r="CI549" s="4">
        <v>3.7953151649308701E-2</v>
      </c>
      <c r="CJ549" s="4">
        <f>IF(Base[[#This Row],[Secteur]]&lt;&gt;"Moyenne",Base[[#This Row],['[Prod']'[Turnover']DMC_initiale]]*(1+Base[[#This Row],['[Prod']'[Turnover']Ecart_accidents]]*Base[[#This Row],['[Prod']Impact_motifs_turnover]]),CJ532*CI532+CJ533*CI533+CJ534*CI534+CJ535*CI535+CJ536*CI536+CJ537*CI537+CJ538*CI538+CJ539*CI539+CJ540*CI540+CJ541*CI541+CJ542*CI542+CJ543*CI543+CJ544*CI544+CJ545*CI545+CJ546*CI546+CJ547*CI547+CJ548*CI548)</f>
        <v>11.269021869376038</v>
      </c>
      <c r="CK549" s="4">
        <f>1/Base[[#This Row],['[Prod']'[Turnover']DMC_initiale]]</f>
        <v>9.0909090909090912E-2</v>
      </c>
      <c r="CL549" s="4">
        <f>1/Base[[#This Row],['[Prod']'[Turnover']DMC_finale]]</f>
        <v>8.8738846333907204E-2</v>
      </c>
    </row>
    <row r="550" spans="2:90" x14ac:dyDescent="0.25">
      <c r="B550" s="4" t="s">
        <v>326</v>
      </c>
      <c r="C550">
        <v>30</v>
      </c>
      <c r="D550" t="s">
        <v>85</v>
      </c>
      <c r="E550" t="s">
        <v>8</v>
      </c>
      <c r="F550" s="3">
        <v>0.20954168595261374</v>
      </c>
      <c r="G550" s="3">
        <v>4.1000000000000002E-2</v>
      </c>
      <c r="H550" s="3">
        <v>4.1000000000000002E-2</v>
      </c>
      <c r="I550" s="3">
        <v>0.17199999999999999</v>
      </c>
      <c r="J550" s="3">
        <v>3.8954334592466999</v>
      </c>
      <c r="K550" s="3">
        <v>7.0000000000000007E-2</v>
      </c>
      <c r="L550" s="2">
        <f>Base[[#This Row],[Coût]]*Base[[#This Row],[Part_ménages_dépenses_santé]]</f>
        <v>0.27268034214726899</v>
      </c>
      <c r="M550" s="2">
        <v>0.82690611956969029</v>
      </c>
      <c r="N550" s="6">
        <v>27700000</v>
      </c>
      <c r="O550" s="7">
        <f>Base[[#This Row],[Coût_salarié]]*10^9*Base[[#This Row],[Risque]]*Base[[#This Row],[Prévalence]]*Base[[#This Row],[Part_coûts_salarié]]/Base[[#This Row],[Population_emploi]]</f>
        <v>6.9933386250772972E-2</v>
      </c>
      <c r="P550">
        <v>50</v>
      </c>
      <c r="Q550">
        <v>50</v>
      </c>
      <c r="R550" s="2">
        <v>9.9999999999999978E-2</v>
      </c>
      <c r="S550" s="2">
        <v>0.33340000000000003</v>
      </c>
      <c r="T550" s="4">
        <v>4.1000000000000002E-2</v>
      </c>
      <c r="U550" s="4">
        <f>IF(Bases_annexes!$F$5=0,16.6587111018772,0.77*Bases_annexes!$F$5/(IF(OR(ISBLANK('Données_d''entrée'!$E$44),'Données_d''entrée'!$E$44=0),35,'Données_d''entrée'!$E$44)*52))</f>
        <v>16.658711101877199</v>
      </c>
      <c r="V550" s="4">
        <v>6.5286422873795198</v>
      </c>
      <c r="W5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0" s="4">
        <v>234.5</v>
      </c>
      <c r="Y550" s="4">
        <f>(Base[[#This Row],['[Maladies']Coûts_évités_par_salarié]]+Base[[#This Row],['[Travail']Coûts_évités_par_salarié]])/Base[[#This Row],[Budget_santé_salarié]]</f>
        <v>1.4622307015292638E-2</v>
      </c>
      <c r="Z550" s="4">
        <v>0.8</v>
      </c>
      <c r="AA550" s="4">
        <f>Base[[#This Row],[Coût]]*Base[[#This Row],[Part_société_dépenses_santé]]</f>
        <v>3.1163467673973599</v>
      </c>
      <c r="AB550" s="4">
        <v>67635124</v>
      </c>
      <c r="AC550" s="4">
        <v>82.297079063317852</v>
      </c>
      <c r="AD550" s="4">
        <v>0.11599999999999999</v>
      </c>
      <c r="AE550" s="4">
        <f>Base[[#This Row],['[SC']Prévalence_travail]]*Base[[#This Row],[Population_emploi]]</f>
        <v>3213200</v>
      </c>
      <c r="AF550" s="4">
        <f>Base[[#This Row],[Risque]]*Base[[#This Row],['[SC']Patients_en_emploi]]</f>
        <v>673299.34530293848</v>
      </c>
      <c r="AG550" s="4">
        <v>552654220.25999999</v>
      </c>
      <c r="AH550" s="4">
        <f>IFERROR(Base[[#This Row],['[SC']Prestations]]/Base[[#This Row],['[SC']Patients_en_emploi]],0)</f>
        <v>171.99496460226564</v>
      </c>
      <c r="AI550" s="4">
        <v>51.7</v>
      </c>
      <c r="AJ5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0" s="4">
        <f>Base[[#This Row],['[SC']'[Travail']Coûts_évités]]/Base[[#This Row],[Population_emploi]]</f>
        <v>4.1806533235417884</v>
      </c>
      <c r="AL550" s="4">
        <f>Base[[#This Row],[Coût_société]]*10^9*Base[[#This Row],[Risque]]*Base[[#This Row],[Prévalence]]*Base[[#This Row],[Part_coûts_salarié]]/Base[[#This Row],[Population_emploi]]</f>
        <v>0.7992387000088339</v>
      </c>
      <c r="AM550" s="4">
        <f>IF(Base[[#This Row],[Pathologie]]&lt;&gt;"Dépendance",0,14909.24243952)</f>
        <v>0</v>
      </c>
      <c r="AN550" s="4">
        <f>IF(Base[[#This Row],[Pathologie]]&lt;&gt;"Dépendance",0,1316000)</f>
        <v>0</v>
      </c>
      <c r="AO550" s="4">
        <f>IF(Base[[#This Row],[Pathologie]]&lt;&gt;"Dépendance",0,Base[[#This Row],['[SC']Coût_personne_dépendante]]*Base[[#This Row],['[SC']Nb_personnes_dépendantes]])</f>
        <v>0</v>
      </c>
      <c r="AP550" s="4">
        <f>IF(Base[[#This Row],[Pathologie]]&lt;&gt;"Dépendance",0,Base[[#This Row],['[SC']Coût_total_dépendance]]/Base[[#This Row],[Population_totale]])</f>
        <v>0</v>
      </c>
      <c r="AQ550" s="4">
        <f>IF(Base[[#This Row],[Pathologie]]&lt;&gt;"Dépendance",0,4.5)</f>
        <v>0</v>
      </c>
      <c r="AR550" s="4">
        <v>1.0077957276768601</v>
      </c>
      <c r="AS550" s="4">
        <f>Base[[#This Row],[Espérance_vie]]+Base[[#This Row],['[SC']Hausse_esp_de_vie]]-Base[[#This Row],['[SC']Durée_moyenne_dépendance_avt]]+Base[[#This Row],[Risque]]</f>
        <v>83.514416476947332</v>
      </c>
      <c r="AT5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0" s="4">
        <v>62.9</v>
      </c>
      <c r="AW550" s="4">
        <f t="shared" si="16"/>
        <v>336905600000</v>
      </c>
      <c r="AX550" s="4">
        <v>15049171</v>
      </c>
      <c r="AY550" s="4">
        <f>Base[[#This Row],['[SC']Budget_total_retraites]]/Base[[#This Row],['[SC']Nombre_de_retraités]]</f>
        <v>22386.987296509556</v>
      </c>
      <c r="AZ550" s="4">
        <f>Base[[#This Row],['[SC']Budget_par_retraité]]*Base[[#This Row],['[SC']Nb_personnes_dépendantes]]</f>
        <v>0</v>
      </c>
      <c r="BA550" s="4">
        <f>Base[[#This Row],['[SC']'[Dépendance']Coût_retraite_personnes_dépendantes]]/Base[[#This Row],[Population_totale]]</f>
        <v>0</v>
      </c>
      <c r="BB5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0" s="4">
        <f>Base[[#This Row],['[SC']'[Dépendance']Gains]]-Base[[#This Row],['[SC']'[Dépendance']Coûts]]</f>
        <v>0</v>
      </c>
      <c r="BD550" s="4">
        <f>IF(Base[[#This Row],[Pathologie]]&lt;&gt;"Mort prématurée",0,Base[[#This Row],[Risque]]*Base[[#This Row],[Prévalence]]*Base[[#This Row],[Population_totale]])</f>
        <v>0</v>
      </c>
      <c r="BE550" s="4">
        <v>52.74</v>
      </c>
      <c r="BF550" s="4">
        <f>Base[[#This Row],['[SC']Âge_moyen_retraite]]-Base[[#This Row],['[SC']'[Mort_prématurée']Âge_moyen_mort précoce]]</f>
        <v>10.159999999999997</v>
      </c>
      <c r="BG550" s="4">
        <f>Base[[#This Row],[Espérance_vie]]+Base[[#This Row],['[SC']Hausse_esp_de_vie]]-Base[[#This Row],['[SC']Âge_moyen_retraite]]</f>
        <v>20.404874790994718</v>
      </c>
      <c r="BH550" s="4">
        <v>106583.42676924677</v>
      </c>
      <c r="BI550" s="4">
        <v>97601.789429271477</v>
      </c>
      <c r="BJ550" s="4">
        <v>302038.31496633729</v>
      </c>
      <c r="BK550" s="4">
        <v>117293.58934859755</v>
      </c>
      <c r="BL550" s="4">
        <v>1523999.9999999995</v>
      </c>
      <c r="BM5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0" s="4">
        <v>294804.96027377353</v>
      </c>
      <c r="BO5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0" s="4">
        <f>(Base[[#This Row],['[SC']'[Mort_prématurée']Gains]]-Base[[#This Row],['[SC']'[Mort_prématurée']Coûts]])/Base[[#This Row],[Population_totale]]</f>
        <v>0</v>
      </c>
      <c r="BQ550" s="4">
        <f>IF(Base[[#This Row],[Pathologie]]&lt;&gt;"Mort prématurée",0,Base[[#This Row],[Risque]])</f>
        <v>0</v>
      </c>
      <c r="BR550" s="4">
        <v>2680</v>
      </c>
      <c r="BS5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0" s="4">
        <f>Base[[#This Row],[Prévalence_prod]]*(1-Base[[#This Row],[Risque]])*Base[[#This Row],[Durée_arrêt]]*Base[[#This Row],[Population_emploi]]</f>
        <v>5860915.6518959031</v>
      </c>
      <c r="BV550" s="4">
        <f>Base[[#This Row],['[Prod']'[Absentéisme']Total_jours_absence_avant]]-Base[[#This Row],['[Prod']'[Absentéisme']Total_jours_absence_après]]</f>
        <v>1553663.3938810183</v>
      </c>
      <c r="BW550" s="4">
        <f>IF(AND(Base[[#This Row],[Pathologie]]&lt;&gt;"Dépendance",Base[[#This Row],[Pathologie]]&lt;&gt;"Mort prématurée",Base[[#This Row],[Pathologie]]&lt;&gt;"Migraine"),0.0619,0)</f>
        <v>6.1899999999999997E-2</v>
      </c>
      <c r="BX550" s="4">
        <v>254</v>
      </c>
      <c r="BY550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0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0" s="4">
        <f>Base[[#This Row],[Prévalence_prod]]*Base[[#This Row],[Présentéisme]]*Base[[#This Row],['[Prod']Jours_ouvrés]]</f>
        <v>1.7912080000000001</v>
      </c>
      <c r="CB550" s="4">
        <f>Base[[#This Row],[Prévalence_prod]]*(1-Base[[#This Row],[Risque]])*Base[[#This Row],[Présentéisme]]*Base[[#This Row],['[Prod']Jours_ouvrés]]</f>
        <v>1.4158752557881906</v>
      </c>
      <c r="CC550" s="4">
        <f>Base[[#This Row],['[Prod']'[Présentéisme']Jours_avant]]-Base[[#This Row],['[Prod']'[Présentéisme']Jours_après]]</f>
        <v>0.37533274421180951</v>
      </c>
      <c r="CD550" s="4">
        <f>Base[[#This Row],['[Prod']'[Présentéisme']Jours_gagnés]]/Base[[#This Row],['[Prod']Jours_ouvrés]]</f>
        <v>1.4776879693378328E-3</v>
      </c>
      <c r="CE550">
        <v>9.3428413505841454E-2</v>
      </c>
      <c r="CF550">
        <v>2.1038737314955848E-2</v>
      </c>
      <c r="CG550" s="4">
        <v>11</v>
      </c>
      <c r="CH550" s="4">
        <v>0.19346787829229528</v>
      </c>
      <c r="CI550" s="4">
        <v>2.8126549817953091E-2</v>
      </c>
      <c r="CJ550" s="4">
        <f>IF(Base[[#This Row],[Secteur]]&lt;&gt;"Moyenne",Base[[#This Row],['[Prod']'[Turnover']DMC_initiale]]*(1+Base[[#This Row],['[Prod']'[Turnover']Ecart_accidents]]*Base[[#This Row],['[Prod']Impact_motifs_turnover]]),CJ533*CI533+CJ534*CI534+CJ535*CI535+CJ536*CI536+CJ537*CI537+CJ538*CI538+CJ539*CI539+CJ540*CI540+CJ541*CI541+CJ542*CI542+CJ543*CI543+CJ544*CI544+CJ545*CI545+CJ546*CI546+CJ547*CI547+CJ548*CI548+CJ549*CI549)</f>
        <v>11.044773518573008</v>
      </c>
      <c r="CK550" s="4">
        <f>1/Base[[#This Row],['[Prod']'[Turnover']DMC_initiale]]</f>
        <v>9.0909090909090912E-2</v>
      </c>
      <c r="CL550" s="4">
        <f>1/Base[[#This Row],['[Prod']'[Turnover']DMC_finale]]</f>
        <v>9.0540561861082031E-2</v>
      </c>
    </row>
    <row r="551" spans="2:90" x14ac:dyDescent="0.25">
      <c r="B551" s="4" t="s">
        <v>327</v>
      </c>
      <c r="C551">
        <v>30</v>
      </c>
      <c r="D551" t="s">
        <v>85</v>
      </c>
      <c r="E551" t="s">
        <v>8</v>
      </c>
      <c r="F551" s="3">
        <v>0.20954168595261374</v>
      </c>
      <c r="G551" s="3">
        <v>4.1000000000000002E-2</v>
      </c>
      <c r="H551" s="3">
        <v>4.1000000000000002E-2</v>
      </c>
      <c r="I551" s="3">
        <v>0.17199999999999999</v>
      </c>
      <c r="J551" s="3">
        <v>3.8954334592466999</v>
      </c>
      <c r="K551" s="3">
        <v>7.0000000000000007E-2</v>
      </c>
      <c r="L551" s="2">
        <f>Base[[#This Row],[Coût]]*Base[[#This Row],[Part_ménages_dépenses_santé]]</f>
        <v>0.27268034214726899</v>
      </c>
      <c r="M551" s="2">
        <v>0.82690611956969029</v>
      </c>
      <c r="N551" s="6">
        <v>27700000</v>
      </c>
      <c r="O551" s="7">
        <f>Base[[#This Row],[Coût_salarié]]*10^9*Base[[#This Row],[Risque]]*Base[[#This Row],[Prévalence]]*Base[[#This Row],[Part_coûts_salarié]]/Base[[#This Row],[Population_emploi]]</f>
        <v>6.9933386250772972E-2</v>
      </c>
      <c r="P551">
        <v>50</v>
      </c>
      <c r="Q551">
        <v>50</v>
      </c>
      <c r="R551" s="2">
        <v>9.9999999999999978E-2</v>
      </c>
      <c r="S551" s="2">
        <v>0.33340000000000003</v>
      </c>
      <c r="T551" s="4">
        <v>4.1000000000000002E-2</v>
      </c>
      <c r="U551" s="4">
        <f>IF(Bases_annexes!$F$5=0,16.6587111018772,0.77*Bases_annexes!$F$5/(IF(OR(ISBLANK('Données_d''entrée'!$E$44),'Données_d''entrée'!$E$44=0),35,'Données_d''entrée'!$E$44)*52))</f>
        <v>16.658711101877199</v>
      </c>
      <c r="V551" s="4">
        <v>6.5286422873795198</v>
      </c>
      <c r="W5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1" s="4">
        <v>234.5</v>
      </c>
      <c r="Y551" s="4">
        <f>(Base[[#This Row],['[Maladies']Coûts_évités_par_salarié]]+Base[[#This Row],['[Travail']Coûts_évités_par_salarié]])/Base[[#This Row],[Budget_santé_salarié]]</f>
        <v>1.4622307015292638E-2</v>
      </c>
      <c r="Z551" s="4">
        <v>0.8</v>
      </c>
      <c r="AA551" s="4">
        <f>Base[[#This Row],[Coût]]*Base[[#This Row],[Part_société_dépenses_santé]]</f>
        <v>3.1163467673973599</v>
      </c>
      <c r="AB551" s="4">
        <v>67635124</v>
      </c>
      <c r="AC551" s="4">
        <v>82.297079063317852</v>
      </c>
      <c r="AD551" s="4">
        <v>0.11599999999999999</v>
      </c>
      <c r="AE551" s="4">
        <f>Base[[#This Row],['[SC']Prévalence_travail]]*Base[[#This Row],[Population_emploi]]</f>
        <v>3213200</v>
      </c>
      <c r="AF551" s="4">
        <f>Base[[#This Row],[Risque]]*Base[[#This Row],['[SC']Patients_en_emploi]]</f>
        <v>673299.34530293848</v>
      </c>
      <c r="AG551" s="4">
        <v>552654220.25999999</v>
      </c>
      <c r="AH551" s="4">
        <f>IFERROR(Base[[#This Row],['[SC']Prestations]]/Base[[#This Row],['[SC']Patients_en_emploi]],0)</f>
        <v>171.99496460226564</v>
      </c>
      <c r="AI551" s="4">
        <v>51.7</v>
      </c>
      <c r="AJ5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1" s="4">
        <f>Base[[#This Row],['[SC']'[Travail']Coûts_évités]]/Base[[#This Row],[Population_emploi]]</f>
        <v>4.1806533235417884</v>
      </c>
      <c r="AL551" s="4">
        <f>Base[[#This Row],[Coût_société]]*10^9*Base[[#This Row],[Risque]]*Base[[#This Row],[Prévalence]]*Base[[#This Row],[Part_coûts_salarié]]/Base[[#This Row],[Population_emploi]]</f>
        <v>0.7992387000088339</v>
      </c>
      <c r="AM551" s="4">
        <f>IF(Base[[#This Row],[Pathologie]]&lt;&gt;"Dépendance",0,14909.24243952)</f>
        <v>0</v>
      </c>
      <c r="AN551" s="4">
        <f>IF(Base[[#This Row],[Pathologie]]&lt;&gt;"Dépendance",0,1316000)</f>
        <v>0</v>
      </c>
      <c r="AO551" s="4">
        <f>IF(Base[[#This Row],[Pathologie]]&lt;&gt;"Dépendance",0,Base[[#This Row],['[SC']Coût_personne_dépendante]]*Base[[#This Row],['[SC']Nb_personnes_dépendantes]])</f>
        <v>0</v>
      </c>
      <c r="AP551" s="4">
        <f>IF(Base[[#This Row],[Pathologie]]&lt;&gt;"Dépendance",0,Base[[#This Row],['[SC']Coût_total_dépendance]]/Base[[#This Row],[Population_totale]])</f>
        <v>0</v>
      </c>
      <c r="AQ551" s="4">
        <f>IF(Base[[#This Row],[Pathologie]]&lt;&gt;"Dépendance",0,4.5)</f>
        <v>0</v>
      </c>
      <c r="AR551" s="4">
        <v>1.0077957276768601</v>
      </c>
      <c r="AS551" s="4">
        <f>Base[[#This Row],[Espérance_vie]]+Base[[#This Row],['[SC']Hausse_esp_de_vie]]-Base[[#This Row],['[SC']Durée_moyenne_dépendance_avt]]+Base[[#This Row],[Risque]]</f>
        <v>83.514416476947332</v>
      </c>
      <c r="AT5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1" s="4">
        <v>62.9</v>
      </c>
      <c r="AW551" s="4">
        <f t="shared" si="16"/>
        <v>336905600000</v>
      </c>
      <c r="AX551" s="4">
        <v>15049171</v>
      </c>
      <c r="AY551" s="4">
        <f>Base[[#This Row],['[SC']Budget_total_retraites]]/Base[[#This Row],['[SC']Nombre_de_retraités]]</f>
        <v>22386.987296509556</v>
      </c>
      <c r="AZ551" s="4">
        <f>Base[[#This Row],['[SC']Budget_par_retraité]]*Base[[#This Row],['[SC']Nb_personnes_dépendantes]]</f>
        <v>0</v>
      </c>
      <c r="BA551" s="4">
        <f>Base[[#This Row],['[SC']'[Dépendance']Coût_retraite_personnes_dépendantes]]/Base[[#This Row],[Population_totale]]</f>
        <v>0</v>
      </c>
      <c r="BB5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1" s="4">
        <f>Base[[#This Row],['[SC']'[Dépendance']Gains]]-Base[[#This Row],['[SC']'[Dépendance']Coûts]]</f>
        <v>0</v>
      </c>
      <c r="BD551" s="4">
        <f>IF(Base[[#This Row],[Pathologie]]&lt;&gt;"Mort prématurée",0,Base[[#This Row],[Risque]]*Base[[#This Row],[Prévalence]]*Base[[#This Row],[Population_totale]])</f>
        <v>0</v>
      </c>
      <c r="BE551" s="4">
        <v>52.74</v>
      </c>
      <c r="BF551" s="4">
        <f>Base[[#This Row],['[SC']Âge_moyen_retraite]]-Base[[#This Row],['[SC']'[Mort_prématurée']Âge_moyen_mort précoce]]</f>
        <v>10.159999999999997</v>
      </c>
      <c r="BG551" s="4">
        <f>Base[[#This Row],[Espérance_vie]]+Base[[#This Row],['[SC']Hausse_esp_de_vie]]-Base[[#This Row],['[SC']Âge_moyen_retraite]]</f>
        <v>20.404874790994718</v>
      </c>
      <c r="BH551" s="4">
        <v>106583.42676924677</v>
      </c>
      <c r="BI551" s="4">
        <v>97601.789429271477</v>
      </c>
      <c r="BJ551" s="4">
        <v>302038.31496633729</v>
      </c>
      <c r="BK551" s="4">
        <v>117293.58934859755</v>
      </c>
      <c r="BL551" s="4">
        <v>1523999.9999999995</v>
      </c>
      <c r="BM5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1" s="4">
        <v>294804.96027377353</v>
      </c>
      <c r="BO5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1" s="4">
        <f>(Base[[#This Row],['[SC']'[Mort_prématurée']Gains]]-Base[[#This Row],['[SC']'[Mort_prématurée']Coûts]])/Base[[#This Row],[Population_totale]]</f>
        <v>0</v>
      </c>
      <c r="BQ551" s="4">
        <f>IF(Base[[#This Row],[Pathologie]]&lt;&gt;"Mort prématurée",0,Base[[#This Row],[Risque]])</f>
        <v>0</v>
      </c>
      <c r="BR551" s="4">
        <v>2680</v>
      </c>
      <c r="BS5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1" s="4">
        <f>Base[[#This Row],[Prévalence_prod]]*(1-Base[[#This Row],[Risque]])*Base[[#This Row],[Durée_arrêt]]*Base[[#This Row],[Population_emploi]]</f>
        <v>5860915.6518959031</v>
      </c>
      <c r="BV551" s="4">
        <f>Base[[#This Row],['[Prod']'[Absentéisme']Total_jours_absence_avant]]-Base[[#This Row],['[Prod']'[Absentéisme']Total_jours_absence_après]]</f>
        <v>1553663.3938810183</v>
      </c>
      <c r="BW551" s="4">
        <f>IF(AND(Base[[#This Row],[Pathologie]]&lt;&gt;"Dépendance",Base[[#This Row],[Pathologie]]&lt;&gt;"Mort prématurée",Base[[#This Row],[Pathologie]]&lt;&gt;"Migraine"),0.0619,0)</f>
        <v>6.1899999999999997E-2</v>
      </c>
      <c r="BX551" s="4">
        <v>254</v>
      </c>
      <c r="BY551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1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1" s="4">
        <f>Base[[#This Row],[Prévalence_prod]]*Base[[#This Row],[Présentéisme]]*Base[[#This Row],['[Prod']Jours_ouvrés]]</f>
        <v>1.7912080000000001</v>
      </c>
      <c r="CB551" s="4">
        <f>Base[[#This Row],[Prévalence_prod]]*(1-Base[[#This Row],[Risque]])*Base[[#This Row],[Présentéisme]]*Base[[#This Row],['[Prod']Jours_ouvrés]]</f>
        <v>1.4158752557881906</v>
      </c>
      <c r="CC551" s="4">
        <f>Base[[#This Row],['[Prod']'[Présentéisme']Jours_avant]]-Base[[#This Row],['[Prod']'[Présentéisme']Jours_après]]</f>
        <v>0.37533274421180951</v>
      </c>
      <c r="CD551" s="4">
        <f>Base[[#This Row],['[Prod']'[Présentéisme']Jours_gagnés]]/Base[[#This Row],['[Prod']Jours_ouvrés]]</f>
        <v>1.4776879693378328E-3</v>
      </c>
      <c r="CE551">
        <v>9.3428413505841454E-2</v>
      </c>
      <c r="CF551">
        <v>2.1038737314955848E-2</v>
      </c>
      <c r="CG551" s="4">
        <v>11</v>
      </c>
      <c r="CH551" s="4">
        <v>0.13729577077682142</v>
      </c>
      <c r="CI551" s="4">
        <v>1.373516710817578E-2</v>
      </c>
      <c r="CJ551" s="4">
        <f>IF(Base[[#This Row],[Secteur]]&lt;&gt;"Moyenne",Base[[#This Row],['[Prod']'[Turnover']DMC_initiale]]*(1+Base[[#This Row],['[Prod']'[Turnover']Ecart_accidents]]*Base[[#This Row],['[Prod']Impact_motifs_turnover]]),CJ534*CI534+CJ535*CI535+CJ536*CI536+CJ537*CI537+CJ538*CI538+CJ539*CI539+CJ540*CI540+CJ541*CI541+CJ542*CI542+CJ543*CI543+CJ544*CI544+CJ545*CI545+CJ546*CI546+CJ547*CI547+CJ548*CI548+CJ549*CI549+CJ550*CI550)</f>
        <v>11.031773826214106</v>
      </c>
      <c r="CK551" s="4">
        <f>1/Base[[#This Row],['[Prod']'[Turnover']DMC_initiale]]</f>
        <v>9.0909090909090912E-2</v>
      </c>
      <c r="CL551" s="4">
        <f>1/Base[[#This Row],['[Prod']'[Turnover']DMC_finale]]</f>
        <v>9.0647253628764871E-2</v>
      </c>
    </row>
    <row r="552" spans="2:90" x14ac:dyDescent="0.25">
      <c r="B552" s="4" t="s">
        <v>328</v>
      </c>
      <c r="C552">
        <v>30</v>
      </c>
      <c r="D552" t="s">
        <v>85</v>
      </c>
      <c r="E552" t="s">
        <v>8</v>
      </c>
      <c r="F552" s="3">
        <v>0.20954168595261374</v>
      </c>
      <c r="G552" s="3">
        <v>4.1000000000000002E-2</v>
      </c>
      <c r="H552" s="3">
        <v>4.1000000000000002E-2</v>
      </c>
      <c r="I552" s="3">
        <v>0.17199999999999999</v>
      </c>
      <c r="J552" s="3">
        <v>3.8954334592466999</v>
      </c>
      <c r="K552" s="3">
        <v>7.0000000000000007E-2</v>
      </c>
      <c r="L552" s="2">
        <f>Base[[#This Row],[Coût]]*Base[[#This Row],[Part_ménages_dépenses_santé]]</f>
        <v>0.27268034214726899</v>
      </c>
      <c r="M552" s="2">
        <v>0.82690611956969029</v>
      </c>
      <c r="N552" s="6">
        <v>27700000</v>
      </c>
      <c r="O552" s="7">
        <f>Base[[#This Row],[Coût_salarié]]*10^9*Base[[#This Row],[Risque]]*Base[[#This Row],[Prévalence]]*Base[[#This Row],[Part_coûts_salarié]]/Base[[#This Row],[Population_emploi]]</f>
        <v>6.9933386250772972E-2</v>
      </c>
      <c r="P552">
        <v>50</v>
      </c>
      <c r="Q552">
        <v>50</v>
      </c>
      <c r="R552" s="2">
        <v>9.9999999999999978E-2</v>
      </c>
      <c r="S552" s="2">
        <v>0.33340000000000003</v>
      </c>
      <c r="T552" s="4">
        <v>4.1000000000000002E-2</v>
      </c>
      <c r="U552" s="4">
        <f>IF(Bases_annexes!$F$5=0,16.6587111018772,0.77*Bases_annexes!$F$5/(IF(OR(ISBLANK('Données_d''entrée'!$E$44),'Données_d''entrée'!$E$44=0),35,'Données_d''entrée'!$E$44)*52))</f>
        <v>16.658711101877199</v>
      </c>
      <c r="V552" s="4">
        <v>6.5286422873795198</v>
      </c>
      <c r="W5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2" s="4">
        <v>234.5</v>
      </c>
      <c r="Y552" s="4">
        <f>(Base[[#This Row],['[Maladies']Coûts_évités_par_salarié]]+Base[[#This Row],['[Travail']Coûts_évités_par_salarié]])/Base[[#This Row],[Budget_santé_salarié]]</f>
        <v>1.4622307015292638E-2</v>
      </c>
      <c r="Z552" s="4">
        <v>0.8</v>
      </c>
      <c r="AA552" s="4">
        <f>Base[[#This Row],[Coût]]*Base[[#This Row],[Part_société_dépenses_santé]]</f>
        <v>3.1163467673973599</v>
      </c>
      <c r="AB552" s="4">
        <v>67635124</v>
      </c>
      <c r="AC552" s="4">
        <v>82.297079063317852</v>
      </c>
      <c r="AD552" s="4">
        <v>0.11599999999999999</v>
      </c>
      <c r="AE552" s="4">
        <f>Base[[#This Row],['[SC']Prévalence_travail]]*Base[[#This Row],[Population_emploi]]</f>
        <v>3213200</v>
      </c>
      <c r="AF552" s="4">
        <f>Base[[#This Row],[Risque]]*Base[[#This Row],['[SC']Patients_en_emploi]]</f>
        <v>673299.34530293848</v>
      </c>
      <c r="AG552" s="4">
        <v>552654220.25999999</v>
      </c>
      <c r="AH552" s="4">
        <f>IFERROR(Base[[#This Row],['[SC']Prestations]]/Base[[#This Row],['[SC']Patients_en_emploi]],0)</f>
        <v>171.99496460226564</v>
      </c>
      <c r="AI552" s="4">
        <v>51.7</v>
      </c>
      <c r="AJ5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2" s="4">
        <f>Base[[#This Row],['[SC']'[Travail']Coûts_évités]]/Base[[#This Row],[Population_emploi]]</f>
        <v>4.1806533235417884</v>
      </c>
      <c r="AL552" s="4">
        <f>Base[[#This Row],[Coût_société]]*10^9*Base[[#This Row],[Risque]]*Base[[#This Row],[Prévalence]]*Base[[#This Row],[Part_coûts_salarié]]/Base[[#This Row],[Population_emploi]]</f>
        <v>0.7992387000088339</v>
      </c>
      <c r="AM552" s="4">
        <f>IF(Base[[#This Row],[Pathologie]]&lt;&gt;"Dépendance",0,14909.24243952)</f>
        <v>0</v>
      </c>
      <c r="AN552" s="4">
        <f>IF(Base[[#This Row],[Pathologie]]&lt;&gt;"Dépendance",0,1316000)</f>
        <v>0</v>
      </c>
      <c r="AO552" s="4">
        <f>IF(Base[[#This Row],[Pathologie]]&lt;&gt;"Dépendance",0,Base[[#This Row],['[SC']Coût_personne_dépendante]]*Base[[#This Row],['[SC']Nb_personnes_dépendantes]])</f>
        <v>0</v>
      </c>
      <c r="AP552" s="4">
        <f>IF(Base[[#This Row],[Pathologie]]&lt;&gt;"Dépendance",0,Base[[#This Row],['[SC']Coût_total_dépendance]]/Base[[#This Row],[Population_totale]])</f>
        <v>0</v>
      </c>
      <c r="AQ552" s="4">
        <f>IF(Base[[#This Row],[Pathologie]]&lt;&gt;"Dépendance",0,4.5)</f>
        <v>0</v>
      </c>
      <c r="AR552" s="4">
        <v>1.0077957276768601</v>
      </c>
      <c r="AS552" s="4">
        <f>Base[[#This Row],[Espérance_vie]]+Base[[#This Row],['[SC']Hausse_esp_de_vie]]-Base[[#This Row],['[SC']Durée_moyenne_dépendance_avt]]+Base[[#This Row],[Risque]]</f>
        <v>83.514416476947332</v>
      </c>
      <c r="AT5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2" s="4">
        <v>62.9</v>
      </c>
      <c r="AW552" s="4">
        <f t="shared" si="16"/>
        <v>336905600000</v>
      </c>
      <c r="AX552" s="4">
        <v>15049171</v>
      </c>
      <c r="AY552" s="4">
        <f>Base[[#This Row],['[SC']Budget_total_retraites]]/Base[[#This Row],['[SC']Nombre_de_retraités]]</f>
        <v>22386.987296509556</v>
      </c>
      <c r="AZ552" s="4">
        <f>Base[[#This Row],['[SC']Budget_par_retraité]]*Base[[#This Row],['[SC']Nb_personnes_dépendantes]]</f>
        <v>0</v>
      </c>
      <c r="BA552" s="4">
        <f>Base[[#This Row],['[SC']'[Dépendance']Coût_retraite_personnes_dépendantes]]/Base[[#This Row],[Population_totale]]</f>
        <v>0</v>
      </c>
      <c r="BB5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2" s="4">
        <f>Base[[#This Row],['[SC']'[Dépendance']Gains]]-Base[[#This Row],['[SC']'[Dépendance']Coûts]]</f>
        <v>0</v>
      </c>
      <c r="BD552" s="4">
        <f>IF(Base[[#This Row],[Pathologie]]&lt;&gt;"Mort prématurée",0,Base[[#This Row],[Risque]]*Base[[#This Row],[Prévalence]]*Base[[#This Row],[Population_totale]])</f>
        <v>0</v>
      </c>
      <c r="BE552" s="4">
        <v>52.74</v>
      </c>
      <c r="BF552" s="4">
        <f>Base[[#This Row],['[SC']Âge_moyen_retraite]]-Base[[#This Row],['[SC']'[Mort_prématurée']Âge_moyen_mort précoce]]</f>
        <v>10.159999999999997</v>
      </c>
      <c r="BG552" s="4">
        <f>Base[[#This Row],[Espérance_vie]]+Base[[#This Row],['[SC']Hausse_esp_de_vie]]-Base[[#This Row],['[SC']Âge_moyen_retraite]]</f>
        <v>20.404874790994718</v>
      </c>
      <c r="BH552" s="4">
        <v>106583.42676924677</v>
      </c>
      <c r="BI552" s="4">
        <v>97601.789429271477</v>
      </c>
      <c r="BJ552" s="4">
        <v>302038.31496633729</v>
      </c>
      <c r="BK552" s="4">
        <v>117293.58934859755</v>
      </c>
      <c r="BL552" s="4">
        <v>1523999.9999999995</v>
      </c>
      <c r="BM5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2" s="4">
        <v>294804.96027377353</v>
      </c>
      <c r="BO5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2" s="4">
        <f>(Base[[#This Row],['[SC']'[Mort_prématurée']Gains]]-Base[[#This Row],['[SC']'[Mort_prématurée']Coûts]])/Base[[#This Row],[Population_totale]]</f>
        <v>0</v>
      </c>
      <c r="BQ552" s="4">
        <f>IF(Base[[#This Row],[Pathologie]]&lt;&gt;"Mort prématurée",0,Base[[#This Row],[Risque]])</f>
        <v>0</v>
      </c>
      <c r="BR552" s="4">
        <v>2680</v>
      </c>
      <c r="BS5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2" s="4">
        <f>Base[[#This Row],[Prévalence_prod]]*(1-Base[[#This Row],[Risque]])*Base[[#This Row],[Durée_arrêt]]*Base[[#This Row],[Population_emploi]]</f>
        <v>5860915.6518959031</v>
      </c>
      <c r="BV552" s="4">
        <f>Base[[#This Row],['[Prod']'[Absentéisme']Total_jours_absence_avant]]-Base[[#This Row],['[Prod']'[Absentéisme']Total_jours_absence_après]]</f>
        <v>1553663.3938810183</v>
      </c>
      <c r="BW552" s="4">
        <f>IF(AND(Base[[#This Row],[Pathologie]]&lt;&gt;"Dépendance",Base[[#This Row],[Pathologie]]&lt;&gt;"Mort prématurée",Base[[#This Row],[Pathologie]]&lt;&gt;"Migraine"),0.0619,0)</f>
        <v>6.1899999999999997E-2</v>
      </c>
      <c r="BX552" s="4">
        <v>254</v>
      </c>
      <c r="BY552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2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2" s="4">
        <f>Base[[#This Row],[Prévalence_prod]]*Base[[#This Row],[Présentéisme]]*Base[[#This Row],['[Prod']Jours_ouvrés]]</f>
        <v>1.7912080000000001</v>
      </c>
      <c r="CB552" s="4">
        <f>Base[[#This Row],[Prévalence_prod]]*(1-Base[[#This Row],[Risque]])*Base[[#This Row],[Présentéisme]]*Base[[#This Row],['[Prod']Jours_ouvrés]]</f>
        <v>1.4158752557881906</v>
      </c>
      <c r="CC552" s="4">
        <f>Base[[#This Row],['[Prod']'[Présentéisme']Jours_avant]]-Base[[#This Row],['[Prod']'[Présentéisme']Jours_après]]</f>
        <v>0.37533274421180951</v>
      </c>
      <c r="CD552" s="4">
        <f>Base[[#This Row],['[Prod']'[Présentéisme']Jours_gagnés]]/Base[[#This Row],['[Prod']Jours_ouvrés]]</f>
        <v>1.4776879693378328E-3</v>
      </c>
      <c r="CE552">
        <v>9.3428413505841454E-2</v>
      </c>
      <c r="CF552">
        <v>2.1038737314955848E-2</v>
      </c>
      <c r="CG552" s="4">
        <v>11</v>
      </c>
      <c r="CH552" s="4">
        <v>0.60922528771817497</v>
      </c>
      <c r="CI552" s="4">
        <v>3.8601807163334179E-3</v>
      </c>
      <c r="CJ552" s="4">
        <f>IF(Base[[#This Row],[Secteur]]&lt;&gt;"Moyenne",Base[[#This Row],['[Prod']'[Turnover']DMC_initiale]]*(1+Base[[#This Row],['[Prod']'[Turnover']Ecart_accidents]]*Base[[#This Row],['[Prod']Impact_motifs_turnover]]),CJ535*CI535+CJ536*CI536+CJ537*CI537+CJ538*CI538+CJ539*CI539+CJ540*CI540+CJ541*CI541+CJ542*CI542+CJ543*CI543+CJ544*CI544+CJ545*CI545+CJ546*CI546+CJ547*CI547+CJ548*CI548+CJ549*CI549+CJ550*CI550+CJ551*CI551)</f>
        <v>11.140990638733241</v>
      </c>
      <c r="CK552" s="4">
        <f>1/Base[[#This Row],['[Prod']'[Turnover']DMC_initiale]]</f>
        <v>9.0909090909090912E-2</v>
      </c>
      <c r="CL552" s="4">
        <f>1/Base[[#This Row],['[Prod']'[Turnover']DMC_finale]]</f>
        <v>8.9758624921859057E-2</v>
      </c>
    </row>
    <row r="553" spans="2:90" x14ac:dyDescent="0.25">
      <c r="B553" s="4" t="s">
        <v>329</v>
      </c>
      <c r="C553">
        <v>30</v>
      </c>
      <c r="D553" t="s">
        <v>85</v>
      </c>
      <c r="E553" t="s">
        <v>8</v>
      </c>
      <c r="F553" s="3">
        <v>0.20954168595261374</v>
      </c>
      <c r="G553" s="3">
        <v>4.1000000000000002E-2</v>
      </c>
      <c r="H553" s="3">
        <v>4.1000000000000002E-2</v>
      </c>
      <c r="I553" s="3">
        <v>0.17199999999999999</v>
      </c>
      <c r="J553" s="3">
        <v>3.8954334592466999</v>
      </c>
      <c r="K553" s="3">
        <v>7.0000000000000007E-2</v>
      </c>
      <c r="L553" s="2">
        <f>Base[[#This Row],[Coût]]*Base[[#This Row],[Part_ménages_dépenses_santé]]</f>
        <v>0.27268034214726899</v>
      </c>
      <c r="M553" s="2">
        <v>0.82690611956969029</v>
      </c>
      <c r="N553" s="6">
        <v>27700000</v>
      </c>
      <c r="O553" s="7">
        <f>Base[[#This Row],[Coût_salarié]]*10^9*Base[[#This Row],[Risque]]*Base[[#This Row],[Prévalence]]*Base[[#This Row],[Part_coûts_salarié]]/Base[[#This Row],[Population_emploi]]</f>
        <v>6.9933386250772972E-2</v>
      </c>
      <c r="P553">
        <v>50</v>
      </c>
      <c r="Q553">
        <v>50</v>
      </c>
      <c r="R553" s="2">
        <v>9.9999999999999978E-2</v>
      </c>
      <c r="S553" s="2">
        <v>0.33340000000000003</v>
      </c>
      <c r="T553" s="4">
        <v>4.1000000000000002E-2</v>
      </c>
      <c r="U553" s="4">
        <f>IF(Bases_annexes!$F$5=0,16.6587111018772,0.77*Bases_annexes!$F$5/(IF(OR(ISBLANK('Données_d''entrée'!$E$44),'Données_d''entrée'!$E$44=0),35,'Données_d''entrée'!$E$44)*52))</f>
        <v>16.658711101877199</v>
      </c>
      <c r="V553" s="4">
        <v>6.5286422873795198</v>
      </c>
      <c r="W5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3" s="4">
        <v>234.5</v>
      </c>
      <c r="Y553" s="4">
        <f>(Base[[#This Row],['[Maladies']Coûts_évités_par_salarié]]+Base[[#This Row],['[Travail']Coûts_évités_par_salarié]])/Base[[#This Row],[Budget_santé_salarié]]</f>
        <v>1.4622307015292638E-2</v>
      </c>
      <c r="Z553" s="4">
        <v>0.8</v>
      </c>
      <c r="AA553" s="4">
        <f>Base[[#This Row],[Coût]]*Base[[#This Row],[Part_société_dépenses_santé]]</f>
        <v>3.1163467673973599</v>
      </c>
      <c r="AB553" s="4">
        <v>67635124</v>
      </c>
      <c r="AC553" s="4">
        <v>82.297079063317852</v>
      </c>
      <c r="AD553" s="4">
        <v>0.11599999999999999</v>
      </c>
      <c r="AE553" s="4">
        <f>Base[[#This Row],['[SC']Prévalence_travail]]*Base[[#This Row],[Population_emploi]]</f>
        <v>3213200</v>
      </c>
      <c r="AF553" s="4">
        <f>Base[[#This Row],[Risque]]*Base[[#This Row],['[SC']Patients_en_emploi]]</f>
        <v>673299.34530293848</v>
      </c>
      <c r="AG553" s="4">
        <v>552654220.25999999</v>
      </c>
      <c r="AH553" s="4">
        <f>IFERROR(Base[[#This Row],['[SC']Prestations]]/Base[[#This Row],['[SC']Patients_en_emploi]],0)</f>
        <v>171.99496460226564</v>
      </c>
      <c r="AI553" s="4">
        <v>51.7</v>
      </c>
      <c r="AJ5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3" s="4">
        <f>Base[[#This Row],['[SC']'[Travail']Coûts_évités]]/Base[[#This Row],[Population_emploi]]</f>
        <v>4.1806533235417884</v>
      </c>
      <c r="AL553" s="4">
        <f>Base[[#This Row],[Coût_société]]*10^9*Base[[#This Row],[Risque]]*Base[[#This Row],[Prévalence]]*Base[[#This Row],[Part_coûts_salarié]]/Base[[#This Row],[Population_emploi]]</f>
        <v>0.7992387000088339</v>
      </c>
      <c r="AM553" s="4">
        <f>IF(Base[[#This Row],[Pathologie]]&lt;&gt;"Dépendance",0,14909.24243952)</f>
        <v>0</v>
      </c>
      <c r="AN553" s="4">
        <f>IF(Base[[#This Row],[Pathologie]]&lt;&gt;"Dépendance",0,1316000)</f>
        <v>0</v>
      </c>
      <c r="AO553" s="4">
        <f>IF(Base[[#This Row],[Pathologie]]&lt;&gt;"Dépendance",0,Base[[#This Row],['[SC']Coût_personne_dépendante]]*Base[[#This Row],['[SC']Nb_personnes_dépendantes]])</f>
        <v>0</v>
      </c>
      <c r="AP553" s="4">
        <f>IF(Base[[#This Row],[Pathologie]]&lt;&gt;"Dépendance",0,Base[[#This Row],['[SC']Coût_total_dépendance]]/Base[[#This Row],[Population_totale]])</f>
        <v>0</v>
      </c>
      <c r="AQ553" s="4">
        <f>IF(Base[[#This Row],[Pathologie]]&lt;&gt;"Dépendance",0,4.5)</f>
        <v>0</v>
      </c>
      <c r="AR553" s="4">
        <v>1.0077957276768601</v>
      </c>
      <c r="AS553" s="4">
        <f>Base[[#This Row],[Espérance_vie]]+Base[[#This Row],['[SC']Hausse_esp_de_vie]]-Base[[#This Row],['[SC']Durée_moyenne_dépendance_avt]]+Base[[#This Row],[Risque]]</f>
        <v>83.514416476947332</v>
      </c>
      <c r="AT5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3" s="4">
        <v>62.9</v>
      </c>
      <c r="AW553" s="4">
        <f t="shared" si="16"/>
        <v>336905600000</v>
      </c>
      <c r="AX553" s="4">
        <v>15049171</v>
      </c>
      <c r="AY553" s="4">
        <f>Base[[#This Row],['[SC']Budget_total_retraites]]/Base[[#This Row],['[SC']Nombre_de_retraités]]</f>
        <v>22386.987296509556</v>
      </c>
      <c r="AZ553" s="4">
        <f>Base[[#This Row],['[SC']Budget_par_retraité]]*Base[[#This Row],['[SC']Nb_personnes_dépendantes]]</f>
        <v>0</v>
      </c>
      <c r="BA553" s="4">
        <f>Base[[#This Row],['[SC']'[Dépendance']Coût_retraite_personnes_dépendantes]]/Base[[#This Row],[Population_totale]]</f>
        <v>0</v>
      </c>
      <c r="BB5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3" s="4">
        <f>Base[[#This Row],['[SC']'[Dépendance']Gains]]-Base[[#This Row],['[SC']'[Dépendance']Coûts]]</f>
        <v>0</v>
      </c>
      <c r="BD553" s="4">
        <f>IF(Base[[#This Row],[Pathologie]]&lt;&gt;"Mort prématurée",0,Base[[#This Row],[Risque]]*Base[[#This Row],[Prévalence]]*Base[[#This Row],[Population_totale]])</f>
        <v>0</v>
      </c>
      <c r="BE553" s="4">
        <v>52.74</v>
      </c>
      <c r="BF553" s="4">
        <f>Base[[#This Row],['[SC']Âge_moyen_retraite]]-Base[[#This Row],['[SC']'[Mort_prématurée']Âge_moyen_mort précoce]]</f>
        <v>10.159999999999997</v>
      </c>
      <c r="BG553" s="4">
        <f>Base[[#This Row],[Espérance_vie]]+Base[[#This Row],['[SC']Hausse_esp_de_vie]]-Base[[#This Row],['[SC']Âge_moyen_retraite]]</f>
        <v>20.404874790994718</v>
      </c>
      <c r="BH553" s="4">
        <v>106583.42676924677</v>
      </c>
      <c r="BI553" s="4">
        <v>97601.789429271477</v>
      </c>
      <c r="BJ553" s="4">
        <v>302038.31496633729</v>
      </c>
      <c r="BK553" s="4">
        <v>117293.58934859755</v>
      </c>
      <c r="BL553" s="4">
        <v>1523999.9999999995</v>
      </c>
      <c r="BM5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3" s="4">
        <v>294804.96027377353</v>
      </c>
      <c r="BO5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3" s="4">
        <f>(Base[[#This Row],['[SC']'[Mort_prématurée']Gains]]-Base[[#This Row],['[SC']'[Mort_prématurée']Coûts]])/Base[[#This Row],[Population_totale]]</f>
        <v>0</v>
      </c>
      <c r="BQ553" s="4">
        <f>IF(Base[[#This Row],[Pathologie]]&lt;&gt;"Mort prématurée",0,Base[[#This Row],[Risque]])</f>
        <v>0</v>
      </c>
      <c r="BR553" s="4">
        <v>2680</v>
      </c>
      <c r="BS5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3" s="4">
        <f>Base[[#This Row],[Prévalence_prod]]*(1-Base[[#This Row],[Risque]])*Base[[#This Row],[Durée_arrêt]]*Base[[#This Row],[Population_emploi]]</f>
        <v>5860915.6518959031</v>
      </c>
      <c r="BV553" s="4">
        <f>Base[[#This Row],['[Prod']'[Absentéisme']Total_jours_absence_avant]]-Base[[#This Row],['[Prod']'[Absentéisme']Total_jours_absence_après]]</f>
        <v>1553663.3938810183</v>
      </c>
      <c r="BW553" s="4">
        <f>IF(AND(Base[[#This Row],[Pathologie]]&lt;&gt;"Dépendance",Base[[#This Row],[Pathologie]]&lt;&gt;"Mort prématurée",Base[[#This Row],[Pathologie]]&lt;&gt;"Migraine"),0.0619,0)</f>
        <v>6.1899999999999997E-2</v>
      </c>
      <c r="BX553" s="4">
        <v>254</v>
      </c>
      <c r="BY553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3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3" s="4">
        <f>Base[[#This Row],[Prévalence_prod]]*Base[[#This Row],[Présentéisme]]*Base[[#This Row],['[Prod']Jours_ouvrés]]</f>
        <v>1.7912080000000001</v>
      </c>
      <c r="CB553" s="4">
        <f>Base[[#This Row],[Prévalence_prod]]*(1-Base[[#This Row],[Risque]])*Base[[#This Row],[Présentéisme]]*Base[[#This Row],['[Prod']Jours_ouvrés]]</f>
        <v>1.4158752557881906</v>
      </c>
      <c r="CC553" s="4">
        <f>Base[[#This Row],['[Prod']'[Présentéisme']Jours_avant]]-Base[[#This Row],['[Prod']'[Présentéisme']Jours_après]]</f>
        <v>0.37533274421180951</v>
      </c>
      <c r="CD553" s="4">
        <f>Base[[#This Row],['[Prod']'[Présentéisme']Jours_gagnés]]/Base[[#This Row],['[Prod']Jours_ouvrés]]</f>
        <v>1.4776879693378328E-3</v>
      </c>
      <c r="CE553">
        <v>9.3428413505841454E-2</v>
      </c>
      <c r="CF553">
        <v>2.1038737314955848E-2</v>
      </c>
      <c r="CG553" s="4">
        <v>11</v>
      </c>
      <c r="CH553" s="4">
        <v>0.78414927716175975</v>
      </c>
      <c r="CI553" s="4">
        <v>0.12835819090128339</v>
      </c>
      <c r="CJ553" s="4">
        <f>IF(Base[[#This Row],[Secteur]]&lt;&gt;"Moyenne",Base[[#This Row],['[Prod']'[Turnover']DMC_initiale]]*(1+Base[[#This Row],['[Prod']'[Turnover']Ecart_accidents]]*Base[[#This Row],['[Prod']Impact_motifs_turnover]]),CJ536*CI536+CJ537*CI537+CJ538*CI538+CJ539*CI539+CJ540*CI540+CJ541*CI541+CJ542*CI542+CJ543*CI543+CJ544*CI544+CJ545*CI545+CJ546*CI546+CJ547*CI547+CJ548*CI548+CJ549*CI549+CJ550*CI550+CJ551*CI551+CJ552*CI552)</f>
        <v>11.181472617237107</v>
      </c>
      <c r="CK553" s="4">
        <f>1/Base[[#This Row],['[Prod']'[Turnover']DMC_initiale]]</f>
        <v>9.0909090909090912E-2</v>
      </c>
      <c r="CL553" s="4">
        <f>1/Base[[#This Row],['[Prod']'[Turnover']DMC_finale]]</f>
        <v>8.9433658180088235E-2</v>
      </c>
    </row>
    <row r="554" spans="2:90" x14ac:dyDescent="0.25">
      <c r="B554" s="4" t="s">
        <v>330</v>
      </c>
      <c r="C554">
        <v>30</v>
      </c>
      <c r="D554" t="s">
        <v>85</v>
      </c>
      <c r="E554" t="s">
        <v>8</v>
      </c>
      <c r="F554" s="3">
        <v>0.20954168595261374</v>
      </c>
      <c r="G554" s="3">
        <v>4.1000000000000002E-2</v>
      </c>
      <c r="H554" s="3">
        <v>4.1000000000000002E-2</v>
      </c>
      <c r="I554" s="3">
        <v>0.17199999999999999</v>
      </c>
      <c r="J554" s="3">
        <v>3.8954334592466999</v>
      </c>
      <c r="K554" s="3">
        <v>7.0000000000000007E-2</v>
      </c>
      <c r="L554" s="2">
        <f>Base[[#This Row],[Coût]]*Base[[#This Row],[Part_ménages_dépenses_santé]]</f>
        <v>0.27268034214726899</v>
      </c>
      <c r="M554" s="2">
        <v>0.82690611956969029</v>
      </c>
      <c r="N554" s="6">
        <v>27700000</v>
      </c>
      <c r="O554" s="7">
        <f>Base[[#This Row],[Coût_salarié]]*10^9*Base[[#This Row],[Risque]]*Base[[#This Row],[Prévalence]]*Base[[#This Row],[Part_coûts_salarié]]/Base[[#This Row],[Population_emploi]]</f>
        <v>6.9933386250772972E-2</v>
      </c>
      <c r="P554">
        <v>50</v>
      </c>
      <c r="Q554">
        <v>50</v>
      </c>
      <c r="R554" s="2">
        <v>9.9999999999999978E-2</v>
      </c>
      <c r="S554" s="2">
        <v>0.33340000000000003</v>
      </c>
      <c r="T554" s="4">
        <v>4.1000000000000002E-2</v>
      </c>
      <c r="U554" s="4">
        <f>IF(Bases_annexes!$F$5=0,16.6587111018772,0.77*Bases_annexes!$F$5/(IF(OR(ISBLANK('Données_d''entrée'!$E$44),'Données_d''entrée'!$E$44=0),35,'Données_d''entrée'!$E$44)*52))</f>
        <v>16.658711101877199</v>
      </c>
      <c r="V554" s="4">
        <v>6.5286422873795198</v>
      </c>
      <c r="W5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4" s="4">
        <v>234.5</v>
      </c>
      <c r="Y554" s="4">
        <f>(Base[[#This Row],['[Maladies']Coûts_évités_par_salarié]]+Base[[#This Row],['[Travail']Coûts_évités_par_salarié]])/Base[[#This Row],[Budget_santé_salarié]]</f>
        <v>1.4622307015292638E-2</v>
      </c>
      <c r="Z554" s="4">
        <v>0.8</v>
      </c>
      <c r="AA554" s="4">
        <f>Base[[#This Row],[Coût]]*Base[[#This Row],[Part_société_dépenses_santé]]</f>
        <v>3.1163467673973599</v>
      </c>
      <c r="AB554" s="4">
        <v>67635124</v>
      </c>
      <c r="AC554" s="4">
        <v>82.297079063317852</v>
      </c>
      <c r="AD554" s="4">
        <v>0.11599999999999999</v>
      </c>
      <c r="AE554" s="4">
        <f>Base[[#This Row],['[SC']Prévalence_travail]]*Base[[#This Row],[Population_emploi]]</f>
        <v>3213200</v>
      </c>
      <c r="AF554" s="4">
        <f>Base[[#This Row],[Risque]]*Base[[#This Row],['[SC']Patients_en_emploi]]</f>
        <v>673299.34530293848</v>
      </c>
      <c r="AG554" s="4">
        <v>552654220.25999999</v>
      </c>
      <c r="AH554" s="4">
        <f>IFERROR(Base[[#This Row],['[SC']Prestations]]/Base[[#This Row],['[SC']Patients_en_emploi]],0)</f>
        <v>171.99496460226564</v>
      </c>
      <c r="AI554" s="4">
        <v>51.7</v>
      </c>
      <c r="AJ5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4" s="4">
        <f>Base[[#This Row],['[SC']'[Travail']Coûts_évités]]/Base[[#This Row],[Population_emploi]]</f>
        <v>4.1806533235417884</v>
      </c>
      <c r="AL554" s="4">
        <f>Base[[#This Row],[Coût_société]]*10^9*Base[[#This Row],[Risque]]*Base[[#This Row],[Prévalence]]*Base[[#This Row],[Part_coûts_salarié]]/Base[[#This Row],[Population_emploi]]</f>
        <v>0.7992387000088339</v>
      </c>
      <c r="AM554" s="4">
        <f>IF(Base[[#This Row],[Pathologie]]&lt;&gt;"Dépendance",0,14909.24243952)</f>
        <v>0</v>
      </c>
      <c r="AN554" s="4">
        <f>IF(Base[[#This Row],[Pathologie]]&lt;&gt;"Dépendance",0,1316000)</f>
        <v>0</v>
      </c>
      <c r="AO554" s="4">
        <f>IF(Base[[#This Row],[Pathologie]]&lt;&gt;"Dépendance",0,Base[[#This Row],['[SC']Coût_personne_dépendante]]*Base[[#This Row],['[SC']Nb_personnes_dépendantes]])</f>
        <v>0</v>
      </c>
      <c r="AP554" s="4">
        <f>IF(Base[[#This Row],[Pathologie]]&lt;&gt;"Dépendance",0,Base[[#This Row],['[SC']Coût_total_dépendance]]/Base[[#This Row],[Population_totale]])</f>
        <v>0</v>
      </c>
      <c r="AQ554" s="4">
        <f>IF(Base[[#This Row],[Pathologie]]&lt;&gt;"Dépendance",0,4.5)</f>
        <v>0</v>
      </c>
      <c r="AR554" s="4">
        <v>1.0077957276768601</v>
      </c>
      <c r="AS554" s="4">
        <f>Base[[#This Row],[Espérance_vie]]+Base[[#This Row],['[SC']Hausse_esp_de_vie]]-Base[[#This Row],['[SC']Durée_moyenne_dépendance_avt]]+Base[[#This Row],[Risque]]</f>
        <v>83.514416476947332</v>
      </c>
      <c r="AT5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4" s="4">
        <v>62.9</v>
      </c>
      <c r="AW554" s="4">
        <f t="shared" si="16"/>
        <v>336905600000</v>
      </c>
      <c r="AX554" s="4">
        <v>15049171</v>
      </c>
      <c r="AY554" s="4">
        <f>Base[[#This Row],['[SC']Budget_total_retraites]]/Base[[#This Row],['[SC']Nombre_de_retraités]]</f>
        <v>22386.987296509556</v>
      </c>
      <c r="AZ554" s="4">
        <f>Base[[#This Row],['[SC']Budget_par_retraité]]*Base[[#This Row],['[SC']Nb_personnes_dépendantes]]</f>
        <v>0</v>
      </c>
      <c r="BA554" s="4">
        <f>Base[[#This Row],['[SC']'[Dépendance']Coût_retraite_personnes_dépendantes]]/Base[[#This Row],[Population_totale]]</f>
        <v>0</v>
      </c>
      <c r="BB5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4" s="4">
        <f>Base[[#This Row],['[SC']'[Dépendance']Gains]]-Base[[#This Row],['[SC']'[Dépendance']Coûts]]</f>
        <v>0</v>
      </c>
      <c r="BD554" s="4">
        <f>IF(Base[[#This Row],[Pathologie]]&lt;&gt;"Mort prématurée",0,Base[[#This Row],[Risque]]*Base[[#This Row],[Prévalence]]*Base[[#This Row],[Population_totale]])</f>
        <v>0</v>
      </c>
      <c r="BE554" s="4">
        <v>52.74</v>
      </c>
      <c r="BF554" s="4">
        <f>Base[[#This Row],['[SC']Âge_moyen_retraite]]-Base[[#This Row],['[SC']'[Mort_prématurée']Âge_moyen_mort précoce]]</f>
        <v>10.159999999999997</v>
      </c>
      <c r="BG554" s="4">
        <f>Base[[#This Row],[Espérance_vie]]+Base[[#This Row],['[SC']Hausse_esp_de_vie]]-Base[[#This Row],['[SC']Âge_moyen_retraite]]</f>
        <v>20.404874790994718</v>
      </c>
      <c r="BH554" s="4">
        <v>106583.42676924677</v>
      </c>
      <c r="BI554" s="4">
        <v>97601.789429271477</v>
      </c>
      <c r="BJ554" s="4">
        <v>302038.31496633729</v>
      </c>
      <c r="BK554" s="4">
        <v>117293.58934859755</v>
      </c>
      <c r="BL554" s="4">
        <v>1523999.9999999995</v>
      </c>
      <c r="BM5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4" s="4">
        <v>294804.96027377353</v>
      </c>
      <c r="BO5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4" s="4">
        <f>(Base[[#This Row],['[SC']'[Mort_prématurée']Gains]]-Base[[#This Row],['[SC']'[Mort_prématurée']Coûts]])/Base[[#This Row],[Population_totale]]</f>
        <v>0</v>
      </c>
      <c r="BQ554" s="4">
        <f>IF(Base[[#This Row],[Pathologie]]&lt;&gt;"Mort prématurée",0,Base[[#This Row],[Risque]])</f>
        <v>0</v>
      </c>
      <c r="BR554" s="4">
        <v>2680</v>
      </c>
      <c r="BS5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4" s="4">
        <f>Base[[#This Row],[Prévalence_prod]]*(1-Base[[#This Row],[Risque]])*Base[[#This Row],[Durée_arrêt]]*Base[[#This Row],[Population_emploi]]</f>
        <v>5860915.6518959031</v>
      </c>
      <c r="BV554" s="4">
        <f>Base[[#This Row],['[Prod']'[Absentéisme']Total_jours_absence_avant]]-Base[[#This Row],['[Prod']'[Absentéisme']Total_jours_absence_après]]</f>
        <v>1553663.3938810183</v>
      </c>
      <c r="BW554" s="4">
        <f>IF(AND(Base[[#This Row],[Pathologie]]&lt;&gt;"Dépendance",Base[[#This Row],[Pathologie]]&lt;&gt;"Mort prématurée",Base[[#This Row],[Pathologie]]&lt;&gt;"Migraine"),0.0619,0)</f>
        <v>6.1899999999999997E-2</v>
      </c>
      <c r="BX554" s="4">
        <v>254</v>
      </c>
      <c r="BY554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4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4" s="4">
        <f>Base[[#This Row],[Prévalence_prod]]*Base[[#This Row],[Présentéisme]]*Base[[#This Row],['[Prod']Jours_ouvrés]]</f>
        <v>1.7912080000000001</v>
      </c>
      <c r="CB554" s="4">
        <f>Base[[#This Row],[Prévalence_prod]]*(1-Base[[#This Row],[Risque]])*Base[[#This Row],[Présentéisme]]*Base[[#This Row],['[Prod']Jours_ouvrés]]</f>
        <v>1.4158752557881906</v>
      </c>
      <c r="CC554" s="4">
        <f>Base[[#This Row],['[Prod']'[Présentéisme']Jours_avant]]-Base[[#This Row],['[Prod']'[Présentéisme']Jours_après]]</f>
        <v>0.37533274421180951</v>
      </c>
      <c r="CD554" s="4">
        <f>Base[[#This Row],['[Prod']'[Présentéisme']Jours_gagnés]]/Base[[#This Row],['[Prod']Jours_ouvrés]]</f>
        <v>1.4776879693378328E-3</v>
      </c>
      <c r="CE554">
        <v>9.3428413505841454E-2</v>
      </c>
      <c r="CF554">
        <v>2.1038737314955848E-2</v>
      </c>
      <c r="CG554" s="4">
        <v>11</v>
      </c>
      <c r="CH554" s="4">
        <v>0.99648427619813984</v>
      </c>
      <c r="CI554" s="4">
        <v>0.42377466100567313</v>
      </c>
      <c r="CJ554" s="4">
        <f>IF(Base[[#This Row],[Secteur]]&lt;&gt;"Moyenne",Base[[#This Row],['[Prod']'[Turnover']DMC_initiale]]*(1+Base[[#This Row],['[Prod']'[Turnover']Ecart_accidents]]*Base[[#This Row],['[Prod']Impact_motifs_turnover]]),CJ537*CI537+CJ538*CI538+CJ539*CI539+CJ540*CI540+CJ541*CI541+CJ542*CI542+CJ543*CI543+CJ544*CI544+CJ545*CI545+CJ546*CI546+CJ547*CI547+CJ548*CI548+CJ549*CI549+CJ550*CI550+CJ551*CI551+CJ552*CI552+CJ553*CI553)</f>
        <v>11.230612480179582</v>
      </c>
      <c r="CK554" s="4">
        <f>1/Base[[#This Row],['[Prod']'[Turnover']DMC_initiale]]</f>
        <v>9.0909090909090912E-2</v>
      </c>
      <c r="CL554" s="4">
        <f>1/Base[[#This Row],['[Prod']'[Turnover']DMC_finale]]</f>
        <v>8.9042338676083466E-2</v>
      </c>
    </row>
    <row r="555" spans="2:90" x14ac:dyDescent="0.25">
      <c r="B555" s="4" t="s">
        <v>331</v>
      </c>
      <c r="C555">
        <v>30</v>
      </c>
      <c r="D555" t="s">
        <v>85</v>
      </c>
      <c r="E555" t="s">
        <v>8</v>
      </c>
      <c r="F555" s="3">
        <v>0.20954168595261374</v>
      </c>
      <c r="G555" s="3">
        <v>4.1000000000000002E-2</v>
      </c>
      <c r="H555" s="3">
        <v>4.1000000000000002E-2</v>
      </c>
      <c r="I555" s="3">
        <v>0.17199999999999999</v>
      </c>
      <c r="J555" s="3">
        <v>3.8954334592466999</v>
      </c>
      <c r="K555" s="3">
        <v>7.0000000000000007E-2</v>
      </c>
      <c r="L555" s="2">
        <f>Base[[#This Row],[Coût]]*Base[[#This Row],[Part_ménages_dépenses_santé]]</f>
        <v>0.27268034214726899</v>
      </c>
      <c r="M555" s="2">
        <v>0.82690611956969029</v>
      </c>
      <c r="N555" s="6">
        <v>27700000</v>
      </c>
      <c r="O555" s="7">
        <f>Base[[#This Row],[Coût_salarié]]*10^9*Base[[#This Row],[Risque]]*Base[[#This Row],[Prévalence]]*Base[[#This Row],[Part_coûts_salarié]]/Base[[#This Row],[Population_emploi]]</f>
        <v>6.9933386250772972E-2</v>
      </c>
      <c r="P555">
        <v>50</v>
      </c>
      <c r="Q555">
        <v>50</v>
      </c>
      <c r="R555" s="2">
        <v>9.9999999999999978E-2</v>
      </c>
      <c r="S555" s="2">
        <v>0.33340000000000003</v>
      </c>
      <c r="T555" s="4">
        <v>4.1000000000000002E-2</v>
      </c>
      <c r="U555" s="4">
        <f>IF(Bases_annexes!$F$5=0,16.6587111018772,0.77*Bases_annexes!$F$5/(IF(OR(ISBLANK('Données_d''entrée'!$E$44),'Données_d''entrée'!$E$44=0),35,'Données_d''entrée'!$E$44)*52))</f>
        <v>16.658711101877199</v>
      </c>
      <c r="V555" s="4">
        <v>6.5286422873795198</v>
      </c>
      <c r="W5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5" s="4">
        <v>234.5</v>
      </c>
      <c r="Y555" s="4">
        <f>(Base[[#This Row],['[Maladies']Coûts_évités_par_salarié]]+Base[[#This Row],['[Travail']Coûts_évités_par_salarié]])/Base[[#This Row],[Budget_santé_salarié]]</f>
        <v>1.4622307015292638E-2</v>
      </c>
      <c r="Z555" s="4">
        <v>0.8</v>
      </c>
      <c r="AA555" s="4">
        <f>Base[[#This Row],[Coût]]*Base[[#This Row],[Part_société_dépenses_santé]]</f>
        <v>3.1163467673973599</v>
      </c>
      <c r="AB555" s="4">
        <v>67635124</v>
      </c>
      <c r="AC555" s="4">
        <v>82.297079063317852</v>
      </c>
      <c r="AD555" s="4">
        <v>0.11599999999999999</v>
      </c>
      <c r="AE555" s="4">
        <f>Base[[#This Row],['[SC']Prévalence_travail]]*Base[[#This Row],[Population_emploi]]</f>
        <v>3213200</v>
      </c>
      <c r="AF555" s="4">
        <f>Base[[#This Row],[Risque]]*Base[[#This Row],['[SC']Patients_en_emploi]]</f>
        <v>673299.34530293848</v>
      </c>
      <c r="AG555" s="4">
        <v>552654220.25999999</v>
      </c>
      <c r="AH555" s="4">
        <f>IFERROR(Base[[#This Row],['[SC']Prestations]]/Base[[#This Row],['[SC']Patients_en_emploi]],0)</f>
        <v>171.99496460226564</v>
      </c>
      <c r="AI555" s="4">
        <v>51.7</v>
      </c>
      <c r="AJ5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5" s="4">
        <f>Base[[#This Row],['[SC']'[Travail']Coûts_évités]]/Base[[#This Row],[Population_emploi]]</f>
        <v>4.1806533235417884</v>
      </c>
      <c r="AL555" s="4">
        <f>Base[[#This Row],[Coût_société]]*10^9*Base[[#This Row],[Risque]]*Base[[#This Row],[Prévalence]]*Base[[#This Row],[Part_coûts_salarié]]/Base[[#This Row],[Population_emploi]]</f>
        <v>0.7992387000088339</v>
      </c>
      <c r="AM555" s="4">
        <f>IF(Base[[#This Row],[Pathologie]]&lt;&gt;"Dépendance",0,14909.24243952)</f>
        <v>0</v>
      </c>
      <c r="AN555" s="4">
        <f>IF(Base[[#This Row],[Pathologie]]&lt;&gt;"Dépendance",0,1316000)</f>
        <v>0</v>
      </c>
      <c r="AO555" s="4">
        <f>IF(Base[[#This Row],[Pathologie]]&lt;&gt;"Dépendance",0,Base[[#This Row],['[SC']Coût_personne_dépendante]]*Base[[#This Row],['[SC']Nb_personnes_dépendantes]])</f>
        <v>0</v>
      </c>
      <c r="AP555" s="4">
        <f>IF(Base[[#This Row],[Pathologie]]&lt;&gt;"Dépendance",0,Base[[#This Row],['[SC']Coût_total_dépendance]]/Base[[#This Row],[Population_totale]])</f>
        <v>0</v>
      </c>
      <c r="AQ555" s="4">
        <f>IF(Base[[#This Row],[Pathologie]]&lt;&gt;"Dépendance",0,4.5)</f>
        <v>0</v>
      </c>
      <c r="AR555" s="4">
        <v>1.0077957276768601</v>
      </c>
      <c r="AS555" s="4">
        <f>Base[[#This Row],[Espérance_vie]]+Base[[#This Row],['[SC']Hausse_esp_de_vie]]-Base[[#This Row],['[SC']Durée_moyenne_dépendance_avt]]+Base[[#This Row],[Risque]]</f>
        <v>83.514416476947332</v>
      </c>
      <c r="AT5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5" s="4">
        <v>62.9</v>
      </c>
      <c r="AW555" s="4">
        <f t="shared" si="16"/>
        <v>336905600000</v>
      </c>
      <c r="AX555" s="4">
        <v>15049171</v>
      </c>
      <c r="AY555" s="4">
        <f>Base[[#This Row],['[SC']Budget_total_retraites]]/Base[[#This Row],['[SC']Nombre_de_retraités]]</f>
        <v>22386.987296509556</v>
      </c>
      <c r="AZ555" s="4">
        <f>Base[[#This Row],['[SC']Budget_par_retraité]]*Base[[#This Row],['[SC']Nb_personnes_dépendantes]]</f>
        <v>0</v>
      </c>
      <c r="BA555" s="4">
        <f>Base[[#This Row],['[SC']'[Dépendance']Coût_retraite_personnes_dépendantes]]/Base[[#This Row],[Population_totale]]</f>
        <v>0</v>
      </c>
      <c r="BB5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5" s="4">
        <f>Base[[#This Row],['[SC']'[Dépendance']Gains]]-Base[[#This Row],['[SC']'[Dépendance']Coûts]]</f>
        <v>0</v>
      </c>
      <c r="BD555" s="4">
        <f>IF(Base[[#This Row],[Pathologie]]&lt;&gt;"Mort prématurée",0,Base[[#This Row],[Risque]]*Base[[#This Row],[Prévalence]]*Base[[#This Row],[Population_totale]])</f>
        <v>0</v>
      </c>
      <c r="BE555" s="4">
        <v>52.74</v>
      </c>
      <c r="BF555" s="4">
        <f>Base[[#This Row],['[SC']Âge_moyen_retraite]]-Base[[#This Row],['[SC']'[Mort_prématurée']Âge_moyen_mort précoce]]</f>
        <v>10.159999999999997</v>
      </c>
      <c r="BG555" s="4">
        <f>Base[[#This Row],[Espérance_vie]]+Base[[#This Row],['[SC']Hausse_esp_de_vie]]-Base[[#This Row],['[SC']Âge_moyen_retraite]]</f>
        <v>20.404874790994718</v>
      </c>
      <c r="BH555" s="4">
        <v>106583.42676924677</v>
      </c>
      <c r="BI555" s="4">
        <v>97601.789429271477</v>
      </c>
      <c r="BJ555" s="4">
        <v>302038.31496633729</v>
      </c>
      <c r="BK555" s="4">
        <v>117293.58934859755</v>
      </c>
      <c r="BL555" s="4">
        <v>1523999.9999999995</v>
      </c>
      <c r="BM5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5" s="4">
        <v>294804.96027377353</v>
      </c>
      <c r="BO5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5" s="4">
        <f>(Base[[#This Row],['[SC']'[Mort_prématurée']Gains]]-Base[[#This Row],['[SC']'[Mort_prématurée']Coûts]])/Base[[#This Row],[Population_totale]]</f>
        <v>0</v>
      </c>
      <c r="BQ555" s="4">
        <f>IF(Base[[#This Row],[Pathologie]]&lt;&gt;"Mort prématurée",0,Base[[#This Row],[Risque]])</f>
        <v>0</v>
      </c>
      <c r="BR555" s="4">
        <v>2680</v>
      </c>
      <c r="BS5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5" s="4">
        <f>Base[[#This Row],[Prévalence_prod]]*(1-Base[[#This Row],[Risque]])*Base[[#This Row],[Durée_arrêt]]*Base[[#This Row],[Population_emploi]]</f>
        <v>5860915.6518959031</v>
      </c>
      <c r="BV555" s="4">
        <f>Base[[#This Row],['[Prod']'[Absentéisme']Total_jours_absence_avant]]-Base[[#This Row],['[Prod']'[Absentéisme']Total_jours_absence_après]]</f>
        <v>1553663.3938810183</v>
      </c>
      <c r="BW555" s="4">
        <f>IF(AND(Base[[#This Row],[Pathologie]]&lt;&gt;"Dépendance",Base[[#This Row],[Pathologie]]&lt;&gt;"Mort prématurée",Base[[#This Row],[Pathologie]]&lt;&gt;"Migraine"),0.0619,0)</f>
        <v>6.1899999999999997E-2</v>
      </c>
      <c r="BX555" s="4">
        <v>254</v>
      </c>
      <c r="BY555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5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5" s="4">
        <f>Base[[#This Row],[Prévalence_prod]]*Base[[#This Row],[Présentéisme]]*Base[[#This Row],['[Prod']Jours_ouvrés]]</f>
        <v>1.7912080000000001</v>
      </c>
      <c r="CB555" s="4">
        <f>Base[[#This Row],[Prévalence_prod]]*(1-Base[[#This Row],[Risque]])*Base[[#This Row],[Présentéisme]]*Base[[#This Row],['[Prod']Jours_ouvrés]]</f>
        <v>1.4158752557881906</v>
      </c>
      <c r="CC555" s="4">
        <f>Base[[#This Row],['[Prod']'[Présentéisme']Jours_avant]]-Base[[#This Row],['[Prod']'[Présentéisme']Jours_après]]</f>
        <v>0.37533274421180951</v>
      </c>
      <c r="CD555" s="4">
        <f>Base[[#This Row],['[Prod']'[Présentéisme']Jours_gagnés]]/Base[[#This Row],['[Prod']Jours_ouvrés]]</f>
        <v>1.4776879693378328E-3</v>
      </c>
      <c r="CE555">
        <v>9.3428413505841454E-2</v>
      </c>
      <c r="CF555">
        <v>2.1038737314955848E-2</v>
      </c>
      <c r="CG555" s="4">
        <v>11</v>
      </c>
      <c r="CH555" s="4">
        <v>1.1593596509901765</v>
      </c>
      <c r="CI555" s="4">
        <v>4.0741311947357597E-2</v>
      </c>
      <c r="CJ555" s="4">
        <f>IF(Base[[#This Row],[Secteur]]&lt;&gt;"Moyenne",Base[[#This Row],['[Prod']'[Turnover']DMC_initiale]]*(1+Base[[#This Row],['[Prod']'[Turnover']Ecart_accidents]]*Base[[#This Row],['[Prod']Impact_motifs_turnover]]),CJ538*CI538+CJ539*CI539+CJ540*CI540+CJ541*CI541+CJ542*CI542+CJ543*CI543+CJ544*CI544+CJ545*CI545+CJ546*CI546+CJ547*CI547+CJ548*CI548+CJ549*CI549+CJ550*CI550+CJ551*CI551+CJ552*CI552+CJ553*CI553+CJ554*CI554)</f>
        <v>11.268306094658152</v>
      </c>
      <c r="CK555" s="4">
        <f>1/Base[[#This Row],['[Prod']'[Turnover']DMC_initiale]]</f>
        <v>9.0909090909090912E-2</v>
      </c>
      <c r="CL555" s="4">
        <f>1/Base[[#This Row],['[Prod']'[Turnover']DMC_finale]]</f>
        <v>8.8744483119256007E-2</v>
      </c>
    </row>
    <row r="556" spans="2:90" x14ac:dyDescent="0.25">
      <c r="B556" s="4" t="s">
        <v>332</v>
      </c>
      <c r="C556">
        <v>30</v>
      </c>
      <c r="D556" t="s">
        <v>85</v>
      </c>
      <c r="E556" t="s">
        <v>8</v>
      </c>
      <c r="F556" s="3">
        <v>0.20954168595261374</v>
      </c>
      <c r="G556" s="3">
        <v>4.1000000000000002E-2</v>
      </c>
      <c r="H556" s="3">
        <v>4.1000000000000002E-2</v>
      </c>
      <c r="I556" s="3">
        <v>0.17199999999999999</v>
      </c>
      <c r="J556" s="3">
        <v>3.8954334592466999</v>
      </c>
      <c r="K556" s="3">
        <v>7.0000000000000007E-2</v>
      </c>
      <c r="L556" s="2">
        <f>Base[[#This Row],[Coût]]*Base[[#This Row],[Part_ménages_dépenses_santé]]</f>
        <v>0.27268034214726899</v>
      </c>
      <c r="M556" s="2">
        <v>0.82690611956969029</v>
      </c>
      <c r="N556" s="6">
        <v>27700000</v>
      </c>
      <c r="O556" s="7">
        <f>Base[[#This Row],[Coût_salarié]]*10^9*Base[[#This Row],[Risque]]*Base[[#This Row],[Prévalence]]*Base[[#This Row],[Part_coûts_salarié]]/Base[[#This Row],[Population_emploi]]</f>
        <v>6.9933386250772972E-2</v>
      </c>
      <c r="P556">
        <v>50</v>
      </c>
      <c r="Q556">
        <v>50</v>
      </c>
      <c r="R556" s="2">
        <v>9.9999999999999978E-2</v>
      </c>
      <c r="S556" s="2">
        <v>0.33340000000000003</v>
      </c>
      <c r="T556" s="4">
        <v>4.1000000000000002E-2</v>
      </c>
      <c r="U556" s="4">
        <f>IF(Bases_annexes!$F$5=0,16.6587111018772,0.77*Bases_annexes!$F$5/(IF(OR(ISBLANK('Données_d''entrée'!$E$44),'Données_d''entrée'!$E$44=0),35,'Données_d''entrée'!$E$44)*52))</f>
        <v>16.658711101877199</v>
      </c>
      <c r="V556" s="4">
        <v>6.5286422873795198</v>
      </c>
      <c r="W5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3.3589976088353506</v>
      </c>
      <c r="X556" s="4">
        <v>234.5</v>
      </c>
      <c r="Y556" s="4">
        <f>(Base[[#This Row],['[Maladies']Coûts_évités_par_salarié]]+Base[[#This Row],['[Travail']Coûts_évités_par_salarié]])/Base[[#This Row],[Budget_santé_salarié]]</f>
        <v>1.4622307015292638E-2</v>
      </c>
      <c r="Z556" s="4">
        <v>0.8</v>
      </c>
      <c r="AA556" s="4">
        <f>Base[[#This Row],[Coût]]*Base[[#This Row],[Part_société_dépenses_santé]]</f>
        <v>3.1163467673973599</v>
      </c>
      <c r="AB556" s="4">
        <v>67635124</v>
      </c>
      <c r="AC556" s="4">
        <v>82.297079063317852</v>
      </c>
      <c r="AD556" s="4">
        <v>0.11599999999999999</v>
      </c>
      <c r="AE556" s="4">
        <f>Base[[#This Row],['[SC']Prévalence_travail]]*Base[[#This Row],[Population_emploi]]</f>
        <v>3213200</v>
      </c>
      <c r="AF556" s="4">
        <f>Base[[#This Row],[Risque]]*Base[[#This Row],['[SC']Patients_en_emploi]]</f>
        <v>673299.34530293848</v>
      </c>
      <c r="AG556" s="4">
        <v>552654220.25999999</v>
      </c>
      <c r="AH556" s="4">
        <f>IFERROR(Base[[#This Row],['[SC']Prestations]]/Base[[#This Row],['[SC']Patients_en_emploi]],0)</f>
        <v>171.99496460226564</v>
      </c>
      <c r="AI556" s="4">
        <v>51.7</v>
      </c>
      <c r="AJ5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115804097.06210753</v>
      </c>
      <c r="AK556" s="4">
        <f>Base[[#This Row],['[SC']'[Travail']Coûts_évités]]/Base[[#This Row],[Population_emploi]]</f>
        <v>4.1806533235417884</v>
      </c>
      <c r="AL556" s="4">
        <f>Base[[#This Row],[Coût_société]]*10^9*Base[[#This Row],[Risque]]*Base[[#This Row],[Prévalence]]*Base[[#This Row],[Part_coûts_salarié]]/Base[[#This Row],[Population_emploi]]</f>
        <v>0.7992387000088339</v>
      </c>
      <c r="AM556" s="4">
        <f>IF(Base[[#This Row],[Pathologie]]&lt;&gt;"Dépendance",0,14909.24243952)</f>
        <v>0</v>
      </c>
      <c r="AN556" s="4">
        <f>IF(Base[[#This Row],[Pathologie]]&lt;&gt;"Dépendance",0,1316000)</f>
        <v>0</v>
      </c>
      <c r="AO556" s="4">
        <f>IF(Base[[#This Row],[Pathologie]]&lt;&gt;"Dépendance",0,Base[[#This Row],['[SC']Coût_personne_dépendante]]*Base[[#This Row],['[SC']Nb_personnes_dépendantes]])</f>
        <v>0</v>
      </c>
      <c r="AP556" s="4">
        <f>IF(Base[[#This Row],[Pathologie]]&lt;&gt;"Dépendance",0,Base[[#This Row],['[SC']Coût_total_dépendance]]/Base[[#This Row],[Population_totale]])</f>
        <v>0</v>
      </c>
      <c r="AQ556" s="4">
        <f>IF(Base[[#This Row],[Pathologie]]&lt;&gt;"Dépendance",0,4.5)</f>
        <v>0</v>
      </c>
      <c r="AR556" s="4">
        <v>1.0077957276768601</v>
      </c>
      <c r="AS556" s="4">
        <f>Base[[#This Row],[Espérance_vie]]+Base[[#This Row],['[SC']Hausse_esp_de_vie]]-Base[[#This Row],['[SC']Durée_moyenne_dépendance_avt]]+Base[[#This Row],[Risque]]</f>
        <v>83.514416476947332</v>
      </c>
      <c r="AT5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6" s="4">
        <v>62.9</v>
      </c>
      <c r="AW556" s="4">
        <f t="shared" si="16"/>
        <v>336905600000</v>
      </c>
      <c r="AX556" s="4">
        <v>15049171</v>
      </c>
      <c r="AY556" s="4">
        <f>Base[[#This Row],['[SC']Budget_total_retraites]]/Base[[#This Row],['[SC']Nombre_de_retraités]]</f>
        <v>22386.987296509556</v>
      </c>
      <c r="AZ556" s="4">
        <f>Base[[#This Row],['[SC']Budget_par_retraité]]*Base[[#This Row],['[SC']Nb_personnes_dépendantes]]</f>
        <v>0</v>
      </c>
      <c r="BA556" s="4">
        <f>Base[[#This Row],['[SC']'[Dépendance']Coût_retraite_personnes_dépendantes]]/Base[[#This Row],[Population_totale]]</f>
        <v>0</v>
      </c>
      <c r="BB5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6" s="4">
        <f>Base[[#This Row],['[SC']'[Dépendance']Gains]]-Base[[#This Row],['[SC']'[Dépendance']Coûts]]</f>
        <v>0</v>
      </c>
      <c r="BD556" s="4">
        <f>IF(Base[[#This Row],[Pathologie]]&lt;&gt;"Mort prématurée",0,Base[[#This Row],[Risque]]*Base[[#This Row],[Prévalence]]*Base[[#This Row],[Population_totale]])</f>
        <v>0</v>
      </c>
      <c r="BE556" s="4">
        <v>52.74</v>
      </c>
      <c r="BF556" s="4">
        <f>Base[[#This Row],['[SC']Âge_moyen_retraite]]-Base[[#This Row],['[SC']'[Mort_prématurée']Âge_moyen_mort précoce]]</f>
        <v>10.159999999999997</v>
      </c>
      <c r="BG556" s="4">
        <f>Base[[#This Row],[Espérance_vie]]+Base[[#This Row],['[SC']Hausse_esp_de_vie]]-Base[[#This Row],['[SC']Âge_moyen_retraite]]</f>
        <v>20.404874790994718</v>
      </c>
      <c r="BH556" s="4">
        <v>106583.42676924677</v>
      </c>
      <c r="BI556" s="4">
        <v>97601.789429271477</v>
      </c>
      <c r="BJ556" s="4">
        <v>302038.31496633729</v>
      </c>
      <c r="BK556" s="4">
        <v>117293.58934859755</v>
      </c>
      <c r="BL556" s="4">
        <v>1523999.9999999995</v>
      </c>
      <c r="BM5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6" s="4">
        <v>294804.96027377353</v>
      </c>
      <c r="BO5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6" s="4">
        <f>(Base[[#This Row],['[SC']'[Mort_prématurée']Gains]]-Base[[#This Row],['[SC']'[Mort_prématurée']Coûts]])/Base[[#This Row],[Population_totale]]</f>
        <v>0</v>
      </c>
      <c r="BQ556" s="4">
        <f>IF(Base[[#This Row],[Pathologie]]&lt;&gt;"Mort prématurée",0,Base[[#This Row],[Risque]])</f>
        <v>0</v>
      </c>
      <c r="BR556" s="4">
        <v>2680</v>
      </c>
      <c r="BS5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1.8581686655039635E-3</v>
      </c>
      <c r="BT5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7414579.0457769213</v>
      </c>
      <c r="BU556" s="4">
        <f>Base[[#This Row],[Prévalence_prod]]*(1-Base[[#This Row],[Risque]])*Base[[#This Row],[Durée_arrêt]]*Base[[#This Row],[Population_emploi]]</f>
        <v>5860915.6518959031</v>
      </c>
      <c r="BV556" s="4">
        <f>Base[[#This Row],['[Prod']'[Absentéisme']Total_jours_absence_avant]]-Base[[#This Row],['[Prod']'[Absentéisme']Total_jours_absence_après]]</f>
        <v>1553663.3938810183</v>
      </c>
      <c r="BW556" s="4">
        <f>IF(AND(Base[[#This Row],[Pathologie]]&lt;&gt;"Dépendance",Base[[#This Row],[Pathologie]]&lt;&gt;"Mort prématurée",Base[[#This Row],[Pathologie]]&lt;&gt;"Migraine"),0.0619,0)</f>
        <v>6.1899999999999997E-2</v>
      </c>
      <c r="BX556" s="4">
        <v>254</v>
      </c>
      <c r="BY556" s="4">
        <f>Base[[#This Row],['[Prod']'[Absentéisme']Taux_initial]]*Base[[#This Row],['[Prod']Jours_ouvrés]]*Base[[#This Row],[Population_emploi]]*Base[[#This Row],['[Prod']'[Absentéisme']Total_jours_absence_avant]]/211051099.251489</f>
        <v>15300408.135492712</v>
      </c>
      <c r="BZ556" s="4">
        <f>(Base[[#This Row],['[Prod']'[Absentéisme']Jours_théoriques]]-Base[[#This Row],['[Prod']'[Absentéisme']Total_jours_absence_évités]])/(Base[[#This Row],[Population_emploi]]*Base[[#This Row],['[Prod']Jours_ouvrés]])</f>
        <v>1.9538282415093797E-3</v>
      </c>
      <c r="CA556" s="4">
        <f>Base[[#This Row],[Prévalence_prod]]*Base[[#This Row],[Présentéisme]]*Base[[#This Row],['[Prod']Jours_ouvrés]]</f>
        <v>1.7912080000000001</v>
      </c>
      <c r="CB556" s="4">
        <f>Base[[#This Row],[Prévalence_prod]]*(1-Base[[#This Row],[Risque]])*Base[[#This Row],[Présentéisme]]*Base[[#This Row],['[Prod']Jours_ouvrés]]</f>
        <v>1.4158752557881906</v>
      </c>
      <c r="CC556" s="4">
        <f>Base[[#This Row],['[Prod']'[Présentéisme']Jours_avant]]-Base[[#This Row],['[Prod']'[Présentéisme']Jours_après]]</f>
        <v>0.37533274421180951</v>
      </c>
      <c r="CD556" s="4">
        <f>Base[[#This Row],['[Prod']'[Présentéisme']Jours_gagnés]]/Base[[#This Row],['[Prod']Jours_ouvrés]]</f>
        <v>1.4776879693378328E-3</v>
      </c>
      <c r="CE556">
        <v>9.3428413505841454E-2</v>
      </c>
      <c r="CF556">
        <v>2.1038737314955848E-2</v>
      </c>
      <c r="CG556" s="4">
        <v>11</v>
      </c>
      <c r="CH556" s="4">
        <v>0.85076983926913452</v>
      </c>
      <c r="CI556" s="4">
        <v>0</v>
      </c>
      <c r="CJ556" s="4">
        <f>IF(Base[[#This Row],[Secteur]]&lt;&gt;"Moyenne",Base[[#This Row],['[Prod']'[Turnover']DMC_initiale]]*(1+Base[[#This Row],['[Prod']'[Turnover']Ecart_accidents]]*Base[[#This Row],['[Prod']Impact_motifs_turnover]]),CJ539*CI539+CJ540*CI540+CJ541*CI541+CJ542*CI542+CJ543*CI543+CJ544*CI544+CJ545*CI545+CJ546*CI546+CJ547*CI547+CJ548*CI548+CJ549*CI549+CJ550*CI550+CJ551*CI551+CJ552*CI552+CJ553*CI553+CJ554*CI554+CJ555*CI555)</f>
        <v>11.196890354802576</v>
      </c>
      <c r="CK556" s="4">
        <f>1/Base[[#This Row],['[Prod']'[Turnover']DMC_initiale]]</f>
        <v>9.0909090909090912E-2</v>
      </c>
      <c r="CL556" s="4">
        <f>1/Base[[#This Row],['[Prod']'[Turnover']DMC_finale]]</f>
        <v>8.9310511071592255E-2</v>
      </c>
    </row>
    <row r="557" spans="2:90" x14ac:dyDescent="0.25">
      <c r="B557" s="4" t="s">
        <v>315</v>
      </c>
      <c r="C557">
        <v>30</v>
      </c>
      <c r="D557" t="s">
        <v>85</v>
      </c>
      <c r="E557" t="s">
        <v>9</v>
      </c>
      <c r="F557" s="3">
        <v>0.21951986147416674</v>
      </c>
      <c r="G557" s="3">
        <v>0.14499999999999999</v>
      </c>
      <c r="H557" s="3">
        <v>0.14499999999999999</v>
      </c>
      <c r="I557" s="3">
        <v>0.153</v>
      </c>
      <c r="J557" s="3">
        <v>29.93</v>
      </c>
      <c r="K557" s="3">
        <v>7.0000000000000007E-2</v>
      </c>
      <c r="L557" s="2">
        <f>Base[[#This Row],[Coût]]*Base[[#This Row],[Part_ménages_dépenses_santé]]</f>
        <v>2.0951</v>
      </c>
      <c r="M557" s="2">
        <v>0.82690611956969029</v>
      </c>
      <c r="N557" s="6">
        <v>27700000</v>
      </c>
      <c r="O557" s="7">
        <f>Base[[#This Row],[Coût_salarié]]*10^9*Base[[#This Row],[Risque]]*Base[[#This Row],[Prévalence]]*Base[[#This Row],[Part_coûts_salarié]]/Base[[#This Row],[Population_emploi]]</f>
        <v>1.9907788399138429</v>
      </c>
      <c r="P557">
        <v>50</v>
      </c>
      <c r="Q557">
        <v>50</v>
      </c>
      <c r="R557" s="2">
        <v>9.9999999999999978E-2</v>
      </c>
      <c r="S557" s="2">
        <v>0.33340000000000003</v>
      </c>
      <c r="T557" s="4">
        <v>0.14499999999999999</v>
      </c>
      <c r="U557" s="4">
        <f>IF(Bases_annexes!$F$5=0,16.6587111018772,0.77*Bases_annexes!$F$5/(IF(OR(ISBLANK('Données_d''entrée'!$E$44),'Données_d''entrée'!$E$44=0),35,'Données_d''entrée'!$E$44)*52))</f>
        <v>16.658711101877199</v>
      </c>
      <c r="V557" s="4">
        <v>17.7120401072847</v>
      </c>
      <c r="W5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57" s="4">
        <v>234.5</v>
      </c>
      <c r="Y557" s="4">
        <f>(Base[[#This Row],['[Maladies']Coûts_évités_par_salarié]]+Base[[#This Row],['[Travail']Coûts_évités_par_salarié]])/Base[[#This Row],[Budget_santé_salarié]]</f>
        <v>7.9261694897501206E-2</v>
      </c>
      <c r="Z557" s="4">
        <v>0.8</v>
      </c>
      <c r="AA557" s="4">
        <f>Base[[#This Row],[Coût]]*Base[[#This Row],[Part_société_dépenses_santé]]</f>
        <v>23.944000000000003</v>
      </c>
      <c r="AB557" s="4">
        <v>67635124</v>
      </c>
      <c r="AC557" s="4">
        <v>82.297079063317852</v>
      </c>
      <c r="AD557" s="4">
        <v>0.14499999999999999</v>
      </c>
      <c r="AE557" s="4">
        <f>Base[[#This Row],['[SC']Prévalence_travail]]*Base[[#This Row],[Population_emploi]]</f>
        <v>4016499.9999999995</v>
      </c>
      <c r="AF557" s="4">
        <f>Base[[#This Row],[Risque]]*Base[[#This Row],['[SC']Patients_en_emploi]]</f>
        <v>881701.52361099061</v>
      </c>
      <c r="AG557" s="4">
        <v>5730042552.54</v>
      </c>
      <c r="AH557" s="4">
        <f>IFERROR(Base[[#This Row],['[SC']Prestations]]/Base[[#This Row],['[SC']Patients_en_emploi]],0)</f>
        <v>1426.625806682435</v>
      </c>
      <c r="AI557" s="4">
        <v>51.7</v>
      </c>
      <c r="AJ5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57" s="4">
        <f>Base[[#This Row],['[SC']'[Travail']Coûts_évités]]/Base[[#This Row],[Population_emploi]]</f>
        <v>45.410041421467923</v>
      </c>
      <c r="AL557" s="4">
        <f>Base[[#This Row],[Coût_société]]*10^9*Base[[#This Row],[Risque]]*Base[[#This Row],[Prévalence]]*Base[[#This Row],[Part_coûts_salarié]]/Base[[#This Row],[Population_emploi]]</f>
        <v>22.751758170443921</v>
      </c>
      <c r="AM557" s="4">
        <f>IF(Base[[#This Row],[Pathologie]]&lt;&gt;"Dépendance",0,14909.24243952)</f>
        <v>0</v>
      </c>
      <c r="AN557" s="4">
        <f>IF(Base[[#This Row],[Pathologie]]&lt;&gt;"Dépendance",0,1316000)</f>
        <v>0</v>
      </c>
      <c r="AO557" s="4">
        <f>IF(Base[[#This Row],[Pathologie]]&lt;&gt;"Dépendance",0,Base[[#This Row],['[SC']Coût_personne_dépendante]]*Base[[#This Row],['[SC']Nb_personnes_dépendantes]])</f>
        <v>0</v>
      </c>
      <c r="AP557" s="4">
        <f>IF(Base[[#This Row],[Pathologie]]&lt;&gt;"Dépendance",0,Base[[#This Row],['[SC']Coût_total_dépendance]]/Base[[#This Row],[Population_totale]])</f>
        <v>0</v>
      </c>
      <c r="AQ557" s="4">
        <f>IF(Base[[#This Row],[Pathologie]]&lt;&gt;"Dépendance",0,4.5)</f>
        <v>0</v>
      </c>
      <c r="AR557" s="4">
        <v>1.0077957276768601</v>
      </c>
      <c r="AS557" s="4">
        <f>Base[[#This Row],[Espérance_vie]]+Base[[#This Row],['[SC']Hausse_esp_de_vie]]-Base[[#This Row],['[SC']Durée_moyenne_dépendance_avt]]+Base[[#This Row],[Risque]]</f>
        <v>83.524394652468885</v>
      </c>
      <c r="AT5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7" s="4">
        <v>62.9</v>
      </c>
      <c r="AW557" s="4">
        <f t="shared" si="0"/>
        <v>336905600000</v>
      </c>
      <c r="AX557" s="4">
        <v>15049171</v>
      </c>
      <c r="AY557" s="4">
        <f>Base[[#This Row],['[SC']Budget_total_retraites]]/Base[[#This Row],['[SC']Nombre_de_retraités]]</f>
        <v>22386.987296509556</v>
      </c>
      <c r="AZ557" s="4">
        <f>Base[[#This Row],['[SC']Budget_par_retraité]]*Base[[#This Row],['[SC']Nb_personnes_dépendantes]]</f>
        <v>0</v>
      </c>
      <c r="BA557" s="4">
        <f>Base[[#This Row],['[SC']'[Dépendance']Coût_retraite_personnes_dépendantes]]/Base[[#This Row],[Population_totale]]</f>
        <v>0</v>
      </c>
      <c r="BB5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7" s="4">
        <f>Base[[#This Row],['[SC']'[Dépendance']Gains]]-Base[[#This Row],['[SC']'[Dépendance']Coûts]]</f>
        <v>0</v>
      </c>
      <c r="BD557" s="4">
        <f>IF(Base[[#This Row],[Pathologie]]&lt;&gt;"Mort prématurée",0,Base[[#This Row],[Risque]]*Base[[#This Row],[Prévalence]]*Base[[#This Row],[Population_totale]])</f>
        <v>0</v>
      </c>
      <c r="BE557" s="4">
        <v>52.74</v>
      </c>
      <c r="BF557" s="4">
        <f>Base[[#This Row],['[SC']Âge_moyen_retraite]]-Base[[#This Row],['[SC']'[Mort_prématurée']Âge_moyen_mort précoce]]</f>
        <v>10.159999999999997</v>
      </c>
      <c r="BG557" s="4">
        <f>Base[[#This Row],[Espérance_vie]]+Base[[#This Row],['[SC']Hausse_esp_de_vie]]-Base[[#This Row],['[SC']Âge_moyen_retraite]]</f>
        <v>20.404874790994718</v>
      </c>
      <c r="BH557" s="4">
        <v>106583.42676924677</v>
      </c>
      <c r="BI557" s="4">
        <v>97601.789429271477</v>
      </c>
      <c r="BJ557" s="4">
        <v>302038.31496633729</v>
      </c>
      <c r="BK557" s="4">
        <v>117293.58934859755</v>
      </c>
      <c r="BL557" s="4">
        <v>1523999.9999999995</v>
      </c>
      <c r="BM5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7" s="4">
        <v>294804.96027377353</v>
      </c>
      <c r="BO5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7" s="4">
        <f>(Base[[#This Row],['[SC']'[Mort_prématurée']Gains]]-Base[[#This Row],['[SC']'[Mort_prématurée']Coûts]])/Base[[#This Row],[Population_totale]]</f>
        <v>0</v>
      </c>
      <c r="BQ557" s="4">
        <f>IF(Base[[#This Row],[Pathologie]]&lt;&gt;"Mort prématurée",0,Base[[#This Row],[Risque]])</f>
        <v>0</v>
      </c>
      <c r="BR557" s="4">
        <v>2680</v>
      </c>
      <c r="BS5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57" s="4">
        <f>Base[[#This Row],[Prévalence_prod]]*(1-Base[[#This Row],[Risque]])*Base[[#This Row],[Durée_arrêt]]*Base[[#This Row],[Population_emploi]]</f>
        <v>55523676.342057109</v>
      </c>
      <c r="BV557" s="4">
        <f>Base[[#This Row],['[Prod']'[Absentéisme']Total_jours_absence_avant]]-Base[[#This Row],['[Prod']'[Absentéisme']Total_jours_absence_après]]</f>
        <v>15616732.74885188</v>
      </c>
      <c r="BW557" s="4">
        <f>IF(AND(Base[[#This Row],[Pathologie]]&lt;&gt;"Dépendance",Base[[#This Row],[Pathologie]]&lt;&gt;"Mort prématurée",Base[[#This Row],[Pathologie]]&lt;&gt;"Migraine"),0.0619,0)</f>
        <v>6.1899999999999997E-2</v>
      </c>
      <c r="BX557" s="4">
        <v>254</v>
      </c>
      <c r="BY55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57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57" s="4">
        <f>Base[[#This Row],[Prévalence_prod]]*Base[[#This Row],[Présentéisme]]*Base[[#This Row],['[Prod']Jours_ouvrés]]</f>
        <v>5.6349899999999993</v>
      </c>
      <c r="CB557" s="4">
        <f>Base[[#This Row],[Prévalence_prod]]*(1-Base[[#This Row],[Risque]])*Base[[#This Row],[Présentéisme]]*Base[[#This Row],['[Prod']Jours_ouvrés]]</f>
        <v>4.3979977757916853</v>
      </c>
      <c r="CC557" s="4">
        <f>Base[[#This Row],['[Prod']'[Présentéisme']Jours_avant]]-Base[[#This Row],['[Prod']'[Présentéisme']Jours_après]]</f>
        <v>1.236992224208314</v>
      </c>
      <c r="CD557" s="4">
        <f>Base[[#This Row],['[Prod']'[Présentéisme']Jours_gagnés]]/Base[[#This Row],['[Prod']Jours_ouvrés]]</f>
        <v>4.8700481268043857E-3</v>
      </c>
      <c r="CE557">
        <v>9.3428413505841454E-2</v>
      </c>
      <c r="CF557">
        <v>2.1038737314955848E-2</v>
      </c>
      <c r="CG557" s="4">
        <v>11</v>
      </c>
      <c r="CH557" s="4">
        <v>1.3966184516047948</v>
      </c>
      <c r="CI557" s="4">
        <v>1.4392894727292521E-2</v>
      </c>
      <c r="CJ557" s="4">
        <f>IF(Base[[#This Row],[Secteur]]&lt;&gt;"Moyenne",Base[[#This Row],['[Prod']'[Turnover']DMC_initiale]]*(1+Base[[#This Row],['[Prod']'[Turnover']Ecart_accidents]]*Base[[#This Row],['[Prod']Impact_motifs_turnover]]),CJ540*CI540+CJ541*CI541+CJ542*CI542+CJ543*CI543+CJ544*CI544+CJ545*CI545+CJ546*CI546+CJ547*CI547+CJ548*CI548+CJ549*CI549+CJ550*CI550+CJ551*CI551+CJ552*CI552+CJ553*CI553+CJ554*CI554+CJ555*CI555+CJ556*CI556)</f>
        <v>11.32321397605787</v>
      </c>
      <c r="CK557" s="4">
        <f>1/Base[[#This Row],['[Prod']'[Turnover']DMC_initiale]]</f>
        <v>9.0909090909090912E-2</v>
      </c>
      <c r="CL557" s="4">
        <f>1/Base[[#This Row],['[Prod']'[Turnover']DMC_finale]]</f>
        <v>8.8314148448879345E-2</v>
      </c>
    </row>
    <row r="558" spans="2:90" x14ac:dyDescent="0.25">
      <c r="B558" s="4" t="s">
        <v>316</v>
      </c>
      <c r="C558">
        <v>30</v>
      </c>
      <c r="D558" t="s">
        <v>85</v>
      </c>
      <c r="E558" t="s">
        <v>9</v>
      </c>
      <c r="F558" s="3">
        <v>0.21951986147416674</v>
      </c>
      <c r="G558" s="3">
        <v>0.14499999999999999</v>
      </c>
      <c r="H558" s="3">
        <v>0.14499999999999999</v>
      </c>
      <c r="I558" s="3">
        <v>0.153</v>
      </c>
      <c r="J558" s="3">
        <v>29.93</v>
      </c>
      <c r="K558" s="3">
        <v>7.0000000000000007E-2</v>
      </c>
      <c r="L558" s="2">
        <f>Base[[#This Row],[Coût]]*Base[[#This Row],[Part_ménages_dépenses_santé]]</f>
        <v>2.0951</v>
      </c>
      <c r="M558" s="2">
        <v>0.82690611956969029</v>
      </c>
      <c r="N558" s="6">
        <v>27700000</v>
      </c>
      <c r="O558" s="7">
        <f>Base[[#This Row],[Coût_salarié]]*10^9*Base[[#This Row],[Risque]]*Base[[#This Row],[Prévalence]]*Base[[#This Row],[Part_coûts_salarié]]/Base[[#This Row],[Population_emploi]]</f>
        <v>1.9907788399138429</v>
      </c>
      <c r="P558">
        <v>50</v>
      </c>
      <c r="Q558">
        <v>50</v>
      </c>
      <c r="R558" s="2">
        <v>9.9999999999999978E-2</v>
      </c>
      <c r="S558" s="2">
        <v>0.33340000000000003</v>
      </c>
      <c r="T558" s="4">
        <v>0.14499999999999999</v>
      </c>
      <c r="U558" s="4">
        <f>IF(Bases_annexes!$F$5=0,16.6587111018772,0.77*Bases_annexes!$F$5/(IF(OR(ISBLANK('Données_d''entrée'!$E$44),'Données_d''entrée'!$E$44=0),35,'Données_d''entrée'!$E$44)*52))</f>
        <v>16.658711101877199</v>
      </c>
      <c r="V558" s="4">
        <v>17.7120401072847</v>
      </c>
      <c r="W5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58" s="4">
        <v>234.5</v>
      </c>
      <c r="Y558" s="4">
        <f>(Base[[#This Row],['[Maladies']Coûts_évités_par_salarié]]+Base[[#This Row],['[Travail']Coûts_évités_par_salarié]])/Base[[#This Row],[Budget_santé_salarié]]</f>
        <v>7.9261694897501206E-2</v>
      </c>
      <c r="Z558" s="4">
        <v>0.8</v>
      </c>
      <c r="AA558" s="4">
        <f>Base[[#This Row],[Coût]]*Base[[#This Row],[Part_société_dépenses_santé]]</f>
        <v>23.944000000000003</v>
      </c>
      <c r="AB558" s="4">
        <v>67635124</v>
      </c>
      <c r="AC558" s="4">
        <v>82.297079063317852</v>
      </c>
      <c r="AD558" s="4">
        <v>0.14499999999999999</v>
      </c>
      <c r="AE558" s="4">
        <f>Base[[#This Row],['[SC']Prévalence_travail]]*Base[[#This Row],[Population_emploi]]</f>
        <v>4016499.9999999995</v>
      </c>
      <c r="AF558" s="4">
        <f>Base[[#This Row],[Risque]]*Base[[#This Row],['[SC']Patients_en_emploi]]</f>
        <v>881701.52361099061</v>
      </c>
      <c r="AG558" s="4">
        <v>5730042552.54</v>
      </c>
      <c r="AH558" s="4">
        <f>IFERROR(Base[[#This Row],['[SC']Prestations]]/Base[[#This Row],['[SC']Patients_en_emploi]],0)</f>
        <v>1426.625806682435</v>
      </c>
      <c r="AI558" s="4">
        <v>51.7</v>
      </c>
      <c r="AJ5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58" s="4">
        <f>Base[[#This Row],['[SC']'[Travail']Coûts_évités]]/Base[[#This Row],[Population_emploi]]</f>
        <v>45.410041421467923</v>
      </c>
      <c r="AL558" s="4">
        <f>Base[[#This Row],[Coût_société]]*10^9*Base[[#This Row],[Risque]]*Base[[#This Row],[Prévalence]]*Base[[#This Row],[Part_coûts_salarié]]/Base[[#This Row],[Population_emploi]]</f>
        <v>22.751758170443921</v>
      </c>
      <c r="AM558" s="4">
        <f>IF(Base[[#This Row],[Pathologie]]&lt;&gt;"Dépendance",0,14909.24243952)</f>
        <v>0</v>
      </c>
      <c r="AN558" s="4">
        <f>IF(Base[[#This Row],[Pathologie]]&lt;&gt;"Dépendance",0,1316000)</f>
        <v>0</v>
      </c>
      <c r="AO558" s="4">
        <f>IF(Base[[#This Row],[Pathologie]]&lt;&gt;"Dépendance",0,Base[[#This Row],['[SC']Coût_personne_dépendante]]*Base[[#This Row],['[SC']Nb_personnes_dépendantes]])</f>
        <v>0</v>
      </c>
      <c r="AP558" s="4">
        <f>IF(Base[[#This Row],[Pathologie]]&lt;&gt;"Dépendance",0,Base[[#This Row],['[SC']Coût_total_dépendance]]/Base[[#This Row],[Population_totale]])</f>
        <v>0</v>
      </c>
      <c r="AQ558" s="4">
        <f>IF(Base[[#This Row],[Pathologie]]&lt;&gt;"Dépendance",0,4.5)</f>
        <v>0</v>
      </c>
      <c r="AR558" s="4">
        <v>1.0077957276768601</v>
      </c>
      <c r="AS558" s="4">
        <f>Base[[#This Row],[Espérance_vie]]+Base[[#This Row],['[SC']Hausse_esp_de_vie]]-Base[[#This Row],['[SC']Durée_moyenne_dépendance_avt]]+Base[[#This Row],[Risque]]</f>
        <v>83.524394652468885</v>
      </c>
      <c r="AT5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8" s="4">
        <v>62.9</v>
      </c>
      <c r="AW558" s="4">
        <f t="shared" ref="AW558:AW574" si="17">336905600000</f>
        <v>336905600000</v>
      </c>
      <c r="AX558" s="4">
        <v>15049171</v>
      </c>
      <c r="AY558" s="4">
        <f>Base[[#This Row],['[SC']Budget_total_retraites]]/Base[[#This Row],['[SC']Nombre_de_retraités]]</f>
        <v>22386.987296509556</v>
      </c>
      <c r="AZ558" s="4">
        <f>Base[[#This Row],['[SC']Budget_par_retraité]]*Base[[#This Row],['[SC']Nb_personnes_dépendantes]]</f>
        <v>0</v>
      </c>
      <c r="BA558" s="4">
        <f>Base[[#This Row],['[SC']'[Dépendance']Coût_retraite_personnes_dépendantes]]/Base[[#This Row],[Population_totale]]</f>
        <v>0</v>
      </c>
      <c r="BB5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8" s="4">
        <f>Base[[#This Row],['[SC']'[Dépendance']Gains]]-Base[[#This Row],['[SC']'[Dépendance']Coûts]]</f>
        <v>0</v>
      </c>
      <c r="BD558" s="4">
        <f>IF(Base[[#This Row],[Pathologie]]&lt;&gt;"Mort prématurée",0,Base[[#This Row],[Risque]]*Base[[#This Row],[Prévalence]]*Base[[#This Row],[Population_totale]])</f>
        <v>0</v>
      </c>
      <c r="BE558" s="4">
        <v>52.74</v>
      </c>
      <c r="BF558" s="4">
        <f>Base[[#This Row],['[SC']Âge_moyen_retraite]]-Base[[#This Row],['[SC']'[Mort_prématurée']Âge_moyen_mort précoce]]</f>
        <v>10.159999999999997</v>
      </c>
      <c r="BG558" s="4">
        <f>Base[[#This Row],[Espérance_vie]]+Base[[#This Row],['[SC']Hausse_esp_de_vie]]-Base[[#This Row],['[SC']Âge_moyen_retraite]]</f>
        <v>20.404874790994718</v>
      </c>
      <c r="BH558" s="4">
        <v>106583.42676924677</v>
      </c>
      <c r="BI558" s="4">
        <v>97601.789429271477</v>
      </c>
      <c r="BJ558" s="4">
        <v>302038.31496633729</v>
      </c>
      <c r="BK558" s="4">
        <v>117293.58934859755</v>
      </c>
      <c r="BL558" s="4">
        <v>1523999.9999999995</v>
      </c>
      <c r="BM5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8" s="4">
        <v>294804.96027377353</v>
      </c>
      <c r="BO5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8" s="4">
        <f>(Base[[#This Row],['[SC']'[Mort_prématurée']Gains]]-Base[[#This Row],['[SC']'[Mort_prématurée']Coûts]])/Base[[#This Row],[Population_totale]]</f>
        <v>0</v>
      </c>
      <c r="BQ558" s="4">
        <f>IF(Base[[#This Row],[Pathologie]]&lt;&gt;"Mort prématurée",0,Base[[#This Row],[Risque]])</f>
        <v>0</v>
      </c>
      <c r="BR558" s="4">
        <v>2680</v>
      </c>
      <c r="BS5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58" s="4">
        <f>Base[[#This Row],[Prévalence_prod]]*(1-Base[[#This Row],[Risque]])*Base[[#This Row],[Durée_arrêt]]*Base[[#This Row],[Population_emploi]]</f>
        <v>55523676.342057109</v>
      </c>
      <c r="BV558" s="4">
        <f>Base[[#This Row],['[Prod']'[Absentéisme']Total_jours_absence_avant]]-Base[[#This Row],['[Prod']'[Absentéisme']Total_jours_absence_après]]</f>
        <v>15616732.74885188</v>
      </c>
      <c r="BW558" s="4">
        <f>IF(AND(Base[[#This Row],[Pathologie]]&lt;&gt;"Dépendance",Base[[#This Row],[Pathologie]]&lt;&gt;"Mort prématurée",Base[[#This Row],[Pathologie]]&lt;&gt;"Migraine"),0.0619,0)</f>
        <v>6.1899999999999997E-2</v>
      </c>
      <c r="BX558" s="4">
        <v>254</v>
      </c>
      <c r="BY55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58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58" s="4">
        <f>Base[[#This Row],[Prévalence_prod]]*Base[[#This Row],[Présentéisme]]*Base[[#This Row],['[Prod']Jours_ouvrés]]</f>
        <v>5.6349899999999993</v>
      </c>
      <c r="CB558" s="4">
        <f>Base[[#This Row],[Prévalence_prod]]*(1-Base[[#This Row],[Risque]])*Base[[#This Row],[Présentéisme]]*Base[[#This Row],['[Prod']Jours_ouvrés]]</f>
        <v>4.3979977757916853</v>
      </c>
      <c r="CC558" s="4">
        <f>Base[[#This Row],['[Prod']'[Présentéisme']Jours_avant]]-Base[[#This Row],['[Prod']'[Présentéisme']Jours_après]]</f>
        <v>1.236992224208314</v>
      </c>
      <c r="CD558" s="4">
        <f>Base[[#This Row],['[Prod']'[Présentéisme']Jours_gagnés]]/Base[[#This Row],['[Prod']Jours_ouvrés]]</f>
        <v>4.8700481268043857E-3</v>
      </c>
      <c r="CE558">
        <v>9.3428413505841454E-2</v>
      </c>
      <c r="CF558">
        <v>2.1038737314955848E-2</v>
      </c>
      <c r="CG558" s="4">
        <v>11</v>
      </c>
      <c r="CH558" s="4">
        <v>0.68054183762612652</v>
      </c>
      <c r="CI558" s="4">
        <v>1.2135452577082654E-2</v>
      </c>
      <c r="CJ558" s="4">
        <f>IF(Base[[#This Row],[Secteur]]&lt;&gt;"Moyenne",Base[[#This Row],['[Prod']'[Turnover']DMC_initiale]]*(1+Base[[#This Row],['[Prod']'[Turnover']Ecart_accidents]]*Base[[#This Row],['[Prod']Impact_motifs_turnover]]),CJ541*CI541+CJ542*CI542+CJ543*CI543+CJ544*CI544+CJ545*CI545+CJ546*CI546+CJ547*CI547+CJ548*CI548+CJ549*CI549+CJ550*CI550+CJ551*CI551+CJ552*CI552+CJ553*CI553+CJ554*CI554+CJ555*CI555+CJ556*CI556+CJ557*CI557)</f>
        <v>11.157495150490188</v>
      </c>
      <c r="CK558" s="4">
        <f>1/Base[[#This Row],['[Prod']'[Turnover']DMC_initiale]]</f>
        <v>9.0909090909090912E-2</v>
      </c>
      <c r="CL558" s="4">
        <f>1/Base[[#This Row],['[Prod']'[Turnover']DMC_finale]]</f>
        <v>8.9625851189015879E-2</v>
      </c>
    </row>
    <row r="559" spans="2:90" x14ac:dyDescent="0.25">
      <c r="B559" s="4" t="s">
        <v>317</v>
      </c>
      <c r="C559">
        <v>30</v>
      </c>
      <c r="D559" t="s">
        <v>85</v>
      </c>
      <c r="E559" t="s">
        <v>9</v>
      </c>
      <c r="F559" s="3">
        <v>0.21951986147416674</v>
      </c>
      <c r="G559" s="3">
        <v>0.14499999999999999</v>
      </c>
      <c r="H559" s="3">
        <v>0.14499999999999999</v>
      </c>
      <c r="I559" s="3">
        <v>0.153</v>
      </c>
      <c r="J559" s="3">
        <v>29.93</v>
      </c>
      <c r="K559" s="3">
        <v>7.0000000000000007E-2</v>
      </c>
      <c r="L559" s="2">
        <f>Base[[#This Row],[Coût]]*Base[[#This Row],[Part_ménages_dépenses_santé]]</f>
        <v>2.0951</v>
      </c>
      <c r="M559" s="2">
        <v>0.82690611956969029</v>
      </c>
      <c r="N559" s="6">
        <v>27700000</v>
      </c>
      <c r="O559" s="7">
        <f>Base[[#This Row],[Coût_salarié]]*10^9*Base[[#This Row],[Risque]]*Base[[#This Row],[Prévalence]]*Base[[#This Row],[Part_coûts_salarié]]/Base[[#This Row],[Population_emploi]]</f>
        <v>1.9907788399138429</v>
      </c>
      <c r="P559">
        <v>50</v>
      </c>
      <c r="Q559">
        <v>50</v>
      </c>
      <c r="R559" s="2">
        <v>9.9999999999999978E-2</v>
      </c>
      <c r="S559" s="2">
        <v>0.33340000000000003</v>
      </c>
      <c r="T559" s="4">
        <v>0.14499999999999999</v>
      </c>
      <c r="U559" s="4">
        <f>IF(Bases_annexes!$F$5=0,16.6587111018772,0.77*Bases_annexes!$F$5/(IF(OR(ISBLANK('Données_d''entrée'!$E$44),'Données_d''entrée'!$E$44=0),35,'Données_d''entrée'!$E$44)*52))</f>
        <v>16.658711101877199</v>
      </c>
      <c r="V559" s="4">
        <v>17.7120401072847</v>
      </c>
      <c r="W5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59" s="4">
        <v>234.5</v>
      </c>
      <c r="Y559" s="4">
        <f>(Base[[#This Row],['[Maladies']Coûts_évités_par_salarié]]+Base[[#This Row],['[Travail']Coûts_évités_par_salarié]])/Base[[#This Row],[Budget_santé_salarié]]</f>
        <v>7.9261694897501206E-2</v>
      </c>
      <c r="Z559" s="4">
        <v>0.8</v>
      </c>
      <c r="AA559" s="4">
        <f>Base[[#This Row],[Coût]]*Base[[#This Row],[Part_société_dépenses_santé]]</f>
        <v>23.944000000000003</v>
      </c>
      <c r="AB559" s="4">
        <v>67635124</v>
      </c>
      <c r="AC559" s="4">
        <v>82.297079063317852</v>
      </c>
      <c r="AD559" s="4">
        <v>0.14499999999999999</v>
      </c>
      <c r="AE559" s="4">
        <f>Base[[#This Row],['[SC']Prévalence_travail]]*Base[[#This Row],[Population_emploi]]</f>
        <v>4016499.9999999995</v>
      </c>
      <c r="AF559" s="4">
        <f>Base[[#This Row],[Risque]]*Base[[#This Row],['[SC']Patients_en_emploi]]</f>
        <v>881701.52361099061</v>
      </c>
      <c r="AG559" s="4">
        <v>5730042552.54</v>
      </c>
      <c r="AH559" s="4">
        <f>IFERROR(Base[[#This Row],['[SC']Prestations]]/Base[[#This Row],['[SC']Patients_en_emploi]],0)</f>
        <v>1426.625806682435</v>
      </c>
      <c r="AI559" s="4">
        <v>51.7</v>
      </c>
      <c r="AJ5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59" s="4">
        <f>Base[[#This Row],['[SC']'[Travail']Coûts_évités]]/Base[[#This Row],[Population_emploi]]</f>
        <v>45.410041421467923</v>
      </c>
      <c r="AL559" s="4">
        <f>Base[[#This Row],[Coût_société]]*10^9*Base[[#This Row],[Risque]]*Base[[#This Row],[Prévalence]]*Base[[#This Row],[Part_coûts_salarié]]/Base[[#This Row],[Population_emploi]]</f>
        <v>22.751758170443921</v>
      </c>
      <c r="AM559" s="4">
        <f>IF(Base[[#This Row],[Pathologie]]&lt;&gt;"Dépendance",0,14909.24243952)</f>
        <v>0</v>
      </c>
      <c r="AN559" s="4">
        <f>IF(Base[[#This Row],[Pathologie]]&lt;&gt;"Dépendance",0,1316000)</f>
        <v>0</v>
      </c>
      <c r="AO559" s="4">
        <f>IF(Base[[#This Row],[Pathologie]]&lt;&gt;"Dépendance",0,Base[[#This Row],['[SC']Coût_personne_dépendante]]*Base[[#This Row],['[SC']Nb_personnes_dépendantes]])</f>
        <v>0</v>
      </c>
      <c r="AP559" s="4">
        <f>IF(Base[[#This Row],[Pathologie]]&lt;&gt;"Dépendance",0,Base[[#This Row],['[SC']Coût_total_dépendance]]/Base[[#This Row],[Population_totale]])</f>
        <v>0</v>
      </c>
      <c r="AQ559" s="4">
        <f>IF(Base[[#This Row],[Pathologie]]&lt;&gt;"Dépendance",0,4.5)</f>
        <v>0</v>
      </c>
      <c r="AR559" s="4">
        <v>1.0077957276768601</v>
      </c>
      <c r="AS559" s="4">
        <f>Base[[#This Row],[Espérance_vie]]+Base[[#This Row],['[SC']Hausse_esp_de_vie]]-Base[[#This Row],['[SC']Durée_moyenne_dépendance_avt]]+Base[[#This Row],[Risque]]</f>
        <v>83.524394652468885</v>
      </c>
      <c r="AT5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59" s="4">
        <v>62.9</v>
      </c>
      <c r="AW559" s="4">
        <f t="shared" si="17"/>
        <v>336905600000</v>
      </c>
      <c r="AX559" s="4">
        <v>15049171</v>
      </c>
      <c r="AY559" s="4">
        <f>Base[[#This Row],['[SC']Budget_total_retraites]]/Base[[#This Row],['[SC']Nombre_de_retraités]]</f>
        <v>22386.987296509556</v>
      </c>
      <c r="AZ559" s="4">
        <f>Base[[#This Row],['[SC']Budget_par_retraité]]*Base[[#This Row],['[SC']Nb_personnes_dépendantes]]</f>
        <v>0</v>
      </c>
      <c r="BA559" s="4">
        <f>Base[[#This Row],['[SC']'[Dépendance']Coût_retraite_personnes_dépendantes]]/Base[[#This Row],[Population_totale]]</f>
        <v>0</v>
      </c>
      <c r="BB5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59" s="4">
        <f>Base[[#This Row],['[SC']'[Dépendance']Gains]]-Base[[#This Row],['[SC']'[Dépendance']Coûts]]</f>
        <v>0</v>
      </c>
      <c r="BD559" s="4">
        <f>IF(Base[[#This Row],[Pathologie]]&lt;&gt;"Mort prématurée",0,Base[[#This Row],[Risque]]*Base[[#This Row],[Prévalence]]*Base[[#This Row],[Population_totale]])</f>
        <v>0</v>
      </c>
      <c r="BE559" s="4">
        <v>52.74</v>
      </c>
      <c r="BF559" s="4">
        <f>Base[[#This Row],['[SC']Âge_moyen_retraite]]-Base[[#This Row],['[SC']'[Mort_prématurée']Âge_moyen_mort précoce]]</f>
        <v>10.159999999999997</v>
      </c>
      <c r="BG559" s="4">
        <f>Base[[#This Row],[Espérance_vie]]+Base[[#This Row],['[SC']Hausse_esp_de_vie]]-Base[[#This Row],['[SC']Âge_moyen_retraite]]</f>
        <v>20.404874790994718</v>
      </c>
      <c r="BH559" s="4">
        <v>106583.42676924677</v>
      </c>
      <c r="BI559" s="4">
        <v>97601.789429271477</v>
      </c>
      <c r="BJ559" s="4">
        <v>302038.31496633729</v>
      </c>
      <c r="BK559" s="4">
        <v>117293.58934859755</v>
      </c>
      <c r="BL559" s="4">
        <v>1523999.9999999995</v>
      </c>
      <c r="BM5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59" s="4">
        <v>294804.96027377353</v>
      </c>
      <c r="BO5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59" s="4">
        <f>(Base[[#This Row],['[SC']'[Mort_prématurée']Gains]]-Base[[#This Row],['[SC']'[Mort_prématurée']Coûts]])/Base[[#This Row],[Population_totale]]</f>
        <v>0</v>
      </c>
      <c r="BQ559" s="4">
        <f>IF(Base[[#This Row],[Pathologie]]&lt;&gt;"Mort prématurée",0,Base[[#This Row],[Risque]])</f>
        <v>0</v>
      </c>
      <c r="BR559" s="4">
        <v>2680</v>
      </c>
      <c r="BS5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59" s="4">
        <f>Base[[#This Row],[Prévalence_prod]]*(1-Base[[#This Row],[Risque]])*Base[[#This Row],[Durée_arrêt]]*Base[[#This Row],[Population_emploi]]</f>
        <v>55523676.342057109</v>
      </c>
      <c r="BV559" s="4">
        <f>Base[[#This Row],['[Prod']'[Absentéisme']Total_jours_absence_avant]]-Base[[#This Row],['[Prod']'[Absentéisme']Total_jours_absence_après]]</f>
        <v>15616732.74885188</v>
      </c>
      <c r="BW559" s="4">
        <f>IF(AND(Base[[#This Row],[Pathologie]]&lt;&gt;"Dépendance",Base[[#This Row],[Pathologie]]&lt;&gt;"Mort prématurée",Base[[#This Row],[Pathologie]]&lt;&gt;"Migraine"),0.0619,0)</f>
        <v>6.1899999999999997E-2</v>
      </c>
      <c r="BX559" s="4">
        <v>254</v>
      </c>
      <c r="BY559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59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59" s="4">
        <f>Base[[#This Row],[Prévalence_prod]]*Base[[#This Row],[Présentéisme]]*Base[[#This Row],['[Prod']Jours_ouvrés]]</f>
        <v>5.6349899999999993</v>
      </c>
      <c r="CB559" s="4">
        <f>Base[[#This Row],[Prévalence_prod]]*(1-Base[[#This Row],[Risque]])*Base[[#This Row],[Présentéisme]]*Base[[#This Row],['[Prod']Jours_ouvrés]]</f>
        <v>4.3979977757916853</v>
      </c>
      <c r="CC559" s="4">
        <f>Base[[#This Row],['[Prod']'[Présentéisme']Jours_avant]]-Base[[#This Row],['[Prod']'[Présentéisme']Jours_après]]</f>
        <v>1.236992224208314</v>
      </c>
      <c r="CD559" s="4">
        <f>Base[[#This Row],['[Prod']'[Présentéisme']Jours_gagnés]]/Base[[#This Row],['[Prod']Jours_ouvrés]]</f>
        <v>4.8700481268043857E-3</v>
      </c>
      <c r="CE559">
        <v>9.3428413505841454E-2</v>
      </c>
      <c r="CF559">
        <v>2.1038737314955848E-2</v>
      </c>
      <c r="CG559" s="4">
        <v>11</v>
      </c>
      <c r="CH559" s="4">
        <v>0.31563677172153043</v>
      </c>
      <c r="CI559" s="4">
        <v>1.3003350630813707E-4</v>
      </c>
      <c r="CJ559" s="4">
        <f>IF(Base[[#This Row],[Secteur]]&lt;&gt;"Moyenne",Base[[#This Row],['[Prod']'[Turnover']DMC_initiale]]*(1+Base[[#This Row],['[Prod']'[Turnover']Ecart_accidents]]*Base[[#This Row],['[Prod']Impact_motifs_turnover]]),CJ542*CI542+CJ543*CI543+CJ544*CI544+CJ545*CI545+CJ546*CI546+CJ547*CI547+CJ548*CI548+CJ549*CI549+CJ550*CI550+CJ551*CI551+CJ552*CI552+CJ553*CI553+CJ554*CI554+CJ555*CI555+CJ556*CI556+CJ557*CI557+CJ558*CI558)</f>
        <v>11.073046590399091</v>
      </c>
      <c r="CK559" s="4">
        <f>1/Base[[#This Row],['[Prod']'[Turnover']DMC_initiale]]</f>
        <v>9.0909090909090912E-2</v>
      </c>
      <c r="CL559" s="4">
        <f>1/Base[[#This Row],['[Prod']'[Turnover']DMC_finale]]</f>
        <v>9.030938250246795E-2</v>
      </c>
    </row>
    <row r="560" spans="2:90" x14ac:dyDescent="0.25">
      <c r="B560" s="4" t="s">
        <v>318</v>
      </c>
      <c r="C560">
        <v>30</v>
      </c>
      <c r="D560" t="s">
        <v>85</v>
      </c>
      <c r="E560" t="s">
        <v>9</v>
      </c>
      <c r="F560" s="3">
        <v>0.21951986147416674</v>
      </c>
      <c r="G560" s="3">
        <v>0.14499999999999999</v>
      </c>
      <c r="H560" s="3">
        <v>0.14499999999999999</v>
      </c>
      <c r="I560" s="3">
        <v>0.153</v>
      </c>
      <c r="J560" s="3">
        <v>29.93</v>
      </c>
      <c r="K560" s="3">
        <v>7.0000000000000007E-2</v>
      </c>
      <c r="L560" s="2">
        <f>Base[[#This Row],[Coût]]*Base[[#This Row],[Part_ménages_dépenses_santé]]</f>
        <v>2.0951</v>
      </c>
      <c r="M560" s="2">
        <v>0.82690611956969029</v>
      </c>
      <c r="N560" s="6">
        <v>27700000</v>
      </c>
      <c r="O560" s="7">
        <f>Base[[#This Row],[Coût_salarié]]*10^9*Base[[#This Row],[Risque]]*Base[[#This Row],[Prévalence]]*Base[[#This Row],[Part_coûts_salarié]]/Base[[#This Row],[Population_emploi]]</f>
        <v>1.9907788399138429</v>
      </c>
      <c r="P560">
        <v>50</v>
      </c>
      <c r="Q560">
        <v>50</v>
      </c>
      <c r="R560" s="2">
        <v>9.9999999999999978E-2</v>
      </c>
      <c r="S560" s="2">
        <v>0.33340000000000003</v>
      </c>
      <c r="T560" s="4">
        <v>0.14499999999999999</v>
      </c>
      <c r="U560" s="4">
        <f>IF(Bases_annexes!$F$5=0,16.6587111018772,0.77*Bases_annexes!$F$5/(IF(OR(ISBLANK('Données_d''entrée'!$E$44),'Données_d''entrée'!$E$44=0),35,'Données_d''entrée'!$E$44)*52))</f>
        <v>16.658711101877199</v>
      </c>
      <c r="V560" s="4">
        <v>17.7120401072847</v>
      </c>
      <c r="W5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0" s="4">
        <v>234.5</v>
      </c>
      <c r="Y560" s="4">
        <f>(Base[[#This Row],['[Maladies']Coûts_évités_par_salarié]]+Base[[#This Row],['[Travail']Coûts_évités_par_salarié]])/Base[[#This Row],[Budget_santé_salarié]]</f>
        <v>7.9261694897501206E-2</v>
      </c>
      <c r="Z560" s="4">
        <v>0.8</v>
      </c>
      <c r="AA560" s="4">
        <f>Base[[#This Row],[Coût]]*Base[[#This Row],[Part_société_dépenses_santé]]</f>
        <v>23.944000000000003</v>
      </c>
      <c r="AB560" s="4">
        <v>67635124</v>
      </c>
      <c r="AC560" s="4">
        <v>82.297079063317852</v>
      </c>
      <c r="AD560" s="4">
        <v>0.14499999999999999</v>
      </c>
      <c r="AE560" s="4">
        <f>Base[[#This Row],['[SC']Prévalence_travail]]*Base[[#This Row],[Population_emploi]]</f>
        <v>4016499.9999999995</v>
      </c>
      <c r="AF560" s="4">
        <f>Base[[#This Row],[Risque]]*Base[[#This Row],['[SC']Patients_en_emploi]]</f>
        <v>881701.52361099061</v>
      </c>
      <c r="AG560" s="4">
        <v>5730042552.54</v>
      </c>
      <c r="AH560" s="4">
        <f>IFERROR(Base[[#This Row],['[SC']Prestations]]/Base[[#This Row],['[SC']Patients_en_emploi]],0)</f>
        <v>1426.625806682435</v>
      </c>
      <c r="AI560" s="4">
        <v>51.7</v>
      </c>
      <c r="AJ5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0" s="4">
        <f>Base[[#This Row],['[SC']'[Travail']Coûts_évités]]/Base[[#This Row],[Population_emploi]]</f>
        <v>45.410041421467923</v>
      </c>
      <c r="AL560" s="4">
        <f>Base[[#This Row],[Coût_société]]*10^9*Base[[#This Row],[Risque]]*Base[[#This Row],[Prévalence]]*Base[[#This Row],[Part_coûts_salarié]]/Base[[#This Row],[Population_emploi]]</f>
        <v>22.751758170443921</v>
      </c>
      <c r="AM560" s="4">
        <f>IF(Base[[#This Row],[Pathologie]]&lt;&gt;"Dépendance",0,14909.24243952)</f>
        <v>0</v>
      </c>
      <c r="AN560" s="4">
        <f>IF(Base[[#This Row],[Pathologie]]&lt;&gt;"Dépendance",0,1316000)</f>
        <v>0</v>
      </c>
      <c r="AO560" s="4">
        <f>IF(Base[[#This Row],[Pathologie]]&lt;&gt;"Dépendance",0,Base[[#This Row],['[SC']Coût_personne_dépendante]]*Base[[#This Row],['[SC']Nb_personnes_dépendantes]])</f>
        <v>0</v>
      </c>
      <c r="AP560" s="4">
        <f>IF(Base[[#This Row],[Pathologie]]&lt;&gt;"Dépendance",0,Base[[#This Row],['[SC']Coût_total_dépendance]]/Base[[#This Row],[Population_totale]])</f>
        <v>0</v>
      </c>
      <c r="AQ560" s="4">
        <f>IF(Base[[#This Row],[Pathologie]]&lt;&gt;"Dépendance",0,4.5)</f>
        <v>0</v>
      </c>
      <c r="AR560" s="4">
        <v>1.0077957276768601</v>
      </c>
      <c r="AS560" s="4">
        <f>Base[[#This Row],[Espérance_vie]]+Base[[#This Row],['[SC']Hausse_esp_de_vie]]-Base[[#This Row],['[SC']Durée_moyenne_dépendance_avt]]+Base[[#This Row],[Risque]]</f>
        <v>83.524394652468885</v>
      </c>
      <c r="AT5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0" s="4">
        <v>62.9</v>
      </c>
      <c r="AW560" s="4">
        <f t="shared" si="17"/>
        <v>336905600000</v>
      </c>
      <c r="AX560" s="4">
        <v>15049171</v>
      </c>
      <c r="AY560" s="4">
        <f>Base[[#This Row],['[SC']Budget_total_retraites]]/Base[[#This Row],['[SC']Nombre_de_retraités]]</f>
        <v>22386.987296509556</v>
      </c>
      <c r="AZ560" s="4">
        <f>Base[[#This Row],['[SC']Budget_par_retraité]]*Base[[#This Row],['[SC']Nb_personnes_dépendantes]]</f>
        <v>0</v>
      </c>
      <c r="BA560" s="4">
        <f>Base[[#This Row],['[SC']'[Dépendance']Coût_retraite_personnes_dépendantes]]/Base[[#This Row],[Population_totale]]</f>
        <v>0</v>
      </c>
      <c r="BB5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0" s="4">
        <f>Base[[#This Row],['[SC']'[Dépendance']Gains]]-Base[[#This Row],['[SC']'[Dépendance']Coûts]]</f>
        <v>0</v>
      </c>
      <c r="BD560" s="4">
        <f>IF(Base[[#This Row],[Pathologie]]&lt;&gt;"Mort prématurée",0,Base[[#This Row],[Risque]]*Base[[#This Row],[Prévalence]]*Base[[#This Row],[Population_totale]])</f>
        <v>0</v>
      </c>
      <c r="BE560" s="4">
        <v>52.74</v>
      </c>
      <c r="BF560" s="4">
        <f>Base[[#This Row],['[SC']Âge_moyen_retraite]]-Base[[#This Row],['[SC']'[Mort_prématurée']Âge_moyen_mort précoce]]</f>
        <v>10.159999999999997</v>
      </c>
      <c r="BG560" s="4">
        <f>Base[[#This Row],[Espérance_vie]]+Base[[#This Row],['[SC']Hausse_esp_de_vie]]-Base[[#This Row],['[SC']Âge_moyen_retraite]]</f>
        <v>20.404874790994718</v>
      </c>
      <c r="BH560" s="4">
        <v>106583.42676924677</v>
      </c>
      <c r="BI560" s="4">
        <v>97601.789429271477</v>
      </c>
      <c r="BJ560" s="4">
        <v>302038.31496633729</v>
      </c>
      <c r="BK560" s="4">
        <v>117293.58934859755</v>
      </c>
      <c r="BL560" s="4">
        <v>1523999.9999999995</v>
      </c>
      <c r="BM5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0" s="4">
        <v>294804.96027377353</v>
      </c>
      <c r="BO5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0" s="4">
        <f>(Base[[#This Row],['[SC']'[Mort_prématurée']Gains]]-Base[[#This Row],['[SC']'[Mort_prématurée']Coûts]])/Base[[#This Row],[Population_totale]]</f>
        <v>0</v>
      </c>
      <c r="BQ560" s="4">
        <f>IF(Base[[#This Row],[Pathologie]]&lt;&gt;"Mort prématurée",0,Base[[#This Row],[Risque]])</f>
        <v>0</v>
      </c>
      <c r="BR560" s="4">
        <v>2680</v>
      </c>
      <c r="BS5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0" s="4">
        <f>Base[[#This Row],[Prévalence_prod]]*(1-Base[[#This Row],[Risque]])*Base[[#This Row],[Durée_arrêt]]*Base[[#This Row],[Population_emploi]]</f>
        <v>55523676.342057109</v>
      </c>
      <c r="BV560" s="4">
        <f>Base[[#This Row],['[Prod']'[Absentéisme']Total_jours_absence_avant]]-Base[[#This Row],['[Prod']'[Absentéisme']Total_jours_absence_après]]</f>
        <v>15616732.74885188</v>
      </c>
      <c r="BW560" s="4">
        <f>IF(AND(Base[[#This Row],[Pathologie]]&lt;&gt;"Dépendance",Base[[#This Row],[Pathologie]]&lt;&gt;"Mort prématurée",Base[[#This Row],[Pathologie]]&lt;&gt;"Migraine"),0.0619,0)</f>
        <v>6.1899999999999997E-2</v>
      </c>
      <c r="BX560" s="4">
        <v>254</v>
      </c>
      <c r="BY560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0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0" s="4">
        <f>Base[[#This Row],[Prévalence_prod]]*Base[[#This Row],[Présentéisme]]*Base[[#This Row],['[Prod']Jours_ouvrés]]</f>
        <v>5.6349899999999993</v>
      </c>
      <c r="CB560" s="4">
        <f>Base[[#This Row],[Prévalence_prod]]*(1-Base[[#This Row],[Risque]])*Base[[#This Row],[Présentéisme]]*Base[[#This Row],['[Prod']Jours_ouvrés]]</f>
        <v>4.3979977757916853</v>
      </c>
      <c r="CC560" s="4">
        <f>Base[[#This Row],['[Prod']'[Présentéisme']Jours_avant]]-Base[[#This Row],['[Prod']'[Présentéisme']Jours_après]]</f>
        <v>1.236992224208314</v>
      </c>
      <c r="CD560" s="4">
        <f>Base[[#This Row],['[Prod']'[Présentéisme']Jours_gagnés]]/Base[[#This Row],['[Prod']Jours_ouvrés]]</f>
        <v>4.8700481268043857E-3</v>
      </c>
      <c r="CE560">
        <v>9.3428413505841454E-2</v>
      </c>
      <c r="CF560">
        <v>2.1038737314955848E-2</v>
      </c>
      <c r="CG560" s="4">
        <v>11</v>
      </c>
      <c r="CH560" s="4">
        <v>1.1688035738877327</v>
      </c>
      <c r="CI560" s="4">
        <v>9.6557438521367826E-3</v>
      </c>
      <c r="CJ560" s="4">
        <f>IF(Base[[#This Row],[Secteur]]&lt;&gt;"Moyenne",Base[[#This Row],['[Prod']'[Turnover']DMC_initiale]]*(1+Base[[#This Row],['[Prod']'[Turnover']Ecart_accidents]]*Base[[#This Row],['[Prod']Impact_motifs_turnover]]),CJ543*CI543+CJ544*CI544+CJ545*CI545+CJ546*CI546+CJ547*CI547+CJ548*CI548+CJ549*CI549+CJ550*CI550+CJ551*CI551+CJ552*CI552+CJ553*CI553+CJ554*CI554+CJ555*CI555+CJ556*CI556+CJ557*CI557+CJ558*CI558+CJ559*CI559)</f>
        <v>11.270491665001861</v>
      </c>
      <c r="CK560" s="4">
        <f>1/Base[[#This Row],['[Prod']'[Turnover']DMC_initiale]]</f>
        <v>9.0909090909090912E-2</v>
      </c>
      <c r="CL560" s="4">
        <f>1/Base[[#This Row],['[Prod']'[Turnover']DMC_finale]]</f>
        <v>8.8727273815861069E-2</v>
      </c>
    </row>
    <row r="561" spans="2:90" x14ac:dyDescent="0.25">
      <c r="B561" s="4" t="s">
        <v>319</v>
      </c>
      <c r="C561">
        <v>30</v>
      </c>
      <c r="D561" t="s">
        <v>85</v>
      </c>
      <c r="E561" t="s">
        <v>9</v>
      </c>
      <c r="F561" s="3">
        <v>0.21951986147416674</v>
      </c>
      <c r="G561" s="3">
        <v>0.14499999999999999</v>
      </c>
      <c r="H561" s="3">
        <v>0.14499999999999999</v>
      </c>
      <c r="I561" s="3">
        <v>0.153</v>
      </c>
      <c r="J561" s="3">
        <v>29.93</v>
      </c>
      <c r="K561" s="3">
        <v>7.0000000000000007E-2</v>
      </c>
      <c r="L561" s="2">
        <f>Base[[#This Row],[Coût]]*Base[[#This Row],[Part_ménages_dépenses_santé]]</f>
        <v>2.0951</v>
      </c>
      <c r="M561" s="2">
        <v>0.82690611956969029</v>
      </c>
      <c r="N561" s="6">
        <v>27700000</v>
      </c>
      <c r="O561" s="7">
        <f>Base[[#This Row],[Coût_salarié]]*10^9*Base[[#This Row],[Risque]]*Base[[#This Row],[Prévalence]]*Base[[#This Row],[Part_coûts_salarié]]/Base[[#This Row],[Population_emploi]]</f>
        <v>1.9907788399138429</v>
      </c>
      <c r="P561">
        <v>50</v>
      </c>
      <c r="Q561">
        <v>50</v>
      </c>
      <c r="R561" s="2">
        <v>9.9999999999999978E-2</v>
      </c>
      <c r="S561" s="2">
        <v>0.33340000000000003</v>
      </c>
      <c r="T561" s="4">
        <v>0.14499999999999999</v>
      </c>
      <c r="U561" s="4">
        <f>IF(Bases_annexes!$F$5=0,16.6587111018772,0.77*Bases_annexes!$F$5/(IF(OR(ISBLANK('Données_d''entrée'!$E$44),'Données_d''entrée'!$E$44=0),35,'Données_d''entrée'!$E$44)*52))</f>
        <v>16.658711101877199</v>
      </c>
      <c r="V561" s="4">
        <v>17.7120401072847</v>
      </c>
      <c r="W5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1" s="4">
        <v>234.5</v>
      </c>
      <c r="Y561" s="4">
        <f>(Base[[#This Row],['[Maladies']Coûts_évités_par_salarié]]+Base[[#This Row],['[Travail']Coûts_évités_par_salarié]])/Base[[#This Row],[Budget_santé_salarié]]</f>
        <v>7.9261694897501206E-2</v>
      </c>
      <c r="Z561" s="4">
        <v>0.8</v>
      </c>
      <c r="AA561" s="4">
        <f>Base[[#This Row],[Coût]]*Base[[#This Row],[Part_société_dépenses_santé]]</f>
        <v>23.944000000000003</v>
      </c>
      <c r="AB561" s="4">
        <v>67635124</v>
      </c>
      <c r="AC561" s="4">
        <v>82.297079063317852</v>
      </c>
      <c r="AD561" s="4">
        <v>0.14499999999999999</v>
      </c>
      <c r="AE561" s="4">
        <f>Base[[#This Row],['[SC']Prévalence_travail]]*Base[[#This Row],[Population_emploi]]</f>
        <v>4016499.9999999995</v>
      </c>
      <c r="AF561" s="4">
        <f>Base[[#This Row],[Risque]]*Base[[#This Row],['[SC']Patients_en_emploi]]</f>
        <v>881701.52361099061</v>
      </c>
      <c r="AG561" s="4">
        <v>5730042552.54</v>
      </c>
      <c r="AH561" s="4">
        <f>IFERROR(Base[[#This Row],['[SC']Prestations]]/Base[[#This Row],['[SC']Patients_en_emploi]],0)</f>
        <v>1426.625806682435</v>
      </c>
      <c r="AI561" s="4">
        <v>51.7</v>
      </c>
      <c r="AJ5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1" s="4">
        <f>Base[[#This Row],['[SC']'[Travail']Coûts_évités]]/Base[[#This Row],[Population_emploi]]</f>
        <v>45.410041421467923</v>
      </c>
      <c r="AL561" s="4">
        <f>Base[[#This Row],[Coût_société]]*10^9*Base[[#This Row],[Risque]]*Base[[#This Row],[Prévalence]]*Base[[#This Row],[Part_coûts_salarié]]/Base[[#This Row],[Population_emploi]]</f>
        <v>22.751758170443921</v>
      </c>
      <c r="AM561" s="4">
        <f>IF(Base[[#This Row],[Pathologie]]&lt;&gt;"Dépendance",0,14909.24243952)</f>
        <v>0</v>
      </c>
      <c r="AN561" s="4">
        <f>IF(Base[[#This Row],[Pathologie]]&lt;&gt;"Dépendance",0,1316000)</f>
        <v>0</v>
      </c>
      <c r="AO561" s="4">
        <f>IF(Base[[#This Row],[Pathologie]]&lt;&gt;"Dépendance",0,Base[[#This Row],['[SC']Coût_personne_dépendante]]*Base[[#This Row],['[SC']Nb_personnes_dépendantes]])</f>
        <v>0</v>
      </c>
      <c r="AP561" s="4">
        <f>IF(Base[[#This Row],[Pathologie]]&lt;&gt;"Dépendance",0,Base[[#This Row],['[SC']Coût_total_dépendance]]/Base[[#This Row],[Population_totale]])</f>
        <v>0</v>
      </c>
      <c r="AQ561" s="4">
        <f>IF(Base[[#This Row],[Pathologie]]&lt;&gt;"Dépendance",0,4.5)</f>
        <v>0</v>
      </c>
      <c r="AR561" s="4">
        <v>1.0077957276768601</v>
      </c>
      <c r="AS561" s="4">
        <f>Base[[#This Row],[Espérance_vie]]+Base[[#This Row],['[SC']Hausse_esp_de_vie]]-Base[[#This Row],['[SC']Durée_moyenne_dépendance_avt]]+Base[[#This Row],[Risque]]</f>
        <v>83.524394652468885</v>
      </c>
      <c r="AT5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1" s="4">
        <v>62.9</v>
      </c>
      <c r="AW561" s="4">
        <f t="shared" si="17"/>
        <v>336905600000</v>
      </c>
      <c r="AX561" s="4">
        <v>15049171</v>
      </c>
      <c r="AY561" s="4">
        <f>Base[[#This Row],['[SC']Budget_total_retraites]]/Base[[#This Row],['[SC']Nombre_de_retraités]]</f>
        <v>22386.987296509556</v>
      </c>
      <c r="AZ561" s="4">
        <f>Base[[#This Row],['[SC']Budget_par_retraité]]*Base[[#This Row],['[SC']Nb_personnes_dépendantes]]</f>
        <v>0</v>
      </c>
      <c r="BA561" s="4">
        <f>Base[[#This Row],['[SC']'[Dépendance']Coût_retraite_personnes_dépendantes]]/Base[[#This Row],[Population_totale]]</f>
        <v>0</v>
      </c>
      <c r="BB5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1" s="4">
        <f>Base[[#This Row],['[SC']'[Dépendance']Gains]]-Base[[#This Row],['[SC']'[Dépendance']Coûts]]</f>
        <v>0</v>
      </c>
      <c r="BD561" s="4">
        <f>IF(Base[[#This Row],[Pathologie]]&lt;&gt;"Mort prématurée",0,Base[[#This Row],[Risque]]*Base[[#This Row],[Prévalence]]*Base[[#This Row],[Population_totale]])</f>
        <v>0</v>
      </c>
      <c r="BE561" s="4">
        <v>52.74</v>
      </c>
      <c r="BF561" s="4">
        <f>Base[[#This Row],['[SC']Âge_moyen_retraite]]-Base[[#This Row],['[SC']'[Mort_prématurée']Âge_moyen_mort précoce]]</f>
        <v>10.159999999999997</v>
      </c>
      <c r="BG561" s="4">
        <f>Base[[#This Row],[Espérance_vie]]+Base[[#This Row],['[SC']Hausse_esp_de_vie]]-Base[[#This Row],['[SC']Âge_moyen_retraite]]</f>
        <v>20.404874790994718</v>
      </c>
      <c r="BH561" s="4">
        <v>106583.42676924677</v>
      </c>
      <c r="BI561" s="4">
        <v>97601.789429271477</v>
      </c>
      <c r="BJ561" s="4">
        <v>302038.31496633729</v>
      </c>
      <c r="BK561" s="4">
        <v>117293.58934859755</v>
      </c>
      <c r="BL561" s="4">
        <v>1523999.9999999995</v>
      </c>
      <c r="BM5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1" s="4">
        <v>294804.96027377353</v>
      </c>
      <c r="BO5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1" s="4">
        <f>(Base[[#This Row],['[SC']'[Mort_prématurée']Gains]]-Base[[#This Row],['[SC']'[Mort_prématurée']Coûts]])/Base[[#This Row],[Population_totale]]</f>
        <v>0</v>
      </c>
      <c r="BQ561" s="4">
        <f>IF(Base[[#This Row],[Pathologie]]&lt;&gt;"Mort prématurée",0,Base[[#This Row],[Risque]])</f>
        <v>0</v>
      </c>
      <c r="BR561" s="4">
        <v>2680</v>
      </c>
      <c r="BS5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1" s="4">
        <f>Base[[#This Row],[Prévalence_prod]]*(1-Base[[#This Row],[Risque]])*Base[[#This Row],[Durée_arrêt]]*Base[[#This Row],[Population_emploi]]</f>
        <v>55523676.342057109</v>
      </c>
      <c r="BV561" s="4">
        <f>Base[[#This Row],['[Prod']'[Absentéisme']Total_jours_absence_avant]]-Base[[#This Row],['[Prod']'[Absentéisme']Total_jours_absence_après]]</f>
        <v>15616732.74885188</v>
      </c>
      <c r="BW561" s="4">
        <f>IF(AND(Base[[#This Row],[Pathologie]]&lt;&gt;"Dépendance",Base[[#This Row],[Pathologie]]&lt;&gt;"Mort prématurée",Base[[#This Row],[Pathologie]]&lt;&gt;"Migraine"),0.0619,0)</f>
        <v>6.1899999999999997E-2</v>
      </c>
      <c r="BX561" s="4">
        <v>254</v>
      </c>
      <c r="BY56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1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1" s="4">
        <f>Base[[#This Row],[Prévalence_prod]]*Base[[#This Row],[Présentéisme]]*Base[[#This Row],['[Prod']Jours_ouvrés]]</f>
        <v>5.6349899999999993</v>
      </c>
      <c r="CB561" s="4">
        <f>Base[[#This Row],[Prévalence_prod]]*(1-Base[[#This Row],[Risque]])*Base[[#This Row],[Présentéisme]]*Base[[#This Row],['[Prod']Jours_ouvrés]]</f>
        <v>4.3979977757916853</v>
      </c>
      <c r="CC561" s="4">
        <f>Base[[#This Row],['[Prod']'[Présentéisme']Jours_avant]]-Base[[#This Row],['[Prod']'[Présentéisme']Jours_après]]</f>
        <v>1.236992224208314</v>
      </c>
      <c r="CD561" s="4">
        <f>Base[[#This Row],['[Prod']'[Présentéisme']Jours_gagnés]]/Base[[#This Row],['[Prod']Jours_ouvrés]]</f>
        <v>4.8700481268043857E-3</v>
      </c>
      <c r="CE561">
        <v>9.3428413505841454E-2</v>
      </c>
      <c r="CF561">
        <v>2.1038737314955848E-2</v>
      </c>
      <c r="CG561" s="4">
        <v>11</v>
      </c>
      <c r="CH561" s="4">
        <v>0.52204401140486179</v>
      </c>
      <c r="CI561" s="4">
        <v>1.2443904150185675E-2</v>
      </c>
      <c r="CJ561" s="4">
        <f>IF(Base[[#This Row],[Secteur]]&lt;&gt;"Moyenne",Base[[#This Row],['[Prod']'[Turnover']DMC_initiale]]*(1+Base[[#This Row],['[Prod']'[Turnover']Ecart_accidents]]*Base[[#This Row],['[Prod']Impact_motifs_turnover]]),CJ544*CI544+CJ545*CI545+CJ546*CI546+CJ547*CI547+CJ548*CI548+CJ549*CI549+CJ550*CI550+CJ551*CI551+CJ552*CI552+CJ553*CI553+CJ554*CI554+CJ555*CI555+CJ556*CI556+CJ557*CI557+CJ558*CI558+CJ559*CI559+CJ560*CI560)</f>
        <v>11.120814615050721</v>
      </c>
      <c r="CK561" s="4">
        <f>1/Base[[#This Row],['[Prod']'[Turnover']DMC_initiale]]</f>
        <v>9.0909090909090912E-2</v>
      </c>
      <c r="CL561" s="4">
        <f>1/Base[[#This Row],['[Prod']'[Turnover']DMC_finale]]</f>
        <v>8.9921470199369843E-2</v>
      </c>
    </row>
    <row r="562" spans="2:90" x14ac:dyDescent="0.25">
      <c r="B562" s="4" t="s">
        <v>320</v>
      </c>
      <c r="C562">
        <v>30</v>
      </c>
      <c r="D562" t="s">
        <v>85</v>
      </c>
      <c r="E562" t="s">
        <v>9</v>
      </c>
      <c r="F562" s="3">
        <v>0.21951986147416674</v>
      </c>
      <c r="G562" s="3">
        <v>0.14499999999999999</v>
      </c>
      <c r="H562" s="3">
        <v>0.14499999999999999</v>
      </c>
      <c r="I562" s="3">
        <v>0.153</v>
      </c>
      <c r="J562" s="3">
        <v>29.93</v>
      </c>
      <c r="K562" s="3">
        <v>7.0000000000000007E-2</v>
      </c>
      <c r="L562" s="2">
        <f>Base[[#This Row],[Coût]]*Base[[#This Row],[Part_ménages_dépenses_santé]]</f>
        <v>2.0951</v>
      </c>
      <c r="M562" s="2">
        <v>0.82690611956969029</v>
      </c>
      <c r="N562" s="6">
        <v>27700000</v>
      </c>
      <c r="O562" s="7">
        <f>Base[[#This Row],[Coût_salarié]]*10^9*Base[[#This Row],[Risque]]*Base[[#This Row],[Prévalence]]*Base[[#This Row],[Part_coûts_salarié]]/Base[[#This Row],[Population_emploi]]</f>
        <v>1.9907788399138429</v>
      </c>
      <c r="P562">
        <v>50</v>
      </c>
      <c r="Q562">
        <v>50</v>
      </c>
      <c r="R562" s="2">
        <v>9.9999999999999978E-2</v>
      </c>
      <c r="S562" s="2">
        <v>0.33340000000000003</v>
      </c>
      <c r="T562" s="4">
        <v>0.14499999999999999</v>
      </c>
      <c r="U562" s="4">
        <f>IF(Bases_annexes!$F$5=0,16.6587111018772,0.77*Bases_annexes!$F$5/(IF(OR(ISBLANK('Données_d''entrée'!$E$44),'Données_d''entrée'!$E$44=0),35,'Données_d''entrée'!$E$44)*52))</f>
        <v>16.658711101877199</v>
      </c>
      <c r="V562" s="4">
        <v>17.7120401072847</v>
      </c>
      <c r="W5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2" s="4">
        <v>234.5</v>
      </c>
      <c r="Y562" s="4">
        <f>(Base[[#This Row],['[Maladies']Coûts_évités_par_salarié]]+Base[[#This Row],['[Travail']Coûts_évités_par_salarié]])/Base[[#This Row],[Budget_santé_salarié]]</f>
        <v>7.9261694897501206E-2</v>
      </c>
      <c r="Z562" s="4">
        <v>0.8</v>
      </c>
      <c r="AA562" s="4">
        <f>Base[[#This Row],[Coût]]*Base[[#This Row],[Part_société_dépenses_santé]]</f>
        <v>23.944000000000003</v>
      </c>
      <c r="AB562" s="4">
        <v>67635124</v>
      </c>
      <c r="AC562" s="4">
        <v>82.297079063317852</v>
      </c>
      <c r="AD562" s="4">
        <v>0.14499999999999999</v>
      </c>
      <c r="AE562" s="4">
        <f>Base[[#This Row],['[SC']Prévalence_travail]]*Base[[#This Row],[Population_emploi]]</f>
        <v>4016499.9999999995</v>
      </c>
      <c r="AF562" s="4">
        <f>Base[[#This Row],[Risque]]*Base[[#This Row],['[SC']Patients_en_emploi]]</f>
        <v>881701.52361099061</v>
      </c>
      <c r="AG562" s="4">
        <v>5730042552.54</v>
      </c>
      <c r="AH562" s="4">
        <f>IFERROR(Base[[#This Row],['[SC']Prestations]]/Base[[#This Row],['[SC']Patients_en_emploi]],0)</f>
        <v>1426.625806682435</v>
      </c>
      <c r="AI562" s="4">
        <v>51.7</v>
      </c>
      <c r="AJ5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2" s="4">
        <f>Base[[#This Row],['[SC']'[Travail']Coûts_évités]]/Base[[#This Row],[Population_emploi]]</f>
        <v>45.410041421467923</v>
      </c>
      <c r="AL562" s="4">
        <f>Base[[#This Row],[Coût_société]]*10^9*Base[[#This Row],[Risque]]*Base[[#This Row],[Prévalence]]*Base[[#This Row],[Part_coûts_salarié]]/Base[[#This Row],[Population_emploi]]</f>
        <v>22.751758170443921</v>
      </c>
      <c r="AM562" s="4">
        <f>IF(Base[[#This Row],[Pathologie]]&lt;&gt;"Dépendance",0,14909.24243952)</f>
        <v>0</v>
      </c>
      <c r="AN562" s="4">
        <f>IF(Base[[#This Row],[Pathologie]]&lt;&gt;"Dépendance",0,1316000)</f>
        <v>0</v>
      </c>
      <c r="AO562" s="4">
        <f>IF(Base[[#This Row],[Pathologie]]&lt;&gt;"Dépendance",0,Base[[#This Row],['[SC']Coût_personne_dépendante]]*Base[[#This Row],['[SC']Nb_personnes_dépendantes]])</f>
        <v>0</v>
      </c>
      <c r="AP562" s="4">
        <f>IF(Base[[#This Row],[Pathologie]]&lt;&gt;"Dépendance",0,Base[[#This Row],['[SC']Coût_total_dépendance]]/Base[[#This Row],[Population_totale]])</f>
        <v>0</v>
      </c>
      <c r="AQ562" s="4">
        <f>IF(Base[[#This Row],[Pathologie]]&lt;&gt;"Dépendance",0,4.5)</f>
        <v>0</v>
      </c>
      <c r="AR562" s="4">
        <v>1.0077957276768601</v>
      </c>
      <c r="AS562" s="4">
        <f>Base[[#This Row],[Espérance_vie]]+Base[[#This Row],['[SC']Hausse_esp_de_vie]]-Base[[#This Row],['[SC']Durée_moyenne_dépendance_avt]]+Base[[#This Row],[Risque]]</f>
        <v>83.524394652468885</v>
      </c>
      <c r="AT5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2" s="4">
        <v>62.9</v>
      </c>
      <c r="AW562" s="4">
        <f t="shared" si="17"/>
        <v>336905600000</v>
      </c>
      <c r="AX562" s="4">
        <v>15049171</v>
      </c>
      <c r="AY562" s="4">
        <f>Base[[#This Row],['[SC']Budget_total_retraites]]/Base[[#This Row],['[SC']Nombre_de_retraités]]</f>
        <v>22386.987296509556</v>
      </c>
      <c r="AZ562" s="4">
        <f>Base[[#This Row],['[SC']Budget_par_retraité]]*Base[[#This Row],['[SC']Nb_personnes_dépendantes]]</f>
        <v>0</v>
      </c>
      <c r="BA562" s="4">
        <f>Base[[#This Row],['[SC']'[Dépendance']Coût_retraite_personnes_dépendantes]]/Base[[#This Row],[Population_totale]]</f>
        <v>0</v>
      </c>
      <c r="BB5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2" s="4">
        <f>Base[[#This Row],['[SC']'[Dépendance']Gains]]-Base[[#This Row],['[SC']'[Dépendance']Coûts]]</f>
        <v>0</v>
      </c>
      <c r="BD562" s="4">
        <f>IF(Base[[#This Row],[Pathologie]]&lt;&gt;"Mort prématurée",0,Base[[#This Row],[Risque]]*Base[[#This Row],[Prévalence]]*Base[[#This Row],[Population_totale]])</f>
        <v>0</v>
      </c>
      <c r="BE562" s="4">
        <v>52.74</v>
      </c>
      <c r="BF562" s="4">
        <f>Base[[#This Row],['[SC']Âge_moyen_retraite]]-Base[[#This Row],['[SC']'[Mort_prématurée']Âge_moyen_mort précoce]]</f>
        <v>10.159999999999997</v>
      </c>
      <c r="BG562" s="4">
        <f>Base[[#This Row],[Espérance_vie]]+Base[[#This Row],['[SC']Hausse_esp_de_vie]]-Base[[#This Row],['[SC']Âge_moyen_retraite]]</f>
        <v>20.404874790994718</v>
      </c>
      <c r="BH562" s="4">
        <v>106583.42676924677</v>
      </c>
      <c r="BI562" s="4">
        <v>97601.789429271477</v>
      </c>
      <c r="BJ562" s="4">
        <v>302038.31496633729</v>
      </c>
      <c r="BK562" s="4">
        <v>117293.58934859755</v>
      </c>
      <c r="BL562" s="4">
        <v>1523999.9999999995</v>
      </c>
      <c r="BM5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2" s="4">
        <v>294804.96027377353</v>
      </c>
      <c r="BO5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2" s="4">
        <f>(Base[[#This Row],['[SC']'[Mort_prématurée']Gains]]-Base[[#This Row],['[SC']'[Mort_prématurée']Coûts]])/Base[[#This Row],[Population_totale]]</f>
        <v>0</v>
      </c>
      <c r="BQ562" s="4">
        <f>IF(Base[[#This Row],[Pathologie]]&lt;&gt;"Mort prématurée",0,Base[[#This Row],[Risque]])</f>
        <v>0</v>
      </c>
      <c r="BR562" s="4">
        <v>2680</v>
      </c>
      <c r="BS5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2" s="4">
        <f>Base[[#This Row],[Prévalence_prod]]*(1-Base[[#This Row],[Risque]])*Base[[#This Row],[Durée_arrêt]]*Base[[#This Row],[Population_emploi]]</f>
        <v>55523676.342057109</v>
      </c>
      <c r="BV562" s="4">
        <f>Base[[#This Row],['[Prod']'[Absentéisme']Total_jours_absence_avant]]-Base[[#This Row],['[Prod']'[Absentéisme']Total_jours_absence_après]]</f>
        <v>15616732.74885188</v>
      </c>
      <c r="BW562" s="4">
        <f>IF(AND(Base[[#This Row],[Pathologie]]&lt;&gt;"Dépendance",Base[[#This Row],[Pathologie]]&lt;&gt;"Mort prématurée",Base[[#This Row],[Pathologie]]&lt;&gt;"Migraine"),0.0619,0)</f>
        <v>6.1899999999999997E-2</v>
      </c>
      <c r="BX562" s="4">
        <v>254</v>
      </c>
      <c r="BY56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2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2" s="4">
        <f>Base[[#This Row],[Prévalence_prod]]*Base[[#This Row],[Présentéisme]]*Base[[#This Row],['[Prod']Jours_ouvrés]]</f>
        <v>5.6349899999999993</v>
      </c>
      <c r="CB562" s="4">
        <f>Base[[#This Row],[Prévalence_prod]]*(1-Base[[#This Row],[Risque]])*Base[[#This Row],[Présentéisme]]*Base[[#This Row],['[Prod']Jours_ouvrés]]</f>
        <v>4.3979977757916853</v>
      </c>
      <c r="CC562" s="4">
        <f>Base[[#This Row],['[Prod']'[Présentéisme']Jours_avant]]-Base[[#This Row],['[Prod']'[Présentéisme']Jours_après]]</f>
        <v>1.236992224208314</v>
      </c>
      <c r="CD562" s="4">
        <f>Base[[#This Row],['[Prod']'[Présentéisme']Jours_gagnés]]/Base[[#This Row],['[Prod']Jours_ouvrés]]</f>
        <v>4.8700481268043857E-3</v>
      </c>
      <c r="CE562">
        <v>9.3428413505841454E-2</v>
      </c>
      <c r="CF562">
        <v>2.1038737314955848E-2</v>
      </c>
      <c r="CG562" s="4">
        <v>11</v>
      </c>
      <c r="CH562" s="4">
        <v>0.49446424657188709</v>
      </c>
      <c r="CI562" s="4">
        <v>1.0795805058605798E-2</v>
      </c>
      <c r="CJ562" s="4">
        <f>IF(Base[[#This Row],[Secteur]]&lt;&gt;"Moyenne",Base[[#This Row],['[Prod']'[Turnover']DMC_initiale]]*(1+Base[[#This Row],['[Prod']'[Turnover']Ecart_accidents]]*Base[[#This Row],['[Prod']Impact_motifs_turnover]]),CJ545*CI545+CJ546*CI546+CJ547*CI547+CJ548*CI548+CJ549*CI549+CJ550*CI550+CJ551*CI551+CJ552*CI552+CJ553*CI553+CJ554*CI554+CJ555*CI555+CJ556*CI556+CJ557*CI557+CJ558*CI558+CJ559*CI559+CJ560*CI560+CJ561*CI561)</f>
        <v>11.114431937347899</v>
      </c>
      <c r="CK562" s="4">
        <f>1/Base[[#This Row],['[Prod']'[Turnover']DMC_initiale]]</f>
        <v>9.0909090909090912E-2</v>
      </c>
      <c r="CL562" s="4">
        <f>1/Base[[#This Row],['[Prod']'[Turnover']DMC_finale]]</f>
        <v>8.9973109344409538E-2</v>
      </c>
    </row>
    <row r="563" spans="2:90" x14ac:dyDescent="0.25">
      <c r="B563" s="4" t="s">
        <v>321</v>
      </c>
      <c r="C563">
        <v>30</v>
      </c>
      <c r="D563" t="s">
        <v>85</v>
      </c>
      <c r="E563" t="s">
        <v>9</v>
      </c>
      <c r="F563" s="3">
        <v>0.21951986147416674</v>
      </c>
      <c r="G563" s="3">
        <v>0.14499999999999999</v>
      </c>
      <c r="H563" s="3">
        <v>0.14499999999999999</v>
      </c>
      <c r="I563" s="3">
        <v>0.153</v>
      </c>
      <c r="J563" s="3">
        <v>29.93</v>
      </c>
      <c r="K563" s="3">
        <v>7.0000000000000007E-2</v>
      </c>
      <c r="L563" s="2">
        <f>Base[[#This Row],[Coût]]*Base[[#This Row],[Part_ménages_dépenses_santé]]</f>
        <v>2.0951</v>
      </c>
      <c r="M563" s="2">
        <v>0.82690611956969029</v>
      </c>
      <c r="N563" s="6">
        <v>27700000</v>
      </c>
      <c r="O563" s="7">
        <f>Base[[#This Row],[Coût_salarié]]*10^9*Base[[#This Row],[Risque]]*Base[[#This Row],[Prévalence]]*Base[[#This Row],[Part_coûts_salarié]]/Base[[#This Row],[Population_emploi]]</f>
        <v>1.9907788399138429</v>
      </c>
      <c r="P563">
        <v>50</v>
      </c>
      <c r="Q563">
        <v>50</v>
      </c>
      <c r="R563" s="2">
        <v>9.9999999999999978E-2</v>
      </c>
      <c r="S563" s="2">
        <v>0.33340000000000003</v>
      </c>
      <c r="T563" s="4">
        <v>0.14499999999999999</v>
      </c>
      <c r="U563" s="4">
        <f>IF(Bases_annexes!$F$5=0,16.6587111018772,0.77*Bases_annexes!$F$5/(IF(OR(ISBLANK('Données_d''entrée'!$E$44),'Données_d''entrée'!$E$44=0),35,'Données_d''entrée'!$E$44)*52))</f>
        <v>16.658711101877199</v>
      </c>
      <c r="V563" s="4">
        <v>17.7120401072847</v>
      </c>
      <c r="W5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3" s="4">
        <v>234.5</v>
      </c>
      <c r="Y563" s="4">
        <f>(Base[[#This Row],['[Maladies']Coûts_évités_par_salarié]]+Base[[#This Row],['[Travail']Coûts_évités_par_salarié]])/Base[[#This Row],[Budget_santé_salarié]]</f>
        <v>7.9261694897501206E-2</v>
      </c>
      <c r="Z563" s="4">
        <v>0.8</v>
      </c>
      <c r="AA563" s="4">
        <f>Base[[#This Row],[Coût]]*Base[[#This Row],[Part_société_dépenses_santé]]</f>
        <v>23.944000000000003</v>
      </c>
      <c r="AB563" s="4">
        <v>67635124</v>
      </c>
      <c r="AC563" s="4">
        <v>82.297079063317852</v>
      </c>
      <c r="AD563" s="4">
        <v>0.14499999999999999</v>
      </c>
      <c r="AE563" s="4">
        <f>Base[[#This Row],['[SC']Prévalence_travail]]*Base[[#This Row],[Population_emploi]]</f>
        <v>4016499.9999999995</v>
      </c>
      <c r="AF563" s="4">
        <f>Base[[#This Row],[Risque]]*Base[[#This Row],['[SC']Patients_en_emploi]]</f>
        <v>881701.52361099061</v>
      </c>
      <c r="AG563" s="4">
        <v>5730042552.54</v>
      </c>
      <c r="AH563" s="4">
        <f>IFERROR(Base[[#This Row],['[SC']Prestations]]/Base[[#This Row],['[SC']Patients_en_emploi]],0)</f>
        <v>1426.625806682435</v>
      </c>
      <c r="AI563" s="4">
        <v>51.7</v>
      </c>
      <c r="AJ5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3" s="4">
        <f>Base[[#This Row],['[SC']'[Travail']Coûts_évités]]/Base[[#This Row],[Population_emploi]]</f>
        <v>45.410041421467923</v>
      </c>
      <c r="AL563" s="4">
        <f>Base[[#This Row],[Coût_société]]*10^9*Base[[#This Row],[Risque]]*Base[[#This Row],[Prévalence]]*Base[[#This Row],[Part_coûts_salarié]]/Base[[#This Row],[Population_emploi]]</f>
        <v>22.751758170443921</v>
      </c>
      <c r="AM563" s="4">
        <f>IF(Base[[#This Row],[Pathologie]]&lt;&gt;"Dépendance",0,14909.24243952)</f>
        <v>0</v>
      </c>
      <c r="AN563" s="4">
        <f>IF(Base[[#This Row],[Pathologie]]&lt;&gt;"Dépendance",0,1316000)</f>
        <v>0</v>
      </c>
      <c r="AO563" s="4">
        <f>IF(Base[[#This Row],[Pathologie]]&lt;&gt;"Dépendance",0,Base[[#This Row],['[SC']Coût_personne_dépendante]]*Base[[#This Row],['[SC']Nb_personnes_dépendantes]])</f>
        <v>0</v>
      </c>
      <c r="AP563" s="4">
        <f>IF(Base[[#This Row],[Pathologie]]&lt;&gt;"Dépendance",0,Base[[#This Row],['[SC']Coût_total_dépendance]]/Base[[#This Row],[Population_totale]])</f>
        <v>0</v>
      </c>
      <c r="AQ563" s="4">
        <f>IF(Base[[#This Row],[Pathologie]]&lt;&gt;"Dépendance",0,4.5)</f>
        <v>0</v>
      </c>
      <c r="AR563" s="4">
        <v>1.0077957276768601</v>
      </c>
      <c r="AS563" s="4">
        <f>Base[[#This Row],[Espérance_vie]]+Base[[#This Row],['[SC']Hausse_esp_de_vie]]-Base[[#This Row],['[SC']Durée_moyenne_dépendance_avt]]+Base[[#This Row],[Risque]]</f>
        <v>83.524394652468885</v>
      </c>
      <c r="AT5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3" s="4">
        <v>62.9</v>
      </c>
      <c r="AW563" s="4">
        <f t="shared" si="17"/>
        <v>336905600000</v>
      </c>
      <c r="AX563" s="4">
        <v>15049171</v>
      </c>
      <c r="AY563" s="4">
        <f>Base[[#This Row],['[SC']Budget_total_retraites]]/Base[[#This Row],['[SC']Nombre_de_retraités]]</f>
        <v>22386.987296509556</v>
      </c>
      <c r="AZ563" s="4">
        <f>Base[[#This Row],['[SC']Budget_par_retraité]]*Base[[#This Row],['[SC']Nb_personnes_dépendantes]]</f>
        <v>0</v>
      </c>
      <c r="BA563" s="4">
        <f>Base[[#This Row],['[SC']'[Dépendance']Coût_retraite_personnes_dépendantes]]/Base[[#This Row],[Population_totale]]</f>
        <v>0</v>
      </c>
      <c r="BB5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3" s="4">
        <f>Base[[#This Row],['[SC']'[Dépendance']Gains]]-Base[[#This Row],['[SC']'[Dépendance']Coûts]]</f>
        <v>0</v>
      </c>
      <c r="BD563" s="4">
        <f>IF(Base[[#This Row],[Pathologie]]&lt;&gt;"Mort prématurée",0,Base[[#This Row],[Risque]]*Base[[#This Row],[Prévalence]]*Base[[#This Row],[Population_totale]])</f>
        <v>0</v>
      </c>
      <c r="BE563" s="4">
        <v>52.74</v>
      </c>
      <c r="BF563" s="4">
        <f>Base[[#This Row],['[SC']Âge_moyen_retraite]]-Base[[#This Row],['[SC']'[Mort_prématurée']Âge_moyen_mort précoce]]</f>
        <v>10.159999999999997</v>
      </c>
      <c r="BG563" s="4">
        <f>Base[[#This Row],[Espérance_vie]]+Base[[#This Row],['[SC']Hausse_esp_de_vie]]-Base[[#This Row],['[SC']Âge_moyen_retraite]]</f>
        <v>20.404874790994718</v>
      </c>
      <c r="BH563" s="4">
        <v>106583.42676924677</v>
      </c>
      <c r="BI563" s="4">
        <v>97601.789429271477</v>
      </c>
      <c r="BJ563" s="4">
        <v>302038.31496633729</v>
      </c>
      <c r="BK563" s="4">
        <v>117293.58934859755</v>
      </c>
      <c r="BL563" s="4">
        <v>1523999.9999999995</v>
      </c>
      <c r="BM5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3" s="4">
        <v>294804.96027377353</v>
      </c>
      <c r="BO5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3" s="4">
        <f>(Base[[#This Row],['[SC']'[Mort_prématurée']Gains]]-Base[[#This Row],['[SC']'[Mort_prématurée']Coûts]])/Base[[#This Row],[Population_totale]]</f>
        <v>0</v>
      </c>
      <c r="BQ563" s="4">
        <f>IF(Base[[#This Row],[Pathologie]]&lt;&gt;"Mort prématurée",0,Base[[#This Row],[Risque]])</f>
        <v>0</v>
      </c>
      <c r="BR563" s="4">
        <v>2680</v>
      </c>
      <c r="BS5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3" s="4">
        <f>Base[[#This Row],[Prévalence_prod]]*(1-Base[[#This Row],[Risque]])*Base[[#This Row],[Durée_arrêt]]*Base[[#This Row],[Population_emploi]]</f>
        <v>55523676.342057109</v>
      </c>
      <c r="BV563" s="4">
        <f>Base[[#This Row],['[Prod']'[Absentéisme']Total_jours_absence_avant]]-Base[[#This Row],['[Prod']'[Absentéisme']Total_jours_absence_après]]</f>
        <v>15616732.74885188</v>
      </c>
      <c r="BW563" s="4">
        <f>IF(AND(Base[[#This Row],[Pathologie]]&lt;&gt;"Dépendance",Base[[#This Row],[Pathologie]]&lt;&gt;"Mort prématurée",Base[[#This Row],[Pathologie]]&lt;&gt;"Migraine"),0.0619,0)</f>
        <v>6.1899999999999997E-2</v>
      </c>
      <c r="BX563" s="4">
        <v>254</v>
      </c>
      <c r="BY563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3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3" s="4">
        <f>Base[[#This Row],[Prévalence_prod]]*Base[[#This Row],[Présentéisme]]*Base[[#This Row],['[Prod']Jours_ouvrés]]</f>
        <v>5.6349899999999993</v>
      </c>
      <c r="CB563" s="4">
        <f>Base[[#This Row],[Prévalence_prod]]*(1-Base[[#This Row],[Risque]])*Base[[#This Row],[Présentéisme]]*Base[[#This Row],['[Prod']Jours_ouvrés]]</f>
        <v>4.3979977757916853</v>
      </c>
      <c r="CC563" s="4">
        <f>Base[[#This Row],['[Prod']'[Présentéisme']Jours_avant]]-Base[[#This Row],['[Prod']'[Présentéisme']Jours_après]]</f>
        <v>1.236992224208314</v>
      </c>
      <c r="CD563" s="4">
        <f>Base[[#This Row],['[Prod']'[Présentéisme']Jours_gagnés]]/Base[[#This Row],['[Prod']Jours_ouvrés]]</f>
        <v>4.8700481268043857E-3</v>
      </c>
      <c r="CE563">
        <v>9.3428413505841454E-2</v>
      </c>
      <c r="CF563">
        <v>2.1038737314955848E-2</v>
      </c>
      <c r="CG563" s="4">
        <v>11</v>
      </c>
      <c r="CH563" s="4">
        <v>0.85274500894619554</v>
      </c>
      <c r="CI563" s="4">
        <v>4.2903496994109176E-2</v>
      </c>
      <c r="CJ563" s="4">
        <f>IF(Base[[#This Row],[Secteur]]&lt;&gt;"Moyenne",Base[[#This Row],['[Prod']'[Turnover']DMC_initiale]]*(1+Base[[#This Row],['[Prod']'[Turnover']Ecart_accidents]]*Base[[#This Row],['[Prod']Impact_motifs_turnover]]),CJ546*CI546+CJ547*CI547+CJ548*CI548+CJ549*CI549+CJ550*CI550+CJ551*CI551+CJ552*CI552+CJ553*CI553+CJ554*CI554+CJ555*CI555+CJ556*CI556+CJ557*CI557+CJ558*CI558+CJ559*CI559+CJ560*CI560+CJ561*CI561+CJ562*CI562)</f>
        <v>11.197347460638447</v>
      </c>
      <c r="CK563" s="4">
        <f>1/Base[[#This Row],['[Prod']'[Turnover']DMC_initiale]]</f>
        <v>9.0909090909090912E-2</v>
      </c>
      <c r="CL563" s="4">
        <f>1/Base[[#This Row],['[Prod']'[Turnover']DMC_finale]]</f>
        <v>8.930686517635153E-2</v>
      </c>
    </row>
    <row r="564" spans="2:90" x14ac:dyDescent="0.25">
      <c r="B564" s="4" t="s">
        <v>322</v>
      </c>
      <c r="C564">
        <v>30</v>
      </c>
      <c r="D564" t="s">
        <v>85</v>
      </c>
      <c r="E564" t="s">
        <v>9</v>
      </c>
      <c r="F564" s="3">
        <v>0.21951986147416674</v>
      </c>
      <c r="G564" s="3">
        <v>0.14499999999999999</v>
      </c>
      <c r="H564" s="3">
        <v>0.14499999999999999</v>
      </c>
      <c r="I564" s="3">
        <v>0.153</v>
      </c>
      <c r="J564" s="3">
        <v>29.93</v>
      </c>
      <c r="K564" s="3">
        <v>7.0000000000000007E-2</v>
      </c>
      <c r="L564" s="2">
        <f>Base[[#This Row],[Coût]]*Base[[#This Row],[Part_ménages_dépenses_santé]]</f>
        <v>2.0951</v>
      </c>
      <c r="M564" s="2">
        <v>0.82690611956969029</v>
      </c>
      <c r="N564" s="6">
        <v>27700000</v>
      </c>
      <c r="O564" s="7">
        <f>Base[[#This Row],[Coût_salarié]]*10^9*Base[[#This Row],[Risque]]*Base[[#This Row],[Prévalence]]*Base[[#This Row],[Part_coûts_salarié]]/Base[[#This Row],[Population_emploi]]</f>
        <v>1.9907788399138429</v>
      </c>
      <c r="P564">
        <v>50</v>
      </c>
      <c r="Q564">
        <v>50</v>
      </c>
      <c r="R564" s="2">
        <v>9.9999999999999978E-2</v>
      </c>
      <c r="S564" s="2">
        <v>0.33340000000000003</v>
      </c>
      <c r="T564" s="4">
        <v>0.14499999999999999</v>
      </c>
      <c r="U564" s="4">
        <f>IF(Bases_annexes!$F$5=0,16.6587111018772,0.77*Bases_annexes!$F$5/(IF(OR(ISBLANK('Données_d''entrée'!$E$44),'Données_d''entrée'!$E$44=0),35,'Données_d''entrée'!$E$44)*52))</f>
        <v>16.658711101877199</v>
      </c>
      <c r="V564" s="4">
        <v>17.7120401072847</v>
      </c>
      <c r="W5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4" s="4">
        <v>234.5</v>
      </c>
      <c r="Y564" s="4">
        <f>(Base[[#This Row],['[Maladies']Coûts_évités_par_salarié]]+Base[[#This Row],['[Travail']Coûts_évités_par_salarié]])/Base[[#This Row],[Budget_santé_salarié]]</f>
        <v>7.9261694897501206E-2</v>
      </c>
      <c r="Z564" s="4">
        <v>0.8</v>
      </c>
      <c r="AA564" s="4">
        <f>Base[[#This Row],[Coût]]*Base[[#This Row],[Part_société_dépenses_santé]]</f>
        <v>23.944000000000003</v>
      </c>
      <c r="AB564" s="4">
        <v>67635124</v>
      </c>
      <c r="AC564" s="4">
        <v>82.297079063317852</v>
      </c>
      <c r="AD564" s="4">
        <v>0.14499999999999999</v>
      </c>
      <c r="AE564" s="4">
        <f>Base[[#This Row],['[SC']Prévalence_travail]]*Base[[#This Row],[Population_emploi]]</f>
        <v>4016499.9999999995</v>
      </c>
      <c r="AF564" s="4">
        <f>Base[[#This Row],[Risque]]*Base[[#This Row],['[SC']Patients_en_emploi]]</f>
        <v>881701.52361099061</v>
      </c>
      <c r="AG564" s="4">
        <v>5730042552.54</v>
      </c>
      <c r="AH564" s="4">
        <f>IFERROR(Base[[#This Row],['[SC']Prestations]]/Base[[#This Row],['[SC']Patients_en_emploi]],0)</f>
        <v>1426.625806682435</v>
      </c>
      <c r="AI564" s="4">
        <v>51.7</v>
      </c>
      <c r="AJ5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4" s="4">
        <f>Base[[#This Row],['[SC']'[Travail']Coûts_évités]]/Base[[#This Row],[Population_emploi]]</f>
        <v>45.410041421467923</v>
      </c>
      <c r="AL564" s="4">
        <f>Base[[#This Row],[Coût_société]]*10^9*Base[[#This Row],[Risque]]*Base[[#This Row],[Prévalence]]*Base[[#This Row],[Part_coûts_salarié]]/Base[[#This Row],[Population_emploi]]</f>
        <v>22.751758170443921</v>
      </c>
      <c r="AM564" s="4">
        <f>IF(Base[[#This Row],[Pathologie]]&lt;&gt;"Dépendance",0,14909.24243952)</f>
        <v>0</v>
      </c>
      <c r="AN564" s="4">
        <f>IF(Base[[#This Row],[Pathologie]]&lt;&gt;"Dépendance",0,1316000)</f>
        <v>0</v>
      </c>
      <c r="AO564" s="4">
        <f>IF(Base[[#This Row],[Pathologie]]&lt;&gt;"Dépendance",0,Base[[#This Row],['[SC']Coût_personne_dépendante]]*Base[[#This Row],['[SC']Nb_personnes_dépendantes]])</f>
        <v>0</v>
      </c>
      <c r="AP564" s="4">
        <f>IF(Base[[#This Row],[Pathologie]]&lt;&gt;"Dépendance",0,Base[[#This Row],['[SC']Coût_total_dépendance]]/Base[[#This Row],[Population_totale]])</f>
        <v>0</v>
      </c>
      <c r="AQ564" s="4">
        <f>IF(Base[[#This Row],[Pathologie]]&lt;&gt;"Dépendance",0,4.5)</f>
        <v>0</v>
      </c>
      <c r="AR564" s="4">
        <v>1.0077957276768601</v>
      </c>
      <c r="AS564" s="4">
        <f>Base[[#This Row],[Espérance_vie]]+Base[[#This Row],['[SC']Hausse_esp_de_vie]]-Base[[#This Row],['[SC']Durée_moyenne_dépendance_avt]]+Base[[#This Row],[Risque]]</f>
        <v>83.524394652468885</v>
      </c>
      <c r="AT5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4" s="4">
        <v>62.9</v>
      </c>
      <c r="AW564" s="4">
        <f t="shared" si="17"/>
        <v>336905600000</v>
      </c>
      <c r="AX564" s="4">
        <v>15049171</v>
      </c>
      <c r="AY564" s="4">
        <f>Base[[#This Row],['[SC']Budget_total_retraites]]/Base[[#This Row],['[SC']Nombre_de_retraités]]</f>
        <v>22386.987296509556</v>
      </c>
      <c r="AZ564" s="4">
        <f>Base[[#This Row],['[SC']Budget_par_retraité]]*Base[[#This Row],['[SC']Nb_personnes_dépendantes]]</f>
        <v>0</v>
      </c>
      <c r="BA564" s="4">
        <f>Base[[#This Row],['[SC']'[Dépendance']Coût_retraite_personnes_dépendantes]]/Base[[#This Row],[Population_totale]]</f>
        <v>0</v>
      </c>
      <c r="BB5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4" s="4">
        <f>Base[[#This Row],['[SC']'[Dépendance']Gains]]-Base[[#This Row],['[SC']'[Dépendance']Coûts]]</f>
        <v>0</v>
      </c>
      <c r="BD564" s="4">
        <f>IF(Base[[#This Row],[Pathologie]]&lt;&gt;"Mort prématurée",0,Base[[#This Row],[Risque]]*Base[[#This Row],[Prévalence]]*Base[[#This Row],[Population_totale]])</f>
        <v>0</v>
      </c>
      <c r="BE564" s="4">
        <v>52.74</v>
      </c>
      <c r="BF564" s="4">
        <f>Base[[#This Row],['[SC']Âge_moyen_retraite]]-Base[[#This Row],['[SC']'[Mort_prématurée']Âge_moyen_mort précoce]]</f>
        <v>10.159999999999997</v>
      </c>
      <c r="BG564" s="4">
        <f>Base[[#This Row],[Espérance_vie]]+Base[[#This Row],['[SC']Hausse_esp_de_vie]]-Base[[#This Row],['[SC']Âge_moyen_retraite]]</f>
        <v>20.404874790994718</v>
      </c>
      <c r="BH564" s="4">
        <v>106583.42676924677</v>
      </c>
      <c r="BI564" s="4">
        <v>97601.789429271477</v>
      </c>
      <c r="BJ564" s="4">
        <v>302038.31496633729</v>
      </c>
      <c r="BK564" s="4">
        <v>117293.58934859755</v>
      </c>
      <c r="BL564" s="4">
        <v>1523999.9999999995</v>
      </c>
      <c r="BM5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4" s="4">
        <v>294804.96027377353</v>
      </c>
      <c r="BO5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4" s="4">
        <f>(Base[[#This Row],['[SC']'[Mort_prématurée']Gains]]-Base[[#This Row],['[SC']'[Mort_prématurée']Coûts]])/Base[[#This Row],[Population_totale]]</f>
        <v>0</v>
      </c>
      <c r="BQ564" s="4">
        <f>IF(Base[[#This Row],[Pathologie]]&lt;&gt;"Mort prématurée",0,Base[[#This Row],[Risque]])</f>
        <v>0</v>
      </c>
      <c r="BR564" s="4">
        <v>2680</v>
      </c>
      <c r="BS5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4" s="4">
        <f>Base[[#This Row],[Prévalence_prod]]*(1-Base[[#This Row],[Risque]])*Base[[#This Row],[Durée_arrêt]]*Base[[#This Row],[Population_emploi]]</f>
        <v>55523676.342057109</v>
      </c>
      <c r="BV564" s="4">
        <f>Base[[#This Row],['[Prod']'[Absentéisme']Total_jours_absence_avant]]-Base[[#This Row],['[Prod']'[Absentéisme']Total_jours_absence_après]]</f>
        <v>15616732.74885188</v>
      </c>
      <c r="BW564" s="4">
        <f>IF(AND(Base[[#This Row],[Pathologie]]&lt;&gt;"Dépendance",Base[[#This Row],[Pathologie]]&lt;&gt;"Mort prématurée",Base[[#This Row],[Pathologie]]&lt;&gt;"Migraine"),0.0619,0)</f>
        <v>6.1899999999999997E-2</v>
      </c>
      <c r="BX564" s="4">
        <v>254</v>
      </c>
      <c r="BY564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4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4" s="4">
        <f>Base[[#This Row],[Prévalence_prod]]*Base[[#This Row],[Présentéisme]]*Base[[#This Row],['[Prod']Jours_ouvrés]]</f>
        <v>5.6349899999999993</v>
      </c>
      <c r="CB564" s="4">
        <f>Base[[#This Row],[Prévalence_prod]]*(1-Base[[#This Row],[Risque]])*Base[[#This Row],[Présentéisme]]*Base[[#This Row],['[Prod']Jours_ouvrés]]</f>
        <v>4.3979977757916853</v>
      </c>
      <c r="CC564" s="4">
        <f>Base[[#This Row],['[Prod']'[Présentéisme']Jours_avant]]-Base[[#This Row],['[Prod']'[Présentéisme']Jours_après]]</f>
        <v>1.236992224208314</v>
      </c>
      <c r="CD564" s="4">
        <f>Base[[#This Row],['[Prod']'[Présentéisme']Jours_gagnés]]/Base[[#This Row],['[Prod']Jours_ouvrés]]</f>
        <v>4.8700481268043857E-3</v>
      </c>
      <c r="CE564">
        <v>9.3428413505841454E-2</v>
      </c>
      <c r="CF564">
        <v>2.1038737314955848E-2</v>
      </c>
      <c r="CG564" s="4">
        <v>11</v>
      </c>
      <c r="CH564" s="4">
        <v>1.6219398392978641</v>
      </c>
      <c r="CI564" s="4">
        <v>9.628527536862988E-2</v>
      </c>
      <c r="CJ564" s="4">
        <f>IF(Base[[#This Row],[Secteur]]&lt;&gt;"Moyenne",Base[[#This Row],['[Prod']'[Turnover']DMC_initiale]]*(1+Base[[#This Row],['[Prod']'[Turnover']Ecart_accidents]]*Base[[#This Row],['[Prod']Impact_motifs_turnover]]),CJ547*CI547+CJ548*CI548+CJ549*CI549+CJ550*CI550+CJ551*CI551+CJ552*CI552+CJ553*CI553+CJ554*CI554+CJ555*CI555+CJ556*CI556+CJ557*CI557+CJ558*CI558+CJ559*CI559+CJ560*CI560+CJ561*CI561+CJ562*CI562+CJ563*CI563)</f>
        <v>11.375359228416144</v>
      </c>
      <c r="CK564" s="4">
        <f>1/Base[[#This Row],['[Prod']'[Turnover']DMC_initiale]]</f>
        <v>9.0909090909090912E-2</v>
      </c>
      <c r="CL564" s="4">
        <f>1/Base[[#This Row],['[Prod']'[Turnover']DMC_finale]]</f>
        <v>8.7909311690303041E-2</v>
      </c>
    </row>
    <row r="565" spans="2:90" x14ac:dyDescent="0.25">
      <c r="B565" s="4" t="s">
        <v>323</v>
      </c>
      <c r="C565">
        <v>30</v>
      </c>
      <c r="D565" t="s">
        <v>85</v>
      </c>
      <c r="E565" t="s">
        <v>9</v>
      </c>
      <c r="F565" s="3">
        <v>0.21951986147416674</v>
      </c>
      <c r="G565" s="3">
        <v>0.14499999999999999</v>
      </c>
      <c r="H565" s="3">
        <v>0.14499999999999999</v>
      </c>
      <c r="I565" s="3">
        <v>0.153</v>
      </c>
      <c r="J565" s="3">
        <v>29.93</v>
      </c>
      <c r="K565" s="3">
        <v>7.0000000000000007E-2</v>
      </c>
      <c r="L565" s="2">
        <f>Base[[#This Row],[Coût]]*Base[[#This Row],[Part_ménages_dépenses_santé]]</f>
        <v>2.0951</v>
      </c>
      <c r="M565" s="2">
        <v>0.82690611956969029</v>
      </c>
      <c r="N565" s="6">
        <v>27700000</v>
      </c>
      <c r="O565" s="7">
        <f>Base[[#This Row],[Coût_salarié]]*10^9*Base[[#This Row],[Risque]]*Base[[#This Row],[Prévalence]]*Base[[#This Row],[Part_coûts_salarié]]/Base[[#This Row],[Population_emploi]]</f>
        <v>1.9907788399138429</v>
      </c>
      <c r="P565">
        <v>50</v>
      </c>
      <c r="Q565">
        <v>50</v>
      </c>
      <c r="R565" s="2">
        <v>9.9999999999999978E-2</v>
      </c>
      <c r="S565" s="2">
        <v>0.33340000000000003</v>
      </c>
      <c r="T565" s="4">
        <v>0.14499999999999999</v>
      </c>
      <c r="U565" s="4">
        <f>IF(Bases_annexes!$F$5=0,16.6587111018772,0.77*Bases_annexes!$F$5/(IF(OR(ISBLANK('Données_d''entrée'!$E$44),'Données_d''entrée'!$E$44=0),35,'Données_d''entrée'!$E$44)*52))</f>
        <v>16.658711101877199</v>
      </c>
      <c r="V565" s="4">
        <v>17.7120401072847</v>
      </c>
      <c r="W5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5" s="4">
        <v>234.5</v>
      </c>
      <c r="Y565" s="4">
        <f>(Base[[#This Row],['[Maladies']Coûts_évités_par_salarié]]+Base[[#This Row],['[Travail']Coûts_évités_par_salarié]])/Base[[#This Row],[Budget_santé_salarié]]</f>
        <v>7.9261694897501206E-2</v>
      </c>
      <c r="Z565" s="4">
        <v>0.8</v>
      </c>
      <c r="AA565" s="4">
        <f>Base[[#This Row],[Coût]]*Base[[#This Row],[Part_société_dépenses_santé]]</f>
        <v>23.944000000000003</v>
      </c>
      <c r="AB565" s="4">
        <v>67635124</v>
      </c>
      <c r="AC565" s="4">
        <v>82.297079063317852</v>
      </c>
      <c r="AD565" s="4">
        <v>0.14499999999999999</v>
      </c>
      <c r="AE565" s="4">
        <f>Base[[#This Row],['[SC']Prévalence_travail]]*Base[[#This Row],[Population_emploi]]</f>
        <v>4016499.9999999995</v>
      </c>
      <c r="AF565" s="4">
        <f>Base[[#This Row],[Risque]]*Base[[#This Row],['[SC']Patients_en_emploi]]</f>
        <v>881701.52361099061</v>
      </c>
      <c r="AG565" s="4">
        <v>5730042552.54</v>
      </c>
      <c r="AH565" s="4">
        <f>IFERROR(Base[[#This Row],['[SC']Prestations]]/Base[[#This Row],['[SC']Patients_en_emploi]],0)</f>
        <v>1426.625806682435</v>
      </c>
      <c r="AI565" s="4">
        <v>51.7</v>
      </c>
      <c r="AJ5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5" s="4">
        <f>Base[[#This Row],['[SC']'[Travail']Coûts_évités]]/Base[[#This Row],[Population_emploi]]</f>
        <v>45.410041421467923</v>
      </c>
      <c r="AL565" s="4">
        <f>Base[[#This Row],[Coût_société]]*10^9*Base[[#This Row],[Risque]]*Base[[#This Row],[Prévalence]]*Base[[#This Row],[Part_coûts_salarié]]/Base[[#This Row],[Population_emploi]]</f>
        <v>22.751758170443921</v>
      </c>
      <c r="AM565" s="4">
        <f>IF(Base[[#This Row],[Pathologie]]&lt;&gt;"Dépendance",0,14909.24243952)</f>
        <v>0</v>
      </c>
      <c r="AN565" s="4">
        <f>IF(Base[[#This Row],[Pathologie]]&lt;&gt;"Dépendance",0,1316000)</f>
        <v>0</v>
      </c>
      <c r="AO565" s="4">
        <f>IF(Base[[#This Row],[Pathologie]]&lt;&gt;"Dépendance",0,Base[[#This Row],['[SC']Coût_personne_dépendante]]*Base[[#This Row],['[SC']Nb_personnes_dépendantes]])</f>
        <v>0</v>
      </c>
      <c r="AP565" s="4">
        <f>IF(Base[[#This Row],[Pathologie]]&lt;&gt;"Dépendance",0,Base[[#This Row],['[SC']Coût_total_dépendance]]/Base[[#This Row],[Population_totale]])</f>
        <v>0</v>
      </c>
      <c r="AQ565" s="4">
        <f>IF(Base[[#This Row],[Pathologie]]&lt;&gt;"Dépendance",0,4.5)</f>
        <v>0</v>
      </c>
      <c r="AR565" s="4">
        <v>1.0077957276768601</v>
      </c>
      <c r="AS565" s="4">
        <f>Base[[#This Row],[Espérance_vie]]+Base[[#This Row],['[SC']Hausse_esp_de_vie]]-Base[[#This Row],['[SC']Durée_moyenne_dépendance_avt]]+Base[[#This Row],[Risque]]</f>
        <v>83.524394652468885</v>
      </c>
      <c r="AT5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5" s="4">
        <v>62.9</v>
      </c>
      <c r="AW565" s="4">
        <f t="shared" si="17"/>
        <v>336905600000</v>
      </c>
      <c r="AX565" s="4">
        <v>15049171</v>
      </c>
      <c r="AY565" s="4">
        <f>Base[[#This Row],['[SC']Budget_total_retraites]]/Base[[#This Row],['[SC']Nombre_de_retraités]]</f>
        <v>22386.987296509556</v>
      </c>
      <c r="AZ565" s="4">
        <f>Base[[#This Row],['[SC']Budget_par_retraité]]*Base[[#This Row],['[SC']Nb_personnes_dépendantes]]</f>
        <v>0</v>
      </c>
      <c r="BA565" s="4">
        <f>Base[[#This Row],['[SC']'[Dépendance']Coût_retraite_personnes_dépendantes]]/Base[[#This Row],[Population_totale]]</f>
        <v>0</v>
      </c>
      <c r="BB5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5" s="4">
        <f>Base[[#This Row],['[SC']'[Dépendance']Gains]]-Base[[#This Row],['[SC']'[Dépendance']Coûts]]</f>
        <v>0</v>
      </c>
      <c r="BD565" s="4">
        <f>IF(Base[[#This Row],[Pathologie]]&lt;&gt;"Mort prématurée",0,Base[[#This Row],[Risque]]*Base[[#This Row],[Prévalence]]*Base[[#This Row],[Population_totale]])</f>
        <v>0</v>
      </c>
      <c r="BE565" s="4">
        <v>52.74</v>
      </c>
      <c r="BF565" s="4">
        <f>Base[[#This Row],['[SC']Âge_moyen_retraite]]-Base[[#This Row],['[SC']'[Mort_prématurée']Âge_moyen_mort précoce]]</f>
        <v>10.159999999999997</v>
      </c>
      <c r="BG565" s="4">
        <f>Base[[#This Row],[Espérance_vie]]+Base[[#This Row],['[SC']Hausse_esp_de_vie]]-Base[[#This Row],['[SC']Âge_moyen_retraite]]</f>
        <v>20.404874790994718</v>
      </c>
      <c r="BH565" s="4">
        <v>106583.42676924677</v>
      </c>
      <c r="BI565" s="4">
        <v>97601.789429271477</v>
      </c>
      <c r="BJ565" s="4">
        <v>302038.31496633729</v>
      </c>
      <c r="BK565" s="4">
        <v>117293.58934859755</v>
      </c>
      <c r="BL565" s="4">
        <v>1523999.9999999995</v>
      </c>
      <c r="BM5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5" s="4">
        <v>294804.96027377353</v>
      </c>
      <c r="BO5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5" s="4">
        <f>(Base[[#This Row],['[SC']'[Mort_prématurée']Gains]]-Base[[#This Row],['[SC']'[Mort_prématurée']Coûts]])/Base[[#This Row],[Population_totale]]</f>
        <v>0</v>
      </c>
      <c r="BQ565" s="4">
        <f>IF(Base[[#This Row],[Pathologie]]&lt;&gt;"Mort prématurée",0,Base[[#This Row],[Risque]])</f>
        <v>0</v>
      </c>
      <c r="BR565" s="4">
        <v>2680</v>
      </c>
      <c r="BS5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5" s="4">
        <f>Base[[#This Row],[Prévalence_prod]]*(1-Base[[#This Row],[Risque]])*Base[[#This Row],[Durée_arrêt]]*Base[[#This Row],[Population_emploi]]</f>
        <v>55523676.342057109</v>
      </c>
      <c r="BV565" s="4">
        <f>Base[[#This Row],['[Prod']'[Absentéisme']Total_jours_absence_avant]]-Base[[#This Row],['[Prod']'[Absentéisme']Total_jours_absence_après]]</f>
        <v>15616732.74885188</v>
      </c>
      <c r="BW565" s="4">
        <f>IF(AND(Base[[#This Row],[Pathologie]]&lt;&gt;"Dépendance",Base[[#This Row],[Pathologie]]&lt;&gt;"Mort prématurée",Base[[#This Row],[Pathologie]]&lt;&gt;"Migraine"),0.0619,0)</f>
        <v>6.1899999999999997E-2</v>
      </c>
      <c r="BX565" s="4">
        <v>254</v>
      </c>
      <c r="BY565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5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5" s="4">
        <f>Base[[#This Row],[Prévalence_prod]]*Base[[#This Row],[Présentéisme]]*Base[[#This Row],['[Prod']Jours_ouvrés]]</f>
        <v>5.6349899999999993</v>
      </c>
      <c r="CB565" s="4">
        <f>Base[[#This Row],[Prévalence_prod]]*(1-Base[[#This Row],[Risque]])*Base[[#This Row],[Présentéisme]]*Base[[#This Row],['[Prod']Jours_ouvrés]]</f>
        <v>4.3979977757916853</v>
      </c>
      <c r="CC565" s="4">
        <f>Base[[#This Row],['[Prod']'[Présentéisme']Jours_avant]]-Base[[#This Row],['[Prod']'[Présentéisme']Jours_après]]</f>
        <v>1.236992224208314</v>
      </c>
      <c r="CD565" s="4">
        <f>Base[[#This Row],['[Prod']'[Présentéisme']Jours_gagnés]]/Base[[#This Row],['[Prod']Jours_ouvrés]]</f>
        <v>4.8700481268043857E-3</v>
      </c>
      <c r="CE565">
        <v>9.3428413505841454E-2</v>
      </c>
      <c r="CF565">
        <v>2.1038737314955848E-2</v>
      </c>
      <c r="CG565" s="4">
        <v>11</v>
      </c>
      <c r="CH565" s="4">
        <v>0.96913802401210614</v>
      </c>
      <c r="CI565" s="4">
        <v>0.10293966445307301</v>
      </c>
      <c r="CJ565" s="4">
        <f>IF(Base[[#This Row],[Secteur]]&lt;&gt;"Moyenne",Base[[#This Row],['[Prod']'[Turnover']DMC_initiale]]*(1+Base[[#This Row],['[Prod']'[Turnover']Ecart_accidents]]*Base[[#This Row],['[Prod']Impact_motifs_turnover]]),CJ548*CI548+CJ549*CI549+CJ550*CI550+CJ551*CI551+CJ552*CI552+CJ553*CI553+CJ554*CI554+CJ555*CI555+CJ556*CI556+CJ557*CI557+CJ558*CI558+CJ559*CI559+CJ560*CI560+CJ561*CI561+CJ562*CI562+CJ563*CI563+CJ564*CI564)</f>
        <v>11.224283843400386</v>
      </c>
      <c r="CK565" s="4">
        <f>1/Base[[#This Row],['[Prod']'[Turnover']DMC_initiale]]</f>
        <v>9.0909090909090912E-2</v>
      </c>
      <c r="CL565" s="4">
        <f>1/Base[[#This Row],['[Prod']'[Turnover']DMC_finale]]</f>
        <v>8.9092543805186858E-2</v>
      </c>
    </row>
    <row r="566" spans="2:90" x14ac:dyDescent="0.25">
      <c r="B566" s="4" t="s">
        <v>324</v>
      </c>
      <c r="C566">
        <v>30</v>
      </c>
      <c r="D566" t="s">
        <v>85</v>
      </c>
      <c r="E566" t="s">
        <v>9</v>
      </c>
      <c r="F566" s="3">
        <v>0.21951986147416674</v>
      </c>
      <c r="G566" s="3">
        <v>0.14499999999999999</v>
      </c>
      <c r="H566" s="3">
        <v>0.14499999999999999</v>
      </c>
      <c r="I566" s="3">
        <v>0.153</v>
      </c>
      <c r="J566" s="3">
        <v>29.93</v>
      </c>
      <c r="K566" s="3">
        <v>7.0000000000000007E-2</v>
      </c>
      <c r="L566" s="2">
        <f>Base[[#This Row],[Coût]]*Base[[#This Row],[Part_ménages_dépenses_santé]]</f>
        <v>2.0951</v>
      </c>
      <c r="M566" s="2">
        <v>0.82690611956969029</v>
      </c>
      <c r="N566" s="6">
        <v>27700000</v>
      </c>
      <c r="O566" s="7">
        <f>Base[[#This Row],[Coût_salarié]]*10^9*Base[[#This Row],[Risque]]*Base[[#This Row],[Prévalence]]*Base[[#This Row],[Part_coûts_salarié]]/Base[[#This Row],[Population_emploi]]</f>
        <v>1.9907788399138429</v>
      </c>
      <c r="P566">
        <v>50</v>
      </c>
      <c r="Q566">
        <v>50</v>
      </c>
      <c r="R566" s="2">
        <v>9.9999999999999978E-2</v>
      </c>
      <c r="S566" s="2">
        <v>0.33340000000000003</v>
      </c>
      <c r="T566" s="4">
        <v>0.14499999999999999</v>
      </c>
      <c r="U566" s="4">
        <f>IF(Bases_annexes!$F$5=0,16.6587111018772,0.77*Bases_annexes!$F$5/(IF(OR(ISBLANK('Données_d''entrée'!$E$44),'Données_d''entrée'!$E$44=0),35,'Données_d''entrée'!$E$44)*52))</f>
        <v>16.658711101877199</v>
      </c>
      <c r="V566" s="4">
        <v>17.7120401072847</v>
      </c>
      <c r="W5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6" s="4">
        <v>234.5</v>
      </c>
      <c r="Y566" s="4">
        <f>(Base[[#This Row],['[Maladies']Coûts_évités_par_salarié]]+Base[[#This Row],['[Travail']Coûts_évités_par_salarié]])/Base[[#This Row],[Budget_santé_salarié]]</f>
        <v>7.9261694897501206E-2</v>
      </c>
      <c r="Z566" s="4">
        <v>0.8</v>
      </c>
      <c r="AA566" s="4">
        <f>Base[[#This Row],[Coût]]*Base[[#This Row],[Part_société_dépenses_santé]]</f>
        <v>23.944000000000003</v>
      </c>
      <c r="AB566" s="4">
        <v>67635124</v>
      </c>
      <c r="AC566" s="4">
        <v>82.297079063317852</v>
      </c>
      <c r="AD566" s="4">
        <v>0.14499999999999999</v>
      </c>
      <c r="AE566" s="4">
        <f>Base[[#This Row],['[SC']Prévalence_travail]]*Base[[#This Row],[Population_emploi]]</f>
        <v>4016499.9999999995</v>
      </c>
      <c r="AF566" s="4">
        <f>Base[[#This Row],[Risque]]*Base[[#This Row],['[SC']Patients_en_emploi]]</f>
        <v>881701.52361099061</v>
      </c>
      <c r="AG566" s="4">
        <v>5730042552.54</v>
      </c>
      <c r="AH566" s="4">
        <f>IFERROR(Base[[#This Row],['[SC']Prestations]]/Base[[#This Row],['[SC']Patients_en_emploi]],0)</f>
        <v>1426.625806682435</v>
      </c>
      <c r="AI566" s="4">
        <v>51.7</v>
      </c>
      <c r="AJ5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6" s="4">
        <f>Base[[#This Row],['[SC']'[Travail']Coûts_évités]]/Base[[#This Row],[Population_emploi]]</f>
        <v>45.410041421467923</v>
      </c>
      <c r="AL566" s="4">
        <f>Base[[#This Row],[Coût_société]]*10^9*Base[[#This Row],[Risque]]*Base[[#This Row],[Prévalence]]*Base[[#This Row],[Part_coûts_salarié]]/Base[[#This Row],[Population_emploi]]</f>
        <v>22.751758170443921</v>
      </c>
      <c r="AM566" s="4">
        <f>IF(Base[[#This Row],[Pathologie]]&lt;&gt;"Dépendance",0,14909.24243952)</f>
        <v>0</v>
      </c>
      <c r="AN566" s="4">
        <f>IF(Base[[#This Row],[Pathologie]]&lt;&gt;"Dépendance",0,1316000)</f>
        <v>0</v>
      </c>
      <c r="AO566" s="4">
        <f>IF(Base[[#This Row],[Pathologie]]&lt;&gt;"Dépendance",0,Base[[#This Row],['[SC']Coût_personne_dépendante]]*Base[[#This Row],['[SC']Nb_personnes_dépendantes]])</f>
        <v>0</v>
      </c>
      <c r="AP566" s="4">
        <f>IF(Base[[#This Row],[Pathologie]]&lt;&gt;"Dépendance",0,Base[[#This Row],['[SC']Coût_total_dépendance]]/Base[[#This Row],[Population_totale]])</f>
        <v>0</v>
      </c>
      <c r="AQ566" s="4">
        <f>IF(Base[[#This Row],[Pathologie]]&lt;&gt;"Dépendance",0,4.5)</f>
        <v>0</v>
      </c>
      <c r="AR566" s="4">
        <v>1.0077957276768601</v>
      </c>
      <c r="AS566" s="4">
        <f>Base[[#This Row],[Espérance_vie]]+Base[[#This Row],['[SC']Hausse_esp_de_vie]]-Base[[#This Row],['[SC']Durée_moyenne_dépendance_avt]]+Base[[#This Row],[Risque]]</f>
        <v>83.524394652468885</v>
      </c>
      <c r="AT5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6" s="4">
        <v>62.9</v>
      </c>
      <c r="AW566" s="4">
        <f t="shared" si="17"/>
        <v>336905600000</v>
      </c>
      <c r="AX566" s="4">
        <v>15049171</v>
      </c>
      <c r="AY566" s="4">
        <f>Base[[#This Row],['[SC']Budget_total_retraites]]/Base[[#This Row],['[SC']Nombre_de_retraités]]</f>
        <v>22386.987296509556</v>
      </c>
      <c r="AZ566" s="4">
        <f>Base[[#This Row],['[SC']Budget_par_retraité]]*Base[[#This Row],['[SC']Nb_personnes_dépendantes]]</f>
        <v>0</v>
      </c>
      <c r="BA566" s="4">
        <f>Base[[#This Row],['[SC']'[Dépendance']Coût_retraite_personnes_dépendantes]]/Base[[#This Row],[Population_totale]]</f>
        <v>0</v>
      </c>
      <c r="BB5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6" s="4">
        <f>Base[[#This Row],['[SC']'[Dépendance']Gains]]-Base[[#This Row],['[SC']'[Dépendance']Coûts]]</f>
        <v>0</v>
      </c>
      <c r="BD566" s="4">
        <f>IF(Base[[#This Row],[Pathologie]]&lt;&gt;"Mort prématurée",0,Base[[#This Row],[Risque]]*Base[[#This Row],[Prévalence]]*Base[[#This Row],[Population_totale]])</f>
        <v>0</v>
      </c>
      <c r="BE566" s="4">
        <v>52.74</v>
      </c>
      <c r="BF566" s="4">
        <f>Base[[#This Row],['[SC']Âge_moyen_retraite]]-Base[[#This Row],['[SC']'[Mort_prématurée']Âge_moyen_mort précoce]]</f>
        <v>10.159999999999997</v>
      </c>
      <c r="BG566" s="4">
        <f>Base[[#This Row],[Espérance_vie]]+Base[[#This Row],['[SC']Hausse_esp_de_vie]]-Base[[#This Row],['[SC']Âge_moyen_retraite]]</f>
        <v>20.404874790994718</v>
      </c>
      <c r="BH566" s="4">
        <v>106583.42676924677</v>
      </c>
      <c r="BI566" s="4">
        <v>97601.789429271477</v>
      </c>
      <c r="BJ566" s="4">
        <v>302038.31496633729</v>
      </c>
      <c r="BK566" s="4">
        <v>117293.58934859755</v>
      </c>
      <c r="BL566" s="4">
        <v>1523999.9999999995</v>
      </c>
      <c r="BM5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6" s="4">
        <v>294804.96027377353</v>
      </c>
      <c r="BO5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6" s="4">
        <f>(Base[[#This Row],['[SC']'[Mort_prématurée']Gains]]-Base[[#This Row],['[SC']'[Mort_prématurée']Coûts]])/Base[[#This Row],[Population_totale]]</f>
        <v>0</v>
      </c>
      <c r="BQ566" s="4">
        <f>IF(Base[[#This Row],[Pathologie]]&lt;&gt;"Mort prématurée",0,Base[[#This Row],[Risque]])</f>
        <v>0</v>
      </c>
      <c r="BR566" s="4">
        <v>2680</v>
      </c>
      <c r="BS5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6" s="4">
        <f>Base[[#This Row],[Prévalence_prod]]*(1-Base[[#This Row],[Risque]])*Base[[#This Row],[Durée_arrêt]]*Base[[#This Row],[Population_emploi]]</f>
        <v>55523676.342057109</v>
      </c>
      <c r="BV566" s="4">
        <f>Base[[#This Row],['[Prod']'[Absentéisme']Total_jours_absence_avant]]-Base[[#This Row],['[Prod']'[Absentéisme']Total_jours_absence_après]]</f>
        <v>15616732.74885188</v>
      </c>
      <c r="BW566" s="4">
        <f>IF(AND(Base[[#This Row],[Pathologie]]&lt;&gt;"Dépendance",Base[[#This Row],[Pathologie]]&lt;&gt;"Mort prématurée",Base[[#This Row],[Pathologie]]&lt;&gt;"Migraine"),0.0619,0)</f>
        <v>6.1899999999999997E-2</v>
      </c>
      <c r="BX566" s="4">
        <v>254</v>
      </c>
      <c r="BY566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6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6" s="4">
        <f>Base[[#This Row],[Prévalence_prod]]*Base[[#This Row],[Présentéisme]]*Base[[#This Row],['[Prod']Jours_ouvrés]]</f>
        <v>5.6349899999999993</v>
      </c>
      <c r="CB566" s="4">
        <f>Base[[#This Row],[Prévalence_prod]]*(1-Base[[#This Row],[Risque]])*Base[[#This Row],[Présentéisme]]*Base[[#This Row],['[Prod']Jours_ouvrés]]</f>
        <v>4.3979977757916853</v>
      </c>
      <c r="CC566" s="4">
        <f>Base[[#This Row],['[Prod']'[Présentéisme']Jours_avant]]-Base[[#This Row],['[Prod']'[Présentéisme']Jours_après]]</f>
        <v>1.236992224208314</v>
      </c>
      <c r="CD566" s="4">
        <f>Base[[#This Row],['[Prod']'[Présentéisme']Jours_gagnés]]/Base[[#This Row],['[Prod']Jours_ouvrés]]</f>
        <v>4.8700481268043857E-3</v>
      </c>
      <c r="CE566">
        <v>9.3428413505841454E-2</v>
      </c>
      <c r="CF566">
        <v>2.1038737314955848E-2</v>
      </c>
      <c r="CG566" s="4">
        <v>11</v>
      </c>
      <c r="CH566" s="4">
        <v>1.3987208237662601</v>
      </c>
      <c r="CI566" s="4">
        <v>2.1768516166491274E-2</v>
      </c>
      <c r="CJ566" s="4">
        <f>IF(Base[[#This Row],[Secteur]]&lt;&gt;"Moyenne",Base[[#This Row],['[Prod']'[Turnover']DMC_initiale]]*(1+Base[[#This Row],['[Prod']'[Turnover']Ecart_accidents]]*Base[[#This Row],['[Prod']Impact_motifs_turnover]]),CJ549*CI549+CJ550*CI550+CJ551*CI551+CJ552*CI552+CJ553*CI553+CJ554*CI554+CJ555*CI555+CJ556*CI556+CJ557*CI557+CJ558*CI558+CJ559*CI559+CJ560*CI560+CJ561*CI561+CJ562*CI562+CJ563*CI563+CJ564*CI564+CJ565*CI565)</f>
        <v>11.323700519869947</v>
      </c>
      <c r="CK566" s="4">
        <f>1/Base[[#This Row],['[Prod']'[Turnover']DMC_initiale]]</f>
        <v>9.0909090909090912E-2</v>
      </c>
      <c r="CL566" s="4">
        <f>1/Base[[#This Row],['[Prod']'[Turnover']DMC_finale]]</f>
        <v>8.8310353867561045E-2</v>
      </c>
    </row>
    <row r="567" spans="2:90" x14ac:dyDescent="0.25">
      <c r="B567" s="4" t="s">
        <v>325</v>
      </c>
      <c r="C567">
        <v>30</v>
      </c>
      <c r="D567" t="s">
        <v>85</v>
      </c>
      <c r="E567" t="s">
        <v>9</v>
      </c>
      <c r="F567" s="3">
        <v>0.21951986147416674</v>
      </c>
      <c r="G567" s="3">
        <v>0.14499999999999999</v>
      </c>
      <c r="H567" s="3">
        <v>0.14499999999999999</v>
      </c>
      <c r="I567" s="3">
        <v>0.153</v>
      </c>
      <c r="J567" s="3">
        <v>29.93</v>
      </c>
      <c r="K567" s="3">
        <v>7.0000000000000007E-2</v>
      </c>
      <c r="L567" s="2">
        <f>Base[[#This Row],[Coût]]*Base[[#This Row],[Part_ménages_dépenses_santé]]</f>
        <v>2.0951</v>
      </c>
      <c r="M567" s="2">
        <v>0.82690611956969029</v>
      </c>
      <c r="N567" s="6">
        <v>27700000</v>
      </c>
      <c r="O567" s="7">
        <f>Base[[#This Row],[Coût_salarié]]*10^9*Base[[#This Row],[Risque]]*Base[[#This Row],[Prévalence]]*Base[[#This Row],[Part_coûts_salarié]]/Base[[#This Row],[Population_emploi]]</f>
        <v>1.9907788399138429</v>
      </c>
      <c r="P567">
        <v>50</v>
      </c>
      <c r="Q567">
        <v>50</v>
      </c>
      <c r="R567" s="2">
        <v>9.9999999999999978E-2</v>
      </c>
      <c r="S567" s="2">
        <v>0.33340000000000003</v>
      </c>
      <c r="T567" s="4">
        <v>0.14499999999999999</v>
      </c>
      <c r="U567" s="4">
        <f>IF(Bases_annexes!$F$5=0,16.6587111018772,0.77*Bases_annexes!$F$5/(IF(OR(ISBLANK('Données_d''entrée'!$E$44),'Données_d''entrée'!$E$44=0),35,'Données_d''entrée'!$E$44)*52))</f>
        <v>16.658711101877199</v>
      </c>
      <c r="V567" s="4">
        <v>17.7120401072847</v>
      </c>
      <c r="W5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7" s="4">
        <v>234.5</v>
      </c>
      <c r="Y567" s="4">
        <f>(Base[[#This Row],['[Maladies']Coûts_évités_par_salarié]]+Base[[#This Row],['[Travail']Coûts_évités_par_salarié]])/Base[[#This Row],[Budget_santé_salarié]]</f>
        <v>7.9261694897501206E-2</v>
      </c>
      <c r="Z567" s="4">
        <v>0.8</v>
      </c>
      <c r="AA567" s="4">
        <f>Base[[#This Row],[Coût]]*Base[[#This Row],[Part_société_dépenses_santé]]</f>
        <v>23.944000000000003</v>
      </c>
      <c r="AB567" s="4">
        <v>67635124</v>
      </c>
      <c r="AC567" s="4">
        <v>82.297079063317852</v>
      </c>
      <c r="AD567" s="4">
        <v>0.14499999999999999</v>
      </c>
      <c r="AE567" s="4">
        <f>Base[[#This Row],['[SC']Prévalence_travail]]*Base[[#This Row],[Population_emploi]]</f>
        <v>4016499.9999999995</v>
      </c>
      <c r="AF567" s="4">
        <f>Base[[#This Row],[Risque]]*Base[[#This Row],['[SC']Patients_en_emploi]]</f>
        <v>881701.52361099061</v>
      </c>
      <c r="AG567" s="4">
        <v>5730042552.54</v>
      </c>
      <c r="AH567" s="4">
        <f>IFERROR(Base[[#This Row],['[SC']Prestations]]/Base[[#This Row],['[SC']Patients_en_emploi]],0)</f>
        <v>1426.625806682435</v>
      </c>
      <c r="AI567" s="4">
        <v>51.7</v>
      </c>
      <c r="AJ5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7" s="4">
        <f>Base[[#This Row],['[SC']'[Travail']Coûts_évités]]/Base[[#This Row],[Population_emploi]]</f>
        <v>45.410041421467923</v>
      </c>
      <c r="AL567" s="4">
        <f>Base[[#This Row],[Coût_société]]*10^9*Base[[#This Row],[Risque]]*Base[[#This Row],[Prévalence]]*Base[[#This Row],[Part_coûts_salarié]]/Base[[#This Row],[Population_emploi]]</f>
        <v>22.751758170443921</v>
      </c>
      <c r="AM567" s="4">
        <f>IF(Base[[#This Row],[Pathologie]]&lt;&gt;"Dépendance",0,14909.24243952)</f>
        <v>0</v>
      </c>
      <c r="AN567" s="4">
        <f>IF(Base[[#This Row],[Pathologie]]&lt;&gt;"Dépendance",0,1316000)</f>
        <v>0</v>
      </c>
      <c r="AO567" s="4">
        <f>IF(Base[[#This Row],[Pathologie]]&lt;&gt;"Dépendance",0,Base[[#This Row],['[SC']Coût_personne_dépendante]]*Base[[#This Row],['[SC']Nb_personnes_dépendantes]])</f>
        <v>0</v>
      </c>
      <c r="AP567" s="4">
        <f>IF(Base[[#This Row],[Pathologie]]&lt;&gt;"Dépendance",0,Base[[#This Row],['[SC']Coût_total_dépendance]]/Base[[#This Row],[Population_totale]])</f>
        <v>0</v>
      </c>
      <c r="AQ567" s="4">
        <f>IF(Base[[#This Row],[Pathologie]]&lt;&gt;"Dépendance",0,4.5)</f>
        <v>0</v>
      </c>
      <c r="AR567" s="4">
        <v>1.0077957276768601</v>
      </c>
      <c r="AS567" s="4">
        <f>Base[[#This Row],[Espérance_vie]]+Base[[#This Row],['[SC']Hausse_esp_de_vie]]-Base[[#This Row],['[SC']Durée_moyenne_dépendance_avt]]+Base[[#This Row],[Risque]]</f>
        <v>83.524394652468885</v>
      </c>
      <c r="AT5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7" s="4">
        <v>62.9</v>
      </c>
      <c r="AW567" s="4">
        <f t="shared" si="17"/>
        <v>336905600000</v>
      </c>
      <c r="AX567" s="4">
        <v>15049171</v>
      </c>
      <c r="AY567" s="4">
        <f>Base[[#This Row],['[SC']Budget_total_retraites]]/Base[[#This Row],['[SC']Nombre_de_retraités]]</f>
        <v>22386.987296509556</v>
      </c>
      <c r="AZ567" s="4">
        <f>Base[[#This Row],['[SC']Budget_par_retraité]]*Base[[#This Row],['[SC']Nb_personnes_dépendantes]]</f>
        <v>0</v>
      </c>
      <c r="BA567" s="4">
        <f>Base[[#This Row],['[SC']'[Dépendance']Coût_retraite_personnes_dépendantes]]/Base[[#This Row],[Population_totale]]</f>
        <v>0</v>
      </c>
      <c r="BB5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7" s="4">
        <f>Base[[#This Row],['[SC']'[Dépendance']Gains]]-Base[[#This Row],['[SC']'[Dépendance']Coûts]]</f>
        <v>0</v>
      </c>
      <c r="BD567" s="4">
        <f>IF(Base[[#This Row],[Pathologie]]&lt;&gt;"Mort prématurée",0,Base[[#This Row],[Risque]]*Base[[#This Row],[Prévalence]]*Base[[#This Row],[Population_totale]])</f>
        <v>0</v>
      </c>
      <c r="BE567" s="4">
        <v>52.74</v>
      </c>
      <c r="BF567" s="4">
        <f>Base[[#This Row],['[SC']Âge_moyen_retraite]]-Base[[#This Row],['[SC']'[Mort_prématurée']Âge_moyen_mort précoce]]</f>
        <v>10.159999999999997</v>
      </c>
      <c r="BG567" s="4">
        <f>Base[[#This Row],[Espérance_vie]]+Base[[#This Row],['[SC']Hausse_esp_de_vie]]-Base[[#This Row],['[SC']Âge_moyen_retraite]]</f>
        <v>20.404874790994718</v>
      </c>
      <c r="BH567" s="4">
        <v>106583.42676924677</v>
      </c>
      <c r="BI567" s="4">
        <v>97601.789429271477</v>
      </c>
      <c r="BJ567" s="4">
        <v>302038.31496633729</v>
      </c>
      <c r="BK567" s="4">
        <v>117293.58934859755</v>
      </c>
      <c r="BL567" s="4">
        <v>1523999.9999999995</v>
      </c>
      <c r="BM5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7" s="4">
        <v>294804.96027377353</v>
      </c>
      <c r="BO5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7" s="4">
        <f>(Base[[#This Row],['[SC']'[Mort_prématurée']Gains]]-Base[[#This Row],['[SC']'[Mort_prématurée']Coûts]])/Base[[#This Row],[Population_totale]]</f>
        <v>0</v>
      </c>
      <c r="BQ567" s="4">
        <f>IF(Base[[#This Row],[Pathologie]]&lt;&gt;"Mort prématurée",0,Base[[#This Row],[Risque]])</f>
        <v>0</v>
      </c>
      <c r="BR567" s="4">
        <v>2680</v>
      </c>
      <c r="BS5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7" s="4">
        <f>Base[[#This Row],[Prévalence_prod]]*(1-Base[[#This Row],[Risque]])*Base[[#This Row],[Durée_arrêt]]*Base[[#This Row],[Population_emploi]]</f>
        <v>55523676.342057109</v>
      </c>
      <c r="BV567" s="4">
        <f>Base[[#This Row],['[Prod']'[Absentéisme']Total_jours_absence_avant]]-Base[[#This Row],['[Prod']'[Absentéisme']Total_jours_absence_après]]</f>
        <v>15616732.74885188</v>
      </c>
      <c r="BW567" s="4">
        <f>IF(AND(Base[[#This Row],[Pathologie]]&lt;&gt;"Dépendance",Base[[#This Row],[Pathologie]]&lt;&gt;"Mort prématurée",Base[[#This Row],[Pathologie]]&lt;&gt;"Migraine"),0.0619,0)</f>
        <v>6.1899999999999997E-2</v>
      </c>
      <c r="BX567" s="4">
        <v>254</v>
      </c>
      <c r="BY567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7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7" s="4">
        <f>Base[[#This Row],[Prévalence_prod]]*Base[[#This Row],[Présentéisme]]*Base[[#This Row],['[Prod']Jours_ouvrés]]</f>
        <v>5.6349899999999993</v>
      </c>
      <c r="CB567" s="4">
        <f>Base[[#This Row],[Prévalence_prod]]*(1-Base[[#This Row],[Risque]])*Base[[#This Row],[Présentéisme]]*Base[[#This Row],['[Prod']Jours_ouvrés]]</f>
        <v>4.3979977757916853</v>
      </c>
      <c r="CC567" s="4">
        <f>Base[[#This Row],['[Prod']'[Présentéisme']Jours_avant]]-Base[[#This Row],['[Prod']'[Présentéisme']Jours_après]]</f>
        <v>1.236992224208314</v>
      </c>
      <c r="CD567" s="4">
        <f>Base[[#This Row],['[Prod']'[Présentéisme']Jours_gagnés]]/Base[[#This Row],['[Prod']Jours_ouvrés]]</f>
        <v>4.8700481268043857E-3</v>
      </c>
      <c r="CE567">
        <v>9.3428413505841454E-2</v>
      </c>
      <c r="CF567">
        <v>2.1038737314955848E-2</v>
      </c>
      <c r="CG567" s="4">
        <v>11</v>
      </c>
      <c r="CH567" s="4">
        <v>1.1624525375985588</v>
      </c>
      <c r="CI567" s="4">
        <v>3.7953151649308701E-2</v>
      </c>
      <c r="CJ567" s="4">
        <f>IF(Base[[#This Row],[Secteur]]&lt;&gt;"Moyenne",Base[[#This Row],['[Prod']'[Turnover']DMC_initiale]]*(1+Base[[#This Row],['[Prod']'[Turnover']Ecart_accidents]]*Base[[#This Row],['[Prod']Impact_motifs_turnover]]),CJ550*CI550+CJ551*CI551+CJ552*CI552+CJ553*CI553+CJ554*CI554+CJ555*CI555+CJ556*CI556+CJ557*CI557+CJ558*CI558+CJ559*CI559+CJ560*CI560+CJ561*CI561+CJ562*CI562+CJ563*CI563+CJ564*CI564+CJ565*CI565+CJ566*CI566)</f>
        <v>11.269021869376038</v>
      </c>
      <c r="CK567" s="4">
        <f>1/Base[[#This Row],['[Prod']'[Turnover']DMC_initiale]]</f>
        <v>9.0909090909090912E-2</v>
      </c>
      <c r="CL567" s="4">
        <f>1/Base[[#This Row],['[Prod']'[Turnover']DMC_finale]]</f>
        <v>8.8738846333907204E-2</v>
      </c>
    </row>
    <row r="568" spans="2:90" x14ac:dyDescent="0.25">
      <c r="B568" s="4" t="s">
        <v>326</v>
      </c>
      <c r="C568">
        <v>30</v>
      </c>
      <c r="D568" t="s">
        <v>85</v>
      </c>
      <c r="E568" t="s">
        <v>9</v>
      </c>
      <c r="F568" s="3">
        <v>0.21951986147416674</v>
      </c>
      <c r="G568" s="3">
        <v>0.14499999999999999</v>
      </c>
      <c r="H568" s="3">
        <v>0.14499999999999999</v>
      </c>
      <c r="I568" s="3">
        <v>0.153</v>
      </c>
      <c r="J568" s="3">
        <v>29.93</v>
      </c>
      <c r="K568" s="3">
        <v>7.0000000000000007E-2</v>
      </c>
      <c r="L568" s="2">
        <f>Base[[#This Row],[Coût]]*Base[[#This Row],[Part_ménages_dépenses_santé]]</f>
        <v>2.0951</v>
      </c>
      <c r="M568" s="2">
        <v>0.82690611956969029</v>
      </c>
      <c r="N568" s="6">
        <v>27700000</v>
      </c>
      <c r="O568" s="7">
        <f>Base[[#This Row],[Coût_salarié]]*10^9*Base[[#This Row],[Risque]]*Base[[#This Row],[Prévalence]]*Base[[#This Row],[Part_coûts_salarié]]/Base[[#This Row],[Population_emploi]]</f>
        <v>1.9907788399138429</v>
      </c>
      <c r="P568">
        <v>50</v>
      </c>
      <c r="Q568">
        <v>50</v>
      </c>
      <c r="R568" s="2">
        <v>9.9999999999999978E-2</v>
      </c>
      <c r="S568" s="2">
        <v>0.33340000000000003</v>
      </c>
      <c r="T568" s="4">
        <v>0.14499999999999999</v>
      </c>
      <c r="U568" s="4">
        <f>IF(Bases_annexes!$F$5=0,16.6587111018772,0.77*Bases_annexes!$F$5/(IF(OR(ISBLANK('Données_d''entrée'!$E$44),'Données_d''entrée'!$E$44=0),35,'Données_d''entrée'!$E$44)*52))</f>
        <v>16.658711101877199</v>
      </c>
      <c r="V568" s="4">
        <v>17.7120401072847</v>
      </c>
      <c r="W5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8" s="4">
        <v>234.5</v>
      </c>
      <c r="Y568" s="4">
        <f>(Base[[#This Row],['[Maladies']Coûts_évités_par_salarié]]+Base[[#This Row],['[Travail']Coûts_évités_par_salarié]])/Base[[#This Row],[Budget_santé_salarié]]</f>
        <v>7.9261694897501206E-2</v>
      </c>
      <c r="Z568" s="4">
        <v>0.8</v>
      </c>
      <c r="AA568" s="4">
        <f>Base[[#This Row],[Coût]]*Base[[#This Row],[Part_société_dépenses_santé]]</f>
        <v>23.944000000000003</v>
      </c>
      <c r="AB568" s="4">
        <v>67635124</v>
      </c>
      <c r="AC568" s="4">
        <v>82.297079063317852</v>
      </c>
      <c r="AD568" s="4">
        <v>0.14499999999999999</v>
      </c>
      <c r="AE568" s="4">
        <f>Base[[#This Row],['[SC']Prévalence_travail]]*Base[[#This Row],[Population_emploi]]</f>
        <v>4016499.9999999995</v>
      </c>
      <c r="AF568" s="4">
        <f>Base[[#This Row],[Risque]]*Base[[#This Row],['[SC']Patients_en_emploi]]</f>
        <v>881701.52361099061</v>
      </c>
      <c r="AG568" s="4">
        <v>5730042552.54</v>
      </c>
      <c r="AH568" s="4">
        <f>IFERROR(Base[[#This Row],['[SC']Prestations]]/Base[[#This Row],['[SC']Patients_en_emploi]],0)</f>
        <v>1426.625806682435</v>
      </c>
      <c r="AI568" s="4">
        <v>51.7</v>
      </c>
      <c r="AJ5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8" s="4">
        <f>Base[[#This Row],['[SC']'[Travail']Coûts_évités]]/Base[[#This Row],[Population_emploi]]</f>
        <v>45.410041421467923</v>
      </c>
      <c r="AL568" s="4">
        <f>Base[[#This Row],[Coût_société]]*10^9*Base[[#This Row],[Risque]]*Base[[#This Row],[Prévalence]]*Base[[#This Row],[Part_coûts_salarié]]/Base[[#This Row],[Population_emploi]]</f>
        <v>22.751758170443921</v>
      </c>
      <c r="AM568" s="4">
        <f>IF(Base[[#This Row],[Pathologie]]&lt;&gt;"Dépendance",0,14909.24243952)</f>
        <v>0</v>
      </c>
      <c r="AN568" s="4">
        <f>IF(Base[[#This Row],[Pathologie]]&lt;&gt;"Dépendance",0,1316000)</f>
        <v>0</v>
      </c>
      <c r="AO568" s="4">
        <f>IF(Base[[#This Row],[Pathologie]]&lt;&gt;"Dépendance",0,Base[[#This Row],['[SC']Coût_personne_dépendante]]*Base[[#This Row],['[SC']Nb_personnes_dépendantes]])</f>
        <v>0</v>
      </c>
      <c r="AP568" s="4">
        <f>IF(Base[[#This Row],[Pathologie]]&lt;&gt;"Dépendance",0,Base[[#This Row],['[SC']Coût_total_dépendance]]/Base[[#This Row],[Population_totale]])</f>
        <v>0</v>
      </c>
      <c r="AQ568" s="4">
        <f>IF(Base[[#This Row],[Pathologie]]&lt;&gt;"Dépendance",0,4.5)</f>
        <v>0</v>
      </c>
      <c r="AR568" s="4">
        <v>1.0077957276768601</v>
      </c>
      <c r="AS568" s="4">
        <f>Base[[#This Row],[Espérance_vie]]+Base[[#This Row],['[SC']Hausse_esp_de_vie]]-Base[[#This Row],['[SC']Durée_moyenne_dépendance_avt]]+Base[[#This Row],[Risque]]</f>
        <v>83.524394652468885</v>
      </c>
      <c r="AT5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8" s="4">
        <v>62.9</v>
      </c>
      <c r="AW568" s="4">
        <f t="shared" si="17"/>
        <v>336905600000</v>
      </c>
      <c r="AX568" s="4">
        <v>15049171</v>
      </c>
      <c r="AY568" s="4">
        <f>Base[[#This Row],['[SC']Budget_total_retraites]]/Base[[#This Row],['[SC']Nombre_de_retraités]]</f>
        <v>22386.987296509556</v>
      </c>
      <c r="AZ568" s="4">
        <f>Base[[#This Row],['[SC']Budget_par_retraité]]*Base[[#This Row],['[SC']Nb_personnes_dépendantes]]</f>
        <v>0</v>
      </c>
      <c r="BA568" s="4">
        <f>Base[[#This Row],['[SC']'[Dépendance']Coût_retraite_personnes_dépendantes]]/Base[[#This Row],[Population_totale]]</f>
        <v>0</v>
      </c>
      <c r="BB5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8" s="4">
        <f>Base[[#This Row],['[SC']'[Dépendance']Gains]]-Base[[#This Row],['[SC']'[Dépendance']Coûts]]</f>
        <v>0</v>
      </c>
      <c r="BD568" s="4">
        <f>IF(Base[[#This Row],[Pathologie]]&lt;&gt;"Mort prématurée",0,Base[[#This Row],[Risque]]*Base[[#This Row],[Prévalence]]*Base[[#This Row],[Population_totale]])</f>
        <v>0</v>
      </c>
      <c r="BE568" s="4">
        <v>52.74</v>
      </c>
      <c r="BF568" s="4">
        <f>Base[[#This Row],['[SC']Âge_moyen_retraite]]-Base[[#This Row],['[SC']'[Mort_prématurée']Âge_moyen_mort précoce]]</f>
        <v>10.159999999999997</v>
      </c>
      <c r="BG568" s="4">
        <f>Base[[#This Row],[Espérance_vie]]+Base[[#This Row],['[SC']Hausse_esp_de_vie]]-Base[[#This Row],['[SC']Âge_moyen_retraite]]</f>
        <v>20.404874790994718</v>
      </c>
      <c r="BH568" s="4">
        <v>106583.42676924677</v>
      </c>
      <c r="BI568" s="4">
        <v>97601.789429271477</v>
      </c>
      <c r="BJ568" s="4">
        <v>302038.31496633729</v>
      </c>
      <c r="BK568" s="4">
        <v>117293.58934859755</v>
      </c>
      <c r="BL568" s="4">
        <v>1523999.9999999995</v>
      </c>
      <c r="BM5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8" s="4">
        <v>294804.96027377353</v>
      </c>
      <c r="BO5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8" s="4">
        <f>(Base[[#This Row],['[SC']'[Mort_prématurée']Gains]]-Base[[#This Row],['[SC']'[Mort_prématurée']Coûts]])/Base[[#This Row],[Population_totale]]</f>
        <v>0</v>
      </c>
      <c r="BQ568" s="4">
        <f>IF(Base[[#This Row],[Pathologie]]&lt;&gt;"Mort prématurée",0,Base[[#This Row],[Risque]])</f>
        <v>0</v>
      </c>
      <c r="BR568" s="4">
        <v>2680</v>
      </c>
      <c r="BS5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8" s="4">
        <f>Base[[#This Row],[Prévalence_prod]]*(1-Base[[#This Row],[Risque]])*Base[[#This Row],[Durée_arrêt]]*Base[[#This Row],[Population_emploi]]</f>
        <v>55523676.342057109</v>
      </c>
      <c r="BV568" s="4">
        <f>Base[[#This Row],['[Prod']'[Absentéisme']Total_jours_absence_avant]]-Base[[#This Row],['[Prod']'[Absentéisme']Total_jours_absence_après]]</f>
        <v>15616732.74885188</v>
      </c>
      <c r="BW568" s="4">
        <f>IF(AND(Base[[#This Row],[Pathologie]]&lt;&gt;"Dépendance",Base[[#This Row],[Pathologie]]&lt;&gt;"Mort prématurée",Base[[#This Row],[Pathologie]]&lt;&gt;"Migraine"),0.0619,0)</f>
        <v>6.1899999999999997E-2</v>
      </c>
      <c r="BX568" s="4">
        <v>254</v>
      </c>
      <c r="BY568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8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8" s="4">
        <f>Base[[#This Row],[Prévalence_prod]]*Base[[#This Row],[Présentéisme]]*Base[[#This Row],['[Prod']Jours_ouvrés]]</f>
        <v>5.6349899999999993</v>
      </c>
      <c r="CB568" s="4">
        <f>Base[[#This Row],[Prévalence_prod]]*(1-Base[[#This Row],[Risque]])*Base[[#This Row],[Présentéisme]]*Base[[#This Row],['[Prod']Jours_ouvrés]]</f>
        <v>4.3979977757916853</v>
      </c>
      <c r="CC568" s="4">
        <f>Base[[#This Row],['[Prod']'[Présentéisme']Jours_avant]]-Base[[#This Row],['[Prod']'[Présentéisme']Jours_après]]</f>
        <v>1.236992224208314</v>
      </c>
      <c r="CD568" s="4">
        <f>Base[[#This Row],['[Prod']'[Présentéisme']Jours_gagnés]]/Base[[#This Row],['[Prod']Jours_ouvrés]]</f>
        <v>4.8700481268043857E-3</v>
      </c>
      <c r="CE568">
        <v>9.3428413505841454E-2</v>
      </c>
      <c r="CF568">
        <v>2.1038737314955848E-2</v>
      </c>
      <c r="CG568" s="4">
        <v>11</v>
      </c>
      <c r="CH568" s="4">
        <v>0.19346787829229528</v>
      </c>
      <c r="CI568" s="4">
        <v>2.8126549817953091E-2</v>
      </c>
      <c r="CJ568" s="4">
        <f>IF(Base[[#This Row],[Secteur]]&lt;&gt;"Moyenne",Base[[#This Row],['[Prod']'[Turnover']DMC_initiale]]*(1+Base[[#This Row],['[Prod']'[Turnover']Ecart_accidents]]*Base[[#This Row],['[Prod']Impact_motifs_turnover]]),CJ551*CI551+CJ552*CI552+CJ553*CI553+CJ554*CI554+CJ555*CI555+CJ556*CI556+CJ557*CI557+CJ558*CI558+CJ559*CI559+CJ560*CI560+CJ561*CI561+CJ562*CI562+CJ563*CI563+CJ564*CI564+CJ565*CI565+CJ566*CI566+CJ567*CI567)</f>
        <v>11.044773518573008</v>
      </c>
      <c r="CK568" s="4">
        <f>1/Base[[#This Row],['[Prod']'[Turnover']DMC_initiale]]</f>
        <v>9.0909090909090912E-2</v>
      </c>
      <c r="CL568" s="4">
        <f>1/Base[[#This Row],['[Prod']'[Turnover']DMC_finale]]</f>
        <v>9.0540561861082031E-2</v>
      </c>
    </row>
    <row r="569" spans="2:90" x14ac:dyDescent="0.25">
      <c r="B569" s="4" t="s">
        <v>327</v>
      </c>
      <c r="C569">
        <v>30</v>
      </c>
      <c r="D569" t="s">
        <v>85</v>
      </c>
      <c r="E569" t="s">
        <v>9</v>
      </c>
      <c r="F569" s="3">
        <v>0.21951986147416674</v>
      </c>
      <c r="G569" s="3">
        <v>0.14499999999999999</v>
      </c>
      <c r="H569" s="3">
        <v>0.14499999999999999</v>
      </c>
      <c r="I569" s="3">
        <v>0.153</v>
      </c>
      <c r="J569" s="3">
        <v>29.93</v>
      </c>
      <c r="K569" s="3">
        <v>7.0000000000000007E-2</v>
      </c>
      <c r="L569" s="2">
        <f>Base[[#This Row],[Coût]]*Base[[#This Row],[Part_ménages_dépenses_santé]]</f>
        <v>2.0951</v>
      </c>
      <c r="M569" s="2">
        <v>0.82690611956969029</v>
      </c>
      <c r="N569" s="6">
        <v>27700000</v>
      </c>
      <c r="O569" s="7">
        <f>Base[[#This Row],[Coût_salarié]]*10^9*Base[[#This Row],[Risque]]*Base[[#This Row],[Prévalence]]*Base[[#This Row],[Part_coûts_salarié]]/Base[[#This Row],[Population_emploi]]</f>
        <v>1.9907788399138429</v>
      </c>
      <c r="P569">
        <v>50</v>
      </c>
      <c r="Q569">
        <v>50</v>
      </c>
      <c r="R569" s="2">
        <v>9.9999999999999978E-2</v>
      </c>
      <c r="S569" s="2">
        <v>0.33340000000000003</v>
      </c>
      <c r="T569" s="4">
        <v>0.14499999999999999</v>
      </c>
      <c r="U569" s="4">
        <f>IF(Bases_annexes!$F$5=0,16.6587111018772,0.77*Bases_annexes!$F$5/(IF(OR(ISBLANK('Données_d''entrée'!$E$44),'Données_d''entrée'!$E$44=0),35,'Données_d''entrée'!$E$44)*52))</f>
        <v>16.658711101877199</v>
      </c>
      <c r="V569" s="4">
        <v>17.7120401072847</v>
      </c>
      <c r="W5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69" s="4">
        <v>234.5</v>
      </c>
      <c r="Y569" s="4">
        <f>(Base[[#This Row],['[Maladies']Coûts_évités_par_salarié]]+Base[[#This Row],['[Travail']Coûts_évités_par_salarié]])/Base[[#This Row],[Budget_santé_salarié]]</f>
        <v>7.9261694897501206E-2</v>
      </c>
      <c r="Z569" s="4">
        <v>0.8</v>
      </c>
      <c r="AA569" s="4">
        <f>Base[[#This Row],[Coût]]*Base[[#This Row],[Part_société_dépenses_santé]]</f>
        <v>23.944000000000003</v>
      </c>
      <c r="AB569" s="4">
        <v>67635124</v>
      </c>
      <c r="AC569" s="4">
        <v>82.297079063317852</v>
      </c>
      <c r="AD569" s="4">
        <v>0.14499999999999999</v>
      </c>
      <c r="AE569" s="4">
        <f>Base[[#This Row],['[SC']Prévalence_travail]]*Base[[#This Row],[Population_emploi]]</f>
        <v>4016499.9999999995</v>
      </c>
      <c r="AF569" s="4">
        <f>Base[[#This Row],[Risque]]*Base[[#This Row],['[SC']Patients_en_emploi]]</f>
        <v>881701.52361099061</v>
      </c>
      <c r="AG569" s="4">
        <v>5730042552.54</v>
      </c>
      <c r="AH569" s="4">
        <f>IFERROR(Base[[#This Row],['[SC']Prestations]]/Base[[#This Row],['[SC']Patients_en_emploi]],0)</f>
        <v>1426.625806682435</v>
      </c>
      <c r="AI569" s="4">
        <v>51.7</v>
      </c>
      <c r="AJ5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69" s="4">
        <f>Base[[#This Row],['[SC']'[Travail']Coûts_évités]]/Base[[#This Row],[Population_emploi]]</f>
        <v>45.410041421467923</v>
      </c>
      <c r="AL569" s="4">
        <f>Base[[#This Row],[Coût_société]]*10^9*Base[[#This Row],[Risque]]*Base[[#This Row],[Prévalence]]*Base[[#This Row],[Part_coûts_salarié]]/Base[[#This Row],[Population_emploi]]</f>
        <v>22.751758170443921</v>
      </c>
      <c r="AM569" s="4">
        <f>IF(Base[[#This Row],[Pathologie]]&lt;&gt;"Dépendance",0,14909.24243952)</f>
        <v>0</v>
      </c>
      <c r="AN569" s="4">
        <f>IF(Base[[#This Row],[Pathologie]]&lt;&gt;"Dépendance",0,1316000)</f>
        <v>0</v>
      </c>
      <c r="AO569" s="4">
        <f>IF(Base[[#This Row],[Pathologie]]&lt;&gt;"Dépendance",0,Base[[#This Row],['[SC']Coût_personne_dépendante]]*Base[[#This Row],['[SC']Nb_personnes_dépendantes]])</f>
        <v>0</v>
      </c>
      <c r="AP569" s="4">
        <f>IF(Base[[#This Row],[Pathologie]]&lt;&gt;"Dépendance",0,Base[[#This Row],['[SC']Coût_total_dépendance]]/Base[[#This Row],[Population_totale]])</f>
        <v>0</v>
      </c>
      <c r="AQ569" s="4">
        <f>IF(Base[[#This Row],[Pathologie]]&lt;&gt;"Dépendance",0,4.5)</f>
        <v>0</v>
      </c>
      <c r="AR569" s="4">
        <v>1.0077957276768601</v>
      </c>
      <c r="AS569" s="4">
        <f>Base[[#This Row],[Espérance_vie]]+Base[[#This Row],['[SC']Hausse_esp_de_vie]]-Base[[#This Row],['[SC']Durée_moyenne_dépendance_avt]]+Base[[#This Row],[Risque]]</f>
        <v>83.524394652468885</v>
      </c>
      <c r="AT5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69" s="4">
        <v>62.9</v>
      </c>
      <c r="AW569" s="4">
        <f t="shared" si="17"/>
        <v>336905600000</v>
      </c>
      <c r="AX569" s="4">
        <v>15049171</v>
      </c>
      <c r="AY569" s="4">
        <f>Base[[#This Row],['[SC']Budget_total_retraites]]/Base[[#This Row],['[SC']Nombre_de_retraités]]</f>
        <v>22386.987296509556</v>
      </c>
      <c r="AZ569" s="4">
        <f>Base[[#This Row],['[SC']Budget_par_retraité]]*Base[[#This Row],['[SC']Nb_personnes_dépendantes]]</f>
        <v>0</v>
      </c>
      <c r="BA569" s="4">
        <f>Base[[#This Row],['[SC']'[Dépendance']Coût_retraite_personnes_dépendantes]]/Base[[#This Row],[Population_totale]]</f>
        <v>0</v>
      </c>
      <c r="BB5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69" s="4">
        <f>Base[[#This Row],['[SC']'[Dépendance']Gains]]-Base[[#This Row],['[SC']'[Dépendance']Coûts]]</f>
        <v>0</v>
      </c>
      <c r="BD569" s="4">
        <f>IF(Base[[#This Row],[Pathologie]]&lt;&gt;"Mort prématurée",0,Base[[#This Row],[Risque]]*Base[[#This Row],[Prévalence]]*Base[[#This Row],[Population_totale]])</f>
        <v>0</v>
      </c>
      <c r="BE569" s="4">
        <v>52.74</v>
      </c>
      <c r="BF569" s="4">
        <f>Base[[#This Row],['[SC']Âge_moyen_retraite]]-Base[[#This Row],['[SC']'[Mort_prématurée']Âge_moyen_mort précoce]]</f>
        <v>10.159999999999997</v>
      </c>
      <c r="BG569" s="4">
        <f>Base[[#This Row],[Espérance_vie]]+Base[[#This Row],['[SC']Hausse_esp_de_vie]]-Base[[#This Row],['[SC']Âge_moyen_retraite]]</f>
        <v>20.404874790994718</v>
      </c>
      <c r="BH569" s="4">
        <v>106583.42676924677</v>
      </c>
      <c r="BI569" s="4">
        <v>97601.789429271477</v>
      </c>
      <c r="BJ569" s="4">
        <v>302038.31496633729</v>
      </c>
      <c r="BK569" s="4">
        <v>117293.58934859755</v>
      </c>
      <c r="BL569" s="4">
        <v>1523999.9999999995</v>
      </c>
      <c r="BM5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69" s="4">
        <v>294804.96027377353</v>
      </c>
      <c r="BO5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69" s="4">
        <f>(Base[[#This Row],['[SC']'[Mort_prématurée']Gains]]-Base[[#This Row],['[SC']'[Mort_prématurée']Coûts]])/Base[[#This Row],[Population_totale]]</f>
        <v>0</v>
      </c>
      <c r="BQ569" s="4">
        <f>IF(Base[[#This Row],[Pathologie]]&lt;&gt;"Mort prématurée",0,Base[[#This Row],[Risque]])</f>
        <v>0</v>
      </c>
      <c r="BR569" s="4">
        <v>2680</v>
      </c>
      <c r="BS5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69" s="4">
        <f>Base[[#This Row],[Prévalence_prod]]*(1-Base[[#This Row],[Risque]])*Base[[#This Row],[Durée_arrêt]]*Base[[#This Row],[Population_emploi]]</f>
        <v>55523676.342057109</v>
      </c>
      <c r="BV569" s="4">
        <f>Base[[#This Row],['[Prod']'[Absentéisme']Total_jours_absence_avant]]-Base[[#This Row],['[Prod']'[Absentéisme']Total_jours_absence_après]]</f>
        <v>15616732.74885188</v>
      </c>
      <c r="BW569" s="4">
        <f>IF(AND(Base[[#This Row],[Pathologie]]&lt;&gt;"Dépendance",Base[[#This Row],[Pathologie]]&lt;&gt;"Mort prématurée",Base[[#This Row],[Pathologie]]&lt;&gt;"Migraine"),0.0619,0)</f>
        <v>6.1899999999999997E-2</v>
      </c>
      <c r="BX569" s="4">
        <v>254</v>
      </c>
      <c r="BY569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69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69" s="4">
        <f>Base[[#This Row],[Prévalence_prod]]*Base[[#This Row],[Présentéisme]]*Base[[#This Row],['[Prod']Jours_ouvrés]]</f>
        <v>5.6349899999999993</v>
      </c>
      <c r="CB569" s="4">
        <f>Base[[#This Row],[Prévalence_prod]]*(1-Base[[#This Row],[Risque]])*Base[[#This Row],[Présentéisme]]*Base[[#This Row],['[Prod']Jours_ouvrés]]</f>
        <v>4.3979977757916853</v>
      </c>
      <c r="CC569" s="4">
        <f>Base[[#This Row],['[Prod']'[Présentéisme']Jours_avant]]-Base[[#This Row],['[Prod']'[Présentéisme']Jours_après]]</f>
        <v>1.236992224208314</v>
      </c>
      <c r="CD569" s="4">
        <f>Base[[#This Row],['[Prod']'[Présentéisme']Jours_gagnés]]/Base[[#This Row],['[Prod']Jours_ouvrés]]</f>
        <v>4.8700481268043857E-3</v>
      </c>
      <c r="CE569">
        <v>9.3428413505841454E-2</v>
      </c>
      <c r="CF569">
        <v>2.1038737314955848E-2</v>
      </c>
      <c r="CG569" s="4">
        <v>11</v>
      </c>
      <c r="CH569" s="4">
        <v>0.13729577077682142</v>
      </c>
      <c r="CI569" s="4">
        <v>1.373516710817578E-2</v>
      </c>
      <c r="CJ569" s="4">
        <f>IF(Base[[#This Row],[Secteur]]&lt;&gt;"Moyenne",Base[[#This Row],['[Prod']'[Turnover']DMC_initiale]]*(1+Base[[#This Row],['[Prod']'[Turnover']Ecart_accidents]]*Base[[#This Row],['[Prod']Impact_motifs_turnover]]),CJ552*CI552+CJ553*CI553+CJ554*CI554+CJ555*CI555+CJ556*CI556+CJ557*CI557+CJ558*CI558+CJ559*CI559+CJ560*CI560+CJ561*CI561+CJ562*CI562+CJ563*CI563+CJ564*CI564+CJ565*CI565+CJ566*CI566+CJ567*CI567+CJ568*CI568)</f>
        <v>11.031773826214106</v>
      </c>
      <c r="CK569" s="4">
        <f>1/Base[[#This Row],['[Prod']'[Turnover']DMC_initiale]]</f>
        <v>9.0909090909090912E-2</v>
      </c>
      <c r="CL569" s="4">
        <f>1/Base[[#This Row],['[Prod']'[Turnover']DMC_finale]]</f>
        <v>9.0647253628764871E-2</v>
      </c>
    </row>
    <row r="570" spans="2:90" x14ac:dyDescent="0.25">
      <c r="B570" s="4" t="s">
        <v>328</v>
      </c>
      <c r="C570">
        <v>30</v>
      </c>
      <c r="D570" t="s">
        <v>85</v>
      </c>
      <c r="E570" t="s">
        <v>9</v>
      </c>
      <c r="F570" s="3">
        <v>0.21951986147416674</v>
      </c>
      <c r="G570" s="3">
        <v>0.14499999999999999</v>
      </c>
      <c r="H570" s="3">
        <v>0.14499999999999999</v>
      </c>
      <c r="I570" s="3">
        <v>0.153</v>
      </c>
      <c r="J570" s="3">
        <v>29.93</v>
      </c>
      <c r="K570" s="3">
        <v>7.0000000000000007E-2</v>
      </c>
      <c r="L570" s="2">
        <f>Base[[#This Row],[Coût]]*Base[[#This Row],[Part_ménages_dépenses_santé]]</f>
        <v>2.0951</v>
      </c>
      <c r="M570" s="2">
        <v>0.82690611956969029</v>
      </c>
      <c r="N570" s="6">
        <v>27700000</v>
      </c>
      <c r="O570" s="7">
        <f>Base[[#This Row],[Coût_salarié]]*10^9*Base[[#This Row],[Risque]]*Base[[#This Row],[Prévalence]]*Base[[#This Row],[Part_coûts_salarié]]/Base[[#This Row],[Population_emploi]]</f>
        <v>1.9907788399138429</v>
      </c>
      <c r="P570">
        <v>50</v>
      </c>
      <c r="Q570">
        <v>50</v>
      </c>
      <c r="R570" s="2">
        <v>9.9999999999999978E-2</v>
      </c>
      <c r="S570" s="2">
        <v>0.33340000000000003</v>
      </c>
      <c r="T570" s="4">
        <v>0.14499999999999999</v>
      </c>
      <c r="U570" s="4">
        <f>IF(Bases_annexes!$F$5=0,16.6587111018772,0.77*Bases_annexes!$F$5/(IF(OR(ISBLANK('Données_d''entrée'!$E$44),'Données_d''entrée'!$E$44=0),35,'Données_d''entrée'!$E$44)*52))</f>
        <v>16.658711101877199</v>
      </c>
      <c r="V570" s="4">
        <v>17.7120401072847</v>
      </c>
      <c r="W5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70" s="4">
        <v>234.5</v>
      </c>
      <c r="Y570" s="4">
        <f>(Base[[#This Row],['[Maladies']Coûts_évités_par_salarié]]+Base[[#This Row],['[Travail']Coûts_évités_par_salarié]])/Base[[#This Row],[Budget_santé_salarié]]</f>
        <v>7.9261694897501206E-2</v>
      </c>
      <c r="Z570" s="4">
        <v>0.8</v>
      </c>
      <c r="AA570" s="4">
        <f>Base[[#This Row],[Coût]]*Base[[#This Row],[Part_société_dépenses_santé]]</f>
        <v>23.944000000000003</v>
      </c>
      <c r="AB570" s="4">
        <v>67635124</v>
      </c>
      <c r="AC570" s="4">
        <v>82.297079063317852</v>
      </c>
      <c r="AD570" s="4">
        <v>0.14499999999999999</v>
      </c>
      <c r="AE570" s="4">
        <f>Base[[#This Row],['[SC']Prévalence_travail]]*Base[[#This Row],[Population_emploi]]</f>
        <v>4016499.9999999995</v>
      </c>
      <c r="AF570" s="4">
        <f>Base[[#This Row],[Risque]]*Base[[#This Row],['[SC']Patients_en_emploi]]</f>
        <v>881701.52361099061</v>
      </c>
      <c r="AG570" s="4">
        <v>5730042552.54</v>
      </c>
      <c r="AH570" s="4">
        <f>IFERROR(Base[[#This Row],['[SC']Prestations]]/Base[[#This Row],['[SC']Patients_en_emploi]],0)</f>
        <v>1426.625806682435</v>
      </c>
      <c r="AI570" s="4">
        <v>51.7</v>
      </c>
      <c r="AJ5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70" s="4">
        <f>Base[[#This Row],['[SC']'[Travail']Coûts_évités]]/Base[[#This Row],[Population_emploi]]</f>
        <v>45.410041421467923</v>
      </c>
      <c r="AL570" s="4">
        <f>Base[[#This Row],[Coût_société]]*10^9*Base[[#This Row],[Risque]]*Base[[#This Row],[Prévalence]]*Base[[#This Row],[Part_coûts_salarié]]/Base[[#This Row],[Population_emploi]]</f>
        <v>22.751758170443921</v>
      </c>
      <c r="AM570" s="4">
        <f>IF(Base[[#This Row],[Pathologie]]&lt;&gt;"Dépendance",0,14909.24243952)</f>
        <v>0</v>
      </c>
      <c r="AN570" s="4">
        <f>IF(Base[[#This Row],[Pathologie]]&lt;&gt;"Dépendance",0,1316000)</f>
        <v>0</v>
      </c>
      <c r="AO570" s="4">
        <f>IF(Base[[#This Row],[Pathologie]]&lt;&gt;"Dépendance",0,Base[[#This Row],['[SC']Coût_personne_dépendante]]*Base[[#This Row],['[SC']Nb_personnes_dépendantes]])</f>
        <v>0</v>
      </c>
      <c r="AP570" s="4">
        <f>IF(Base[[#This Row],[Pathologie]]&lt;&gt;"Dépendance",0,Base[[#This Row],['[SC']Coût_total_dépendance]]/Base[[#This Row],[Population_totale]])</f>
        <v>0</v>
      </c>
      <c r="AQ570" s="4">
        <f>IF(Base[[#This Row],[Pathologie]]&lt;&gt;"Dépendance",0,4.5)</f>
        <v>0</v>
      </c>
      <c r="AR570" s="4">
        <v>1.0077957276768601</v>
      </c>
      <c r="AS570" s="4">
        <f>Base[[#This Row],[Espérance_vie]]+Base[[#This Row],['[SC']Hausse_esp_de_vie]]-Base[[#This Row],['[SC']Durée_moyenne_dépendance_avt]]+Base[[#This Row],[Risque]]</f>
        <v>83.524394652468885</v>
      </c>
      <c r="AT5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0" s="4">
        <v>62.9</v>
      </c>
      <c r="AW570" s="4">
        <f t="shared" si="17"/>
        <v>336905600000</v>
      </c>
      <c r="AX570" s="4">
        <v>15049171</v>
      </c>
      <c r="AY570" s="4">
        <f>Base[[#This Row],['[SC']Budget_total_retraites]]/Base[[#This Row],['[SC']Nombre_de_retraités]]</f>
        <v>22386.987296509556</v>
      </c>
      <c r="AZ570" s="4">
        <f>Base[[#This Row],['[SC']Budget_par_retraité]]*Base[[#This Row],['[SC']Nb_personnes_dépendantes]]</f>
        <v>0</v>
      </c>
      <c r="BA570" s="4">
        <f>Base[[#This Row],['[SC']'[Dépendance']Coût_retraite_personnes_dépendantes]]/Base[[#This Row],[Population_totale]]</f>
        <v>0</v>
      </c>
      <c r="BB5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0" s="4">
        <f>Base[[#This Row],['[SC']'[Dépendance']Gains]]-Base[[#This Row],['[SC']'[Dépendance']Coûts]]</f>
        <v>0</v>
      </c>
      <c r="BD570" s="4">
        <f>IF(Base[[#This Row],[Pathologie]]&lt;&gt;"Mort prématurée",0,Base[[#This Row],[Risque]]*Base[[#This Row],[Prévalence]]*Base[[#This Row],[Population_totale]])</f>
        <v>0</v>
      </c>
      <c r="BE570" s="4">
        <v>52.74</v>
      </c>
      <c r="BF570" s="4">
        <f>Base[[#This Row],['[SC']Âge_moyen_retraite]]-Base[[#This Row],['[SC']'[Mort_prématurée']Âge_moyen_mort précoce]]</f>
        <v>10.159999999999997</v>
      </c>
      <c r="BG570" s="4">
        <f>Base[[#This Row],[Espérance_vie]]+Base[[#This Row],['[SC']Hausse_esp_de_vie]]-Base[[#This Row],['[SC']Âge_moyen_retraite]]</f>
        <v>20.404874790994718</v>
      </c>
      <c r="BH570" s="4">
        <v>106583.42676924677</v>
      </c>
      <c r="BI570" s="4">
        <v>97601.789429271477</v>
      </c>
      <c r="BJ570" s="4">
        <v>302038.31496633729</v>
      </c>
      <c r="BK570" s="4">
        <v>117293.58934859755</v>
      </c>
      <c r="BL570" s="4">
        <v>1523999.9999999995</v>
      </c>
      <c r="BM5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0" s="4">
        <v>294804.96027377353</v>
      </c>
      <c r="BO5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0" s="4">
        <f>(Base[[#This Row],['[SC']'[Mort_prématurée']Gains]]-Base[[#This Row],['[SC']'[Mort_prématurée']Coûts]])/Base[[#This Row],[Population_totale]]</f>
        <v>0</v>
      </c>
      <c r="BQ570" s="4">
        <f>IF(Base[[#This Row],[Pathologie]]&lt;&gt;"Mort prématurée",0,Base[[#This Row],[Risque]])</f>
        <v>0</v>
      </c>
      <c r="BR570" s="4">
        <v>2680</v>
      </c>
      <c r="BS5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70" s="4">
        <f>Base[[#This Row],[Prévalence_prod]]*(1-Base[[#This Row],[Risque]])*Base[[#This Row],[Durée_arrêt]]*Base[[#This Row],[Population_emploi]]</f>
        <v>55523676.342057109</v>
      </c>
      <c r="BV570" s="4">
        <f>Base[[#This Row],['[Prod']'[Absentéisme']Total_jours_absence_avant]]-Base[[#This Row],['[Prod']'[Absentéisme']Total_jours_absence_après]]</f>
        <v>15616732.74885188</v>
      </c>
      <c r="BW570" s="4">
        <f>IF(AND(Base[[#This Row],[Pathologie]]&lt;&gt;"Dépendance",Base[[#This Row],[Pathologie]]&lt;&gt;"Mort prématurée",Base[[#This Row],[Pathologie]]&lt;&gt;"Migraine"),0.0619,0)</f>
        <v>6.1899999999999997E-2</v>
      </c>
      <c r="BX570" s="4">
        <v>254</v>
      </c>
      <c r="BY570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70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70" s="4">
        <f>Base[[#This Row],[Prévalence_prod]]*Base[[#This Row],[Présentéisme]]*Base[[#This Row],['[Prod']Jours_ouvrés]]</f>
        <v>5.6349899999999993</v>
      </c>
      <c r="CB570" s="4">
        <f>Base[[#This Row],[Prévalence_prod]]*(1-Base[[#This Row],[Risque]])*Base[[#This Row],[Présentéisme]]*Base[[#This Row],['[Prod']Jours_ouvrés]]</f>
        <v>4.3979977757916853</v>
      </c>
      <c r="CC570" s="4">
        <f>Base[[#This Row],['[Prod']'[Présentéisme']Jours_avant]]-Base[[#This Row],['[Prod']'[Présentéisme']Jours_après]]</f>
        <v>1.236992224208314</v>
      </c>
      <c r="CD570" s="4">
        <f>Base[[#This Row],['[Prod']'[Présentéisme']Jours_gagnés]]/Base[[#This Row],['[Prod']Jours_ouvrés]]</f>
        <v>4.8700481268043857E-3</v>
      </c>
      <c r="CE570">
        <v>9.3428413505841454E-2</v>
      </c>
      <c r="CF570">
        <v>2.1038737314955848E-2</v>
      </c>
      <c r="CG570" s="4">
        <v>11</v>
      </c>
      <c r="CH570" s="4">
        <v>0.60922528771817497</v>
      </c>
      <c r="CI570" s="4">
        <v>3.8601807163334179E-3</v>
      </c>
      <c r="CJ570" s="4">
        <f>IF(Base[[#This Row],[Secteur]]&lt;&gt;"Moyenne",Base[[#This Row],['[Prod']'[Turnover']DMC_initiale]]*(1+Base[[#This Row],['[Prod']'[Turnover']Ecart_accidents]]*Base[[#This Row],['[Prod']Impact_motifs_turnover]]),CJ553*CI553+CJ554*CI554+CJ555*CI555+CJ556*CI556+CJ557*CI557+CJ558*CI558+CJ559*CI559+CJ560*CI560+CJ561*CI561+CJ562*CI562+CJ563*CI563+CJ564*CI564+CJ565*CI565+CJ566*CI566+CJ567*CI567+CJ568*CI568+CJ569*CI569)</f>
        <v>11.140990638733241</v>
      </c>
      <c r="CK570" s="4">
        <f>1/Base[[#This Row],['[Prod']'[Turnover']DMC_initiale]]</f>
        <v>9.0909090909090912E-2</v>
      </c>
      <c r="CL570" s="4">
        <f>1/Base[[#This Row],['[Prod']'[Turnover']DMC_finale]]</f>
        <v>8.9758624921859057E-2</v>
      </c>
    </row>
    <row r="571" spans="2:90" x14ac:dyDescent="0.25">
      <c r="B571" s="4" t="s">
        <v>329</v>
      </c>
      <c r="C571">
        <v>30</v>
      </c>
      <c r="D571" t="s">
        <v>85</v>
      </c>
      <c r="E571" t="s">
        <v>9</v>
      </c>
      <c r="F571" s="3">
        <v>0.21951986147416674</v>
      </c>
      <c r="G571" s="3">
        <v>0.14499999999999999</v>
      </c>
      <c r="H571" s="3">
        <v>0.14499999999999999</v>
      </c>
      <c r="I571" s="3">
        <v>0.153</v>
      </c>
      <c r="J571" s="3">
        <v>29.93</v>
      </c>
      <c r="K571" s="3">
        <v>7.0000000000000007E-2</v>
      </c>
      <c r="L571" s="2">
        <f>Base[[#This Row],[Coût]]*Base[[#This Row],[Part_ménages_dépenses_santé]]</f>
        <v>2.0951</v>
      </c>
      <c r="M571" s="2">
        <v>0.82690611956969029</v>
      </c>
      <c r="N571" s="6">
        <v>27700000</v>
      </c>
      <c r="O571" s="7">
        <f>Base[[#This Row],[Coût_salarié]]*10^9*Base[[#This Row],[Risque]]*Base[[#This Row],[Prévalence]]*Base[[#This Row],[Part_coûts_salarié]]/Base[[#This Row],[Population_emploi]]</f>
        <v>1.9907788399138429</v>
      </c>
      <c r="P571">
        <v>50</v>
      </c>
      <c r="Q571">
        <v>50</v>
      </c>
      <c r="R571" s="2">
        <v>9.9999999999999978E-2</v>
      </c>
      <c r="S571" s="2">
        <v>0.33340000000000003</v>
      </c>
      <c r="T571" s="4">
        <v>0.14499999999999999</v>
      </c>
      <c r="U571" s="4">
        <f>IF(Bases_annexes!$F$5=0,16.6587111018772,0.77*Bases_annexes!$F$5/(IF(OR(ISBLANK('Données_d''entrée'!$E$44),'Données_d''entrée'!$E$44=0),35,'Données_d''entrée'!$E$44)*52))</f>
        <v>16.658711101877199</v>
      </c>
      <c r="V571" s="4">
        <v>17.7120401072847</v>
      </c>
      <c r="W5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71" s="4">
        <v>234.5</v>
      </c>
      <c r="Y571" s="4">
        <f>(Base[[#This Row],['[Maladies']Coûts_évités_par_salarié]]+Base[[#This Row],['[Travail']Coûts_évités_par_salarié]])/Base[[#This Row],[Budget_santé_salarié]]</f>
        <v>7.9261694897501206E-2</v>
      </c>
      <c r="Z571" s="4">
        <v>0.8</v>
      </c>
      <c r="AA571" s="4">
        <f>Base[[#This Row],[Coût]]*Base[[#This Row],[Part_société_dépenses_santé]]</f>
        <v>23.944000000000003</v>
      </c>
      <c r="AB571" s="4">
        <v>67635124</v>
      </c>
      <c r="AC571" s="4">
        <v>82.297079063317852</v>
      </c>
      <c r="AD571" s="4">
        <v>0.14499999999999999</v>
      </c>
      <c r="AE571" s="4">
        <f>Base[[#This Row],['[SC']Prévalence_travail]]*Base[[#This Row],[Population_emploi]]</f>
        <v>4016499.9999999995</v>
      </c>
      <c r="AF571" s="4">
        <f>Base[[#This Row],[Risque]]*Base[[#This Row],['[SC']Patients_en_emploi]]</f>
        <v>881701.52361099061</v>
      </c>
      <c r="AG571" s="4">
        <v>5730042552.54</v>
      </c>
      <c r="AH571" s="4">
        <f>IFERROR(Base[[#This Row],['[SC']Prestations]]/Base[[#This Row],['[SC']Patients_en_emploi]],0)</f>
        <v>1426.625806682435</v>
      </c>
      <c r="AI571" s="4">
        <v>51.7</v>
      </c>
      <c r="AJ5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71" s="4">
        <f>Base[[#This Row],['[SC']'[Travail']Coûts_évités]]/Base[[#This Row],[Population_emploi]]</f>
        <v>45.410041421467923</v>
      </c>
      <c r="AL571" s="4">
        <f>Base[[#This Row],[Coût_société]]*10^9*Base[[#This Row],[Risque]]*Base[[#This Row],[Prévalence]]*Base[[#This Row],[Part_coûts_salarié]]/Base[[#This Row],[Population_emploi]]</f>
        <v>22.751758170443921</v>
      </c>
      <c r="AM571" s="4">
        <f>IF(Base[[#This Row],[Pathologie]]&lt;&gt;"Dépendance",0,14909.24243952)</f>
        <v>0</v>
      </c>
      <c r="AN571" s="4">
        <f>IF(Base[[#This Row],[Pathologie]]&lt;&gt;"Dépendance",0,1316000)</f>
        <v>0</v>
      </c>
      <c r="AO571" s="4">
        <f>IF(Base[[#This Row],[Pathologie]]&lt;&gt;"Dépendance",0,Base[[#This Row],['[SC']Coût_personne_dépendante]]*Base[[#This Row],['[SC']Nb_personnes_dépendantes]])</f>
        <v>0</v>
      </c>
      <c r="AP571" s="4">
        <f>IF(Base[[#This Row],[Pathologie]]&lt;&gt;"Dépendance",0,Base[[#This Row],['[SC']Coût_total_dépendance]]/Base[[#This Row],[Population_totale]])</f>
        <v>0</v>
      </c>
      <c r="AQ571" s="4">
        <f>IF(Base[[#This Row],[Pathologie]]&lt;&gt;"Dépendance",0,4.5)</f>
        <v>0</v>
      </c>
      <c r="AR571" s="4">
        <v>1.0077957276768601</v>
      </c>
      <c r="AS571" s="4">
        <f>Base[[#This Row],[Espérance_vie]]+Base[[#This Row],['[SC']Hausse_esp_de_vie]]-Base[[#This Row],['[SC']Durée_moyenne_dépendance_avt]]+Base[[#This Row],[Risque]]</f>
        <v>83.524394652468885</v>
      </c>
      <c r="AT5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1" s="4">
        <v>62.9</v>
      </c>
      <c r="AW571" s="4">
        <f t="shared" si="17"/>
        <v>336905600000</v>
      </c>
      <c r="AX571" s="4">
        <v>15049171</v>
      </c>
      <c r="AY571" s="4">
        <f>Base[[#This Row],['[SC']Budget_total_retraites]]/Base[[#This Row],['[SC']Nombre_de_retraités]]</f>
        <v>22386.987296509556</v>
      </c>
      <c r="AZ571" s="4">
        <f>Base[[#This Row],['[SC']Budget_par_retraité]]*Base[[#This Row],['[SC']Nb_personnes_dépendantes]]</f>
        <v>0</v>
      </c>
      <c r="BA571" s="4">
        <f>Base[[#This Row],['[SC']'[Dépendance']Coût_retraite_personnes_dépendantes]]/Base[[#This Row],[Population_totale]]</f>
        <v>0</v>
      </c>
      <c r="BB5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1" s="4">
        <f>Base[[#This Row],['[SC']'[Dépendance']Gains]]-Base[[#This Row],['[SC']'[Dépendance']Coûts]]</f>
        <v>0</v>
      </c>
      <c r="BD571" s="4">
        <f>IF(Base[[#This Row],[Pathologie]]&lt;&gt;"Mort prématurée",0,Base[[#This Row],[Risque]]*Base[[#This Row],[Prévalence]]*Base[[#This Row],[Population_totale]])</f>
        <v>0</v>
      </c>
      <c r="BE571" s="4">
        <v>52.74</v>
      </c>
      <c r="BF571" s="4">
        <f>Base[[#This Row],['[SC']Âge_moyen_retraite]]-Base[[#This Row],['[SC']'[Mort_prématurée']Âge_moyen_mort précoce]]</f>
        <v>10.159999999999997</v>
      </c>
      <c r="BG571" s="4">
        <f>Base[[#This Row],[Espérance_vie]]+Base[[#This Row],['[SC']Hausse_esp_de_vie]]-Base[[#This Row],['[SC']Âge_moyen_retraite]]</f>
        <v>20.404874790994718</v>
      </c>
      <c r="BH571" s="4">
        <v>106583.42676924677</v>
      </c>
      <c r="BI571" s="4">
        <v>97601.789429271477</v>
      </c>
      <c r="BJ571" s="4">
        <v>302038.31496633729</v>
      </c>
      <c r="BK571" s="4">
        <v>117293.58934859755</v>
      </c>
      <c r="BL571" s="4">
        <v>1523999.9999999995</v>
      </c>
      <c r="BM5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1" s="4">
        <v>294804.96027377353</v>
      </c>
      <c r="BO5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1" s="4">
        <f>(Base[[#This Row],['[SC']'[Mort_prématurée']Gains]]-Base[[#This Row],['[SC']'[Mort_prématurée']Coûts]])/Base[[#This Row],[Population_totale]]</f>
        <v>0</v>
      </c>
      <c r="BQ571" s="4">
        <f>IF(Base[[#This Row],[Pathologie]]&lt;&gt;"Mort prématurée",0,Base[[#This Row],[Risque]])</f>
        <v>0</v>
      </c>
      <c r="BR571" s="4">
        <v>2680</v>
      </c>
      <c r="BS5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71" s="4">
        <f>Base[[#This Row],[Prévalence_prod]]*(1-Base[[#This Row],[Risque]])*Base[[#This Row],[Durée_arrêt]]*Base[[#This Row],[Population_emploi]]</f>
        <v>55523676.342057109</v>
      </c>
      <c r="BV571" s="4">
        <f>Base[[#This Row],['[Prod']'[Absentéisme']Total_jours_absence_avant]]-Base[[#This Row],['[Prod']'[Absentéisme']Total_jours_absence_après]]</f>
        <v>15616732.74885188</v>
      </c>
      <c r="BW571" s="4">
        <f>IF(AND(Base[[#This Row],[Pathologie]]&lt;&gt;"Dépendance",Base[[#This Row],[Pathologie]]&lt;&gt;"Mort prématurée",Base[[#This Row],[Pathologie]]&lt;&gt;"Migraine"),0.0619,0)</f>
        <v>6.1899999999999997E-2</v>
      </c>
      <c r="BX571" s="4">
        <v>254</v>
      </c>
      <c r="BY571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71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71" s="4">
        <f>Base[[#This Row],[Prévalence_prod]]*Base[[#This Row],[Présentéisme]]*Base[[#This Row],['[Prod']Jours_ouvrés]]</f>
        <v>5.6349899999999993</v>
      </c>
      <c r="CB571" s="4">
        <f>Base[[#This Row],[Prévalence_prod]]*(1-Base[[#This Row],[Risque]])*Base[[#This Row],[Présentéisme]]*Base[[#This Row],['[Prod']Jours_ouvrés]]</f>
        <v>4.3979977757916853</v>
      </c>
      <c r="CC571" s="4">
        <f>Base[[#This Row],['[Prod']'[Présentéisme']Jours_avant]]-Base[[#This Row],['[Prod']'[Présentéisme']Jours_après]]</f>
        <v>1.236992224208314</v>
      </c>
      <c r="CD571" s="4">
        <f>Base[[#This Row],['[Prod']'[Présentéisme']Jours_gagnés]]/Base[[#This Row],['[Prod']Jours_ouvrés]]</f>
        <v>4.8700481268043857E-3</v>
      </c>
      <c r="CE571">
        <v>9.3428413505841454E-2</v>
      </c>
      <c r="CF571">
        <v>2.1038737314955848E-2</v>
      </c>
      <c r="CG571" s="4">
        <v>11</v>
      </c>
      <c r="CH571" s="4">
        <v>0.78414927716175975</v>
      </c>
      <c r="CI571" s="4">
        <v>0.12835819090128339</v>
      </c>
      <c r="CJ571" s="4">
        <f>IF(Base[[#This Row],[Secteur]]&lt;&gt;"Moyenne",Base[[#This Row],['[Prod']'[Turnover']DMC_initiale]]*(1+Base[[#This Row],['[Prod']'[Turnover']Ecart_accidents]]*Base[[#This Row],['[Prod']Impact_motifs_turnover]]),CJ554*CI554+CJ555*CI555+CJ556*CI556+CJ557*CI557+CJ558*CI558+CJ559*CI559+CJ560*CI560+CJ561*CI561+CJ562*CI562+CJ563*CI563+CJ564*CI564+CJ565*CI565+CJ566*CI566+CJ567*CI567+CJ568*CI568+CJ569*CI569+CJ570*CI570)</f>
        <v>11.181472617237107</v>
      </c>
      <c r="CK571" s="4">
        <f>1/Base[[#This Row],['[Prod']'[Turnover']DMC_initiale]]</f>
        <v>9.0909090909090912E-2</v>
      </c>
      <c r="CL571" s="4">
        <f>1/Base[[#This Row],['[Prod']'[Turnover']DMC_finale]]</f>
        <v>8.9433658180088235E-2</v>
      </c>
    </row>
    <row r="572" spans="2:90" x14ac:dyDescent="0.25">
      <c r="B572" s="4" t="s">
        <v>330</v>
      </c>
      <c r="C572">
        <v>30</v>
      </c>
      <c r="D572" t="s">
        <v>85</v>
      </c>
      <c r="E572" t="s">
        <v>9</v>
      </c>
      <c r="F572" s="3">
        <v>0.21951986147416674</v>
      </c>
      <c r="G572" s="3">
        <v>0.14499999999999999</v>
      </c>
      <c r="H572" s="3">
        <v>0.14499999999999999</v>
      </c>
      <c r="I572" s="3">
        <v>0.153</v>
      </c>
      <c r="J572" s="3">
        <v>29.93</v>
      </c>
      <c r="K572" s="3">
        <v>7.0000000000000007E-2</v>
      </c>
      <c r="L572" s="2">
        <f>Base[[#This Row],[Coût]]*Base[[#This Row],[Part_ménages_dépenses_santé]]</f>
        <v>2.0951</v>
      </c>
      <c r="M572" s="2">
        <v>0.82690611956969029</v>
      </c>
      <c r="N572" s="6">
        <v>27700000</v>
      </c>
      <c r="O572" s="7">
        <f>Base[[#This Row],[Coût_salarié]]*10^9*Base[[#This Row],[Risque]]*Base[[#This Row],[Prévalence]]*Base[[#This Row],[Part_coûts_salarié]]/Base[[#This Row],[Population_emploi]]</f>
        <v>1.9907788399138429</v>
      </c>
      <c r="P572">
        <v>50</v>
      </c>
      <c r="Q572">
        <v>50</v>
      </c>
      <c r="R572" s="2">
        <v>9.9999999999999978E-2</v>
      </c>
      <c r="S572" s="2">
        <v>0.33340000000000003</v>
      </c>
      <c r="T572" s="4">
        <v>0.14499999999999999</v>
      </c>
      <c r="U572" s="4">
        <f>IF(Bases_annexes!$F$5=0,16.6587111018772,0.77*Bases_annexes!$F$5/(IF(OR(ISBLANK('Données_d''entrée'!$E$44),'Données_d''entrée'!$E$44=0),35,'Données_d''entrée'!$E$44)*52))</f>
        <v>16.658711101877199</v>
      </c>
      <c r="V572" s="4">
        <v>17.7120401072847</v>
      </c>
      <c r="W5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72" s="4">
        <v>234.5</v>
      </c>
      <c r="Y572" s="4">
        <f>(Base[[#This Row],['[Maladies']Coûts_évités_par_salarié]]+Base[[#This Row],['[Travail']Coûts_évités_par_salarié]])/Base[[#This Row],[Budget_santé_salarié]]</f>
        <v>7.9261694897501206E-2</v>
      </c>
      <c r="Z572" s="4">
        <v>0.8</v>
      </c>
      <c r="AA572" s="4">
        <f>Base[[#This Row],[Coût]]*Base[[#This Row],[Part_société_dépenses_santé]]</f>
        <v>23.944000000000003</v>
      </c>
      <c r="AB572" s="4">
        <v>67635124</v>
      </c>
      <c r="AC572" s="4">
        <v>82.297079063317852</v>
      </c>
      <c r="AD572" s="4">
        <v>0.14499999999999999</v>
      </c>
      <c r="AE572" s="4">
        <f>Base[[#This Row],['[SC']Prévalence_travail]]*Base[[#This Row],[Population_emploi]]</f>
        <v>4016499.9999999995</v>
      </c>
      <c r="AF572" s="4">
        <f>Base[[#This Row],[Risque]]*Base[[#This Row],['[SC']Patients_en_emploi]]</f>
        <v>881701.52361099061</v>
      </c>
      <c r="AG572" s="4">
        <v>5730042552.54</v>
      </c>
      <c r="AH572" s="4">
        <f>IFERROR(Base[[#This Row],['[SC']Prestations]]/Base[[#This Row],['[SC']Patients_en_emploi]],0)</f>
        <v>1426.625806682435</v>
      </c>
      <c r="AI572" s="4">
        <v>51.7</v>
      </c>
      <c r="AJ5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72" s="4">
        <f>Base[[#This Row],['[SC']'[Travail']Coûts_évités]]/Base[[#This Row],[Population_emploi]]</f>
        <v>45.410041421467923</v>
      </c>
      <c r="AL572" s="4">
        <f>Base[[#This Row],[Coût_société]]*10^9*Base[[#This Row],[Risque]]*Base[[#This Row],[Prévalence]]*Base[[#This Row],[Part_coûts_salarié]]/Base[[#This Row],[Population_emploi]]</f>
        <v>22.751758170443921</v>
      </c>
      <c r="AM572" s="4">
        <f>IF(Base[[#This Row],[Pathologie]]&lt;&gt;"Dépendance",0,14909.24243952)</f>
        <v>0</v>
      </c>
      <c r="AN572" s="4">
        <f>IF(Base[[#This Row],[Pathologie]]&lt;&gt;"Dépendance",0,1316000)</f>
        <v>0</v>
      </c>
      <c r="AO572" s="4">
        <f>IF(Base[[#This Row],[Pathologie]]&lt;&gt;"Dépendance",0,Base[[#This Row],['[SC']Coût_personne_dépendante]]*Base[[#This Row],['[SC']Nb_personnes_dépendantes]])</f>
        <v>0</v>
      </c>
      <c r="AP572" s="4">
        <f>IF(Base[[#This Row],[Pathologie]]&lt;&gt;"Dépendance",0,Base[[#This Row],['[SC']Coût_total_dépendance]]/Base[[#This Row],[Population_totale]])</f>
        <v>0</v>
      </c>
      <c r="AQ572" s="4">
        <f>IF(Base[[#This Row],[Pathologie]]&lt;&gt;"Dépendance",0,4.5)</f>
        <v>0</v>
      </c>
      <c r="AR572" s="4">
        <v>1.0077957276768601</v>
      </c>
      <c r="AS572" s="4">
        <f>Base[[#This Row],[Espérance_vie]]+Base[[#This Row],['[SC']Hausse_esp_de_vie]]-Base[[#This Row],['[SC']Durée_moyenne_dépendance_avt]]+Base[[#This Row],[Risque]]</f>
        <v>83.524394652468885</v>
      </c>
      <c r="AT5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2" s="4">
        <v>62.9</v>
      </c>
      <c r="AW572" s="4">
        <f t="shared" si="17"/>
        <v>336905600000</v>
      </c>
      <c r="AX572" s="4">
        <v>15049171</v>
      </c>
      <c r="AY572" s="4">
        <f>Base[[#This Row],['[SC']Budget_total_retraites]]/Base[[#This Row],['[SC']Nombre_de_retraités]]</f>
        <v>22386.987296509556</v>
      </c>
      <c r="AZ572" s="4">
        <f>Base[[#This Row],['[SC']Budget_par_retraité]]*Base[[#This Row],['[SC']Nb_personnes_dépendantes]]</f>
        <v>0</v>
      </c>
      <c r="BA572" s="4">
        <f>Base[[#This Row],['[SC']'[Dépendance']Coût_retraite_personnes_dépendantes]]/Base[[#This Row],[Population_totale]]</f>
        <v>0</v>
      </c>
      <c r="BB5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2" s="4">
        <f>Base[[#This Row],['[SC']'[Dépendance']Gains]]-Base[[#This Row],['[SC']'[Dépendance']Coûts]]</f>
        <v>0</v>
      </c>
      <c r="BD572" s="4">
        <f>IF(Base[[#This Row],[Pathologie]]&lt;&gt;"Mort prématurée",0,Base[[#This Row],[Risque]]*Base[[#This Row],[Prévalence]]*Base[[#This Row],[Population_totale]])</f>
        <v>0</v>
      </c>
      <c r="BE572" s="4">
        <v>52.74</v>
      </c>
      <c r="BF572" s="4">
        <f>Base[[#This Row],['[SC']Âge_moyen_retraite]]-Base[[#This Row],['[SC']'[Mort_prématurée']Âge_moyen_mort précoce]]</f>
        <v>10.159999999999997</v>
      </c>
      <c r="BG572" s="4">
        <f>Base[[#This Row],[Espérance_vie]]+Base[[#This Row],['[SC']Hausse_esp_de_vie]]-Base[[#This Row],['[SC']Âge_moyen_retraite]]</f>
        <v>20.404874790994718</v>
      </c>
      <c r="BH572" s="4">
        <v>106583.42676924677</v>
      </c>
      <c r="BI572" s="4">
        <v>97601.789429271477</v>
      </c>
      <c r="BJ572" s="4">
        <v>302038.31496633729</v>
      </c>
      <c r="BK572" s="4">
        <v>117293.58934859755</v>
      </c>
      <c r="BL572" s="4">
        <v>1523999.9999999995</v>
      </c>
      <c r="BM5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2" s="4">
        <v>294804.96027377353</v>
      </c>
      <c r="BO5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2" s="4">
        <f>(Base[[#This Row],['[SC']'[Mort_prématurée']Gains]]-Base[[#This Row],['[SC']'[Mort_prématurée']Coûts]])/Base[[#This Row],[Population_totale]]</f>
        <v>0</v>
      </c>
      <c r="BQ572" s="4">
        <f>IF(Base[[#This Row],[Pathologie]]&lt;&gt;"Mort prématurée",0,Base[[#This Row],[Risque]])</f>
        <v>0</v>
      </c>
      <c r="BR572" s="4">
        <v>2680</v>
      </c>
      <c r="BS5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72" s="4">
        <f>Base[[#This Row],[Prévalence_prod]]*(1-Base[[#This Row],[Risque]])*Base[[#This Row],[Durée_arrêt]]*Base[[#This Row],[Population_emploi]]</f>
        <v>55523676.342057109</v>
      </c>
      <c r="BV572" s="4">
        <f>Base[[#This Row],['[Prod']'[Absentéisme']Total_jours_absence_avant]]-Base[[#This Row],['[Prod']'[Absentéisme']Total_jours_absence_après]]</f>
        <v>15616732.74885188</v>
      </c>
      <c r="BW572" s="4">
        <f>IF(AND(Base[[#This Row],[Pathologie]]&lt;&gt;"Dépendance",Base[[#This Row],[Pathologie]]&lt;&gt;"Mort prématurée",Base[[#This Row],[Pathologie]]&lt;&gt;"Migraine"),0.0619,0)</f>
        <v>6.1899999999999997E-2</v>
      </c>
      <c r="BX572" s="4">
        <v>254</v>
      </c>
      <c r="BY572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72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72" s="4">
        <f>Base[[#This Row],[Prévalence_prod]]*Base[[#This Row],[Présentéisme]]*Base[[#This Row],['[Prod']Jours_ouvrés]]</f>
        <v>5.6349899999999993</v>
      </c>
      <c r="CB572" s="4">
        <f>Base[[#This Row],[Prévalence_prod]]*(1-Base[[#This Row],[Risque]])*Base[[#This Row],[Présentéisme]]*Base[[#This Row],['[Prod']Jours_ouvrés]]</f>
        <v>4.3979977757916853</v>
      </c>
      <c r="CC572" s="4">
        <f>Base[[#This Row],['[Prod']'[Présentéisme']Jours_avant]]-Base[[#This Row],['[Prod']'[Présentéisme']Jours_après]]</f>
        <v>1.236992224208314</v>
      </c>
      <c r="CD572" s="4">
        <f>Base[[#This Row],['[Prod']'[Présentéisme']Jours_gagnés]]/Base[[#This Row],['[Prod']Jours_ouvrés]]</f>
        <v>4.8700481268043857E-3</v>
      </c>
      <c r="CE572">
        <v>9.3428413505841454E-2</v>
      </c>
      <c r="CF572">
        <v>2.1038737314955848E-2</v>
      </c>
      <c r="CG572" s="4">
        <v>11</v>
      </c>
      <c r="CH572" s="4">
        <v>0.99648427619813984</v>
      </c>
      <c r="CI572" s="4">
        <v>0.42377466100567313</v>
      </c>
      <c r="CJ572" s="4">
        <f>IF(Base[[#This Row],[Secteur]]&lt;&gt;"Moyenne",Base[[#This Row],['[Prod']'[Turnover']DMC_initiale]]*(1+Base[[#This Row],['[Prod']'[Turnover']Ecart_accidents]]*Base[[#This Row],['[Prod']Impact_motifs_turnover]]),CJ555*CI555+CJ556*CI556+CJ557*CI557+CJ558*CI558+CJ559*CI559+CJ560*CI560+CJ561*CI561+CJ562*CI562+CJ563*CI563+CJ564*CI564+CJ565*CI565+CJ566*CI566+CJ567*CI567+CJ568*CI568+CJ569*CI569+CJ570*CI570+CJ571*CI571)</f>
        <v>11.230612480179582</v>
      </c>
      <c r="CK572" s="4">
        <f>1/Base[[#This Row],['[Prod']'[Turnover']DMC_initiale]]</f>
        <v>9.0909090909090912E-2</v>
      </c>
      <c r="CL572" s="4">
        <f>1/Base[[#This Row],['[Prod']'[Turnover']DMC_finale]]</f>
        <v>8.9042338676083466E-2</v>
      </c>
    </row>
    <row r="573" spans="2:90" x14ac:dyDescent="0.25">
      <c r="B573" s="4" t="s">
        <v>331</v>
      </c>
      <c r="C573">
        <v>30</v>
      </c>
      <c r="D573" t="s">
        <v>85</v>
      </c>
      <c r="E573" t="s">
        <v>9</v>
      </c>
      <c r="F573" s="3">
        <v>0.21951986147416674</v>
      </c>
      <c r="G573" s="3">
        <v>0.14499999999999999</v>
      </c>
      <c r="H573" s="3">
        <v>0.14499999999999999</v>
      </c>
      <c r="I573" s="3">
        <v>0.153</v>
      </c>
      <c r="J573" s="3">
        <v>29.93</v>
      </c>
      <c r="K573" s="3">
        <v>7.0000000000000007E-2</v>
      </c>
      <c r="L573" s="2">
        <f>Base[[#This Row],[Coût]]*Base[[#This Row],[Part_ménages_dépenses_santé]]</f>
        <v>2.0951</v>
      </c>
      <c r="M573" s="2">
        <v>0.82690611956969029</v>
      </c>
      <c r="N573" s="6">
        <v>27700000</v>
      </c>
      <c r="O573" s="7">
        <f>Base[[#This Row],[Coût_salarié]]*10^9*Base[[#This Row],[Risque]]*Base[[#This Row],[Prévalence]]*Base[[#This Row],[Part_coûts_salarié]]/Base[[#This Row],[Population_emploi]]</f>
        <v>1.9907788399138429</v>
      </c>
      <c r="P573">
        <v>50</v>
      </c>
      <c r="Q573">
        <v>50</v>
      </c>
      <c r="R573" s="2">
        <v>9.9999999999999978E-2</v>
      </c>
      <c r="S573" s="2">
        <v>0.33340000000000003</v>
      </c>
      <c r="T573" s="4">
        <v>0.14499999999999999</v>
      </c>
      <c r="U573" s="4">
        <f>IF(Bases_annexes!$F$5=0,16.6587111018772,0.77*Bases_annexes!$F$5/(IF(OR(ISBLANK('Données_d''entrée'!$E$44),'Données_d''entrée'!$E$44=0),35,'Données_d''entrée'!$E$44)*52))</f>
        <v>16.658711101877199</v>
      </c>
      <c r="V573" s="4">
        <v>17.7120401072847</v>
      </c>
      <c r="W5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73" s="4">
        <v>234.5</v>
      </c>
      <c r="Y573" s="4">
        <f>(Base[[#This Row],['[Maladies']Coûts_évités_par_salarié]]+Base[[#This Row],['[Travail']Coûts_évités_par_salarié]])/Base[[#This Row],[Budget_santé_salarié]]</f>
        <v>7.9261694897501206E-2</v>
      </c>
      <c r="Z573" s="4">
        <v>0.8</v>
      </c>
      <c r="AA573" s="4">
        <f>Base[[#This Row],[Coût]]*Base[[#This Row],[Part_société_dépenses_santé]]</f>
        <v>23.944000000000003</v>
      </c>
      <c r="AB573" s="4">
        <v>67635124</v>
      </c>
      <c r="AC573" s="4">
        <v>82.297079063317852</v>
      </c>
      <c r="AD573" s="4">
        <v>0.14499999999999999</v>
      </c>
      <c r="AE573" s="4">
        <f>Base[[#This Row],['[SC']Prévalence_travail]]*Base[[#This Row],[Population_emploi]]</f>
        <v>4016499.9999999995</v>
      </c>
      <c r="AF573" s="4">
        <f>Base[[#This Row],[Risque]]*Base[[#This Row],['[SC']Patients_en_emploi]]</f>
        <v>881701.52361099061</v>
      </c>
      <c r="AG573" s="4">
        <v>5730042552.54</v>
      </c>
      <c r="AH573" s="4">
        <f>IFERROR(Base[[#This Row],['[SC']Prestations]]/Base[[#This Row],['[SC']Patients_en_emploi]],0)</f>
        <v>1426.625806682435</v>
      </c>
      <c r="AI573" s="4">
        <v>51.7</v>
      </c>
      <c r="AJ5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73" s="4">
        <f>Base[[#This Row],['[SC']'[Travail']Coûts_évités]]/Base[[#This Row],[Population_emploi]]</f>
        <v>45.410041421467923</v>
      </c>
      <c r="AL573" s="4">
        <f>Base[[#This Row],[Coût_société]]*10^9*Base[[#This Row],[Risque]]*Base[[#This Row],[Prévalence]]*Base[[#This Row],[Part_coûts_salarié]]/Base[[#This Row],[Population_emploi]]</f>
        <v>22.751758170443921</v>
      </c>
      <c r="AM573" s="4">
        <f>IF(Base[[#This Row],[Pathologie]]&lt;&gt;"Dépendance",0,14909.24243952)</f>
        <v>0</v>
      </c>
      <c r="AN573" s="4">
        <f>IF(Base[[#This Row],[Pathologie]]&lt;&gt;"Dépendance",0,1316000)</f>
        <v>0</v>
      </c>
      <c r="AO573" s="4">
        <f>IF(Base[[#This Row],[Pathologie]]&lt;&gt;"Dépendance",0,Base[[#This Row],['[SC']Coût_personne_dépendante]]*Base[[#This Row],['[SC']Nb_personnes_dépendantes]])</f>
        <v>0</v>
      </c>
      <c r="AP573" s="4">
        <f>IF(Base[[#This Row],[Pathologie]]&lt;&gt;"Dépendance",0,Base[[#This Row],['[SC']Coût_total_dépendance]]/Base[[#This Row],[Population_totale]])</f>
        <v>0</v>
      </c>
      <c r="AQ573" s="4">
        <f>IF(Base[[#This Row],[Pathologie]]&lt;&gt;"Dépendance",0,4.5)</f>
        <v>0</v>
      </c>
      <c r="AR573" s="4">
        <v>1.0077957276768601</v>
      </c>
      <c r="AS573" s="4">
        <f>Base[[#This Row],[Espérance_vie]]+Base[[#This Row],['[SC']Hausse_esp_de_vie]]-Base[[#This Row],['[SC']Durée_moyenne_dépendance_avt]]+Base[[#This Row],[Risque]]</f>
        <v>83.524394652468885</v>
      </c>
      <c r="AT5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3" s="4">
        <v>62.9</v>
      </c>
      <c r="AW573" s="4">
        <f t="shared" si="17"/>
        <v>336905600000</v>
      </c>
      <c r="AX573" s="4">
        <v>15049171</v>
      </c>
      <c r="AY573" s="4">
        <f>Base[[#This Row],['[SC']Budget_total_retraites]]/Base[[#This Row],['[SC']Nombre_de_retraités]]</f>
        <v>22386.987296509556</v>
      </c>
      <c r="AZ573" s="4">
        <f>Base[[#This Row],['[SC']Budget_par_retraité]]*Base[[#This Row],['[SC']Nb_personnes_dépendantes]]</f>
        <v>0</v>
      </c>
      <c r="BA573" s="4">
        <f>Base[[#This Row],['[SC']'[Dépendance']Coût_retraite_personnes_dépendantes]]/Base[[#This Row],[Population_totale]]</f>
        <v>0</v>
      </c>
      <c r="BB5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3" s="4">
        <f>Base[[#This Row],['[SC']'[Dépendance']Gains]]-Base[[#This Row],['[SC']'[Dépendance']Coûts]]</f>
        <v>0</v>
      </c>
      <c r="BD573" s="4">
        <f>IF(Base[[#This Row],[Pathologie]]&lt;&gt;"Mort prématurée",0,Base[[#This Row],[Risque]]*Base[[#This Row],[Prévalence]]*Base[[#This Row],[Population_totale]])</f>
        <v>0</v>
      </c>
      <c r="BE573" s="4">
        <v>52.74</v>
      </c>
      <c r="BF573" s="4">
        <f>Base[[#This Row],['[SC']Âge_moyen_retraite]]-Base[[#This Row],['[SC']'[Mort_prématurée']Âge_moyen_mort précoce]]</f>
        <v>10.159999999999997</v>
      </c>
      <c r="BG573" s="4">
        <f>Base[[#This Row],[Espérance_vie]]+Base[[#This Row],['[SC']Hausse_esp_de_vie]]-Base[[#This Row],['[SC']Âge_moyen_retraite]]</f>
        <v>20.404874790994718</v>
      </c>
      <c r="BH573" s="4">
        <v>106583.42676924677</v>
      </c>
      <c r="BI573" s="4">
        <v>97601.789429271477</v>
      </c>
      <c r="BJ573" s="4">
        <v>302038.31496633729</v>
      </c>
      <c r="BK573" s="4">
        <v>117293.58934859755</v>
      </c>
      <c r="BL573" s="4">
        <v>1523999.9999999995</v>
      </c>
      <c r="BM5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3" s="4">
        <v>294804.96027377353</v>
      </c>
      <c r="BO5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3" s="4">
        <f>(Base[[#This Row],['[SC']'[Mort_prématurée']Gains]]-Base[[#This Row],['[SC']'[Mort_prématurée']Coûts]])/Base[[#This Row],[Population_totale]]</f>
        <v>0</v>
      </c>
      <c r="BQ573" s="4">
        <f>IF(Base[[#This Row],[Pathologie]]&lt;&gt;"Mort prématurée",0,Base[[#This Row],[Risque]])</f>
        <v>0</v>
      </c>
      <c r="BR573" s="4">
        <v>2680</v>
      </c>
      <c r="BS5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73" s="4">
        <f>Base[[#This Row],[Prévalence_prod]]*(1-Base[[#This Row],[Risque]])*Base[[#This Row],[Durée_arrêt]]*Base[[#This Row],[Population_emploi]]</f>
        <v>55523676.342057109</v>
      </c>
      <c r="BV573" s="4">
        <f>Base[[#This Row],['[Prod']'[Absentéisme']Total_jours_absence_avant]]-Base[[#This Row],['[Prod']'[Absentéisme']Total_jours_absence_après]]</f>
        <v>15616732.74885188</v>
      </c>
      <c r="BW573" s="4">
        <f>IF(AND(Base[[#This Row],[Pathologie]]&lt;&gt;"Dépendance",Base[[#This Row],[Pathologie]]&lt;&gt;"Mort prématurée",Base[[#This Row],[Pathologie]]&lt;&gt;"Migraine"),0.0619,0)</f>
        <v>6.1899999999999997E-2</v>
      </c>
      <c r="BX573" s="4">
        <v>254</v>
      </c>
      <c r="BY573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73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73" s="4">
        <f>Base[[#This Row],[Prévalence_prod]]*Base[[#This Row],[Présentéisme]]*Base[[#This Row],['[Prod']Jours_ouvrés]]</f>
        <v>5.6349899999999993</v>
      </c>
      <c r="CB573" s="4">
        <f>Base[[#This Row],[Prévalence_prod]]*(1-Base[[#This Row],[Risque]])*Base[[#This Row],[Présentéisme]]*Base[[#This Row],['[Prod']Jours_ouvrés]]</f>
        <v>4.3979977757916853</v>
      </c>
      <c r="CC573" s="4">
        <f>Base[[#This Row],['[Prod']'[Présentéisme']Jours_avant]]-Base[[#This Row],['[Prod']'[Présentéisme']Jours_après]]</f>
        <v>1.236992224208314</v>
      </c>
      <c r="CD573" s="4">
        <f>Base[[#This Row],['[Prod']'[Présentéisme']Jours_gagnés]]/Base[[#This Row],['[Prod']Jours_ouvrés]]</f>
        <v>4.8700481268043857E-3</v>
      </c>
      <c r="CE573">
        <v>9.3428413505841454E-2</v>
      </c>
      <c r="CF573">
        <v>2.1038737314955848E-2</v>
      </c>
      <c r="CG573" s="4">
        <v>11</v>
      </c>
      <c r="CH573" s="4">
        <v>1.1593596509901765</v>
      </c>
      <c r="CI573" s="4">
        <v>4.0741311947357597E-2</v>
      </c>
      <c r="CJ573" s="4">
        <f>IF(Base[[#This Row],[Secteur]]&lt;&gt;"Moyenne",Base[[#This Row],['[Prod']'[Turnover']DMC_initiale]]*(1+Base[[#This Row],['[Prod']'[Turnover']Ecart_accidents]]*Base[[#This Row],['[Prod']Impact_motifs_turnover]]),CJ556*CI556+CJ557*CI557+CJ558*CI558+CJ559*CI559+CJ560*CI560+CJ561*CI561+CJ562*CI562+CJ563*CI563+CJ564*CI564+CJ565*CI565+CJ566*CI566+CJ567*CI567+CJ568*CI568+CJ569*CI569+CJ570*CI570+CJ571*CI571+CJ572*CI572)</f>
        <v>11.268306094658152</v>
      </c>
      <c r="CK573" s="4">
        <f>1/Base[[#This Row],['[Prod']'[Turnover']DMC_initiale]]</f>
        <v>9.0909090909090912E-2</v>
      </c>
      <c r="CL573" s="4">
        <f>1/Base[[#This Row],['[Prod']'[Turnover']DMC_finale]]</f>
        <v>8.8744483119256007E-2</v>
      </c>
    </row>
    <row r="574" spans="2:90" x14ac:dyDescent="0.25">
      <c r="B574" s="4" t="s">
        <v>332</v>
      </c>
      <c r="C574">
        <v>30</v>
      </c>
      <c r="D574" t="s">
        <v>85</v>
      </c>
      <c r="E574" t="s">
        <v>9</v>
      </c>
      <c r="F574" s="3">
        <v>0.21951986147416674</v>
      </c>
      <c r="G574" s="3">
        <v>0.14499999999999999</v>
      </c>
      <c r="H574" s="3">
        <v>0.14499999999999999</v>
      </c>
      <c r="I574" s="3">
        <v>0.153</v>
      </c>
      <c r="J574" s="3">
        <v>29.93</v>
      </c>
      <c r="K574" s="3">
        <v>7.0000000000000007E-2</v>
      </c>
      <c r="L574" s="2">
        <f>Base[[#This Row],[Coût]]*Base[[#This Row],[Part_ménages_dépenses_santé]]</f>
        <v>2.0951</v>
      </c>
      <c r="M574" s="2">
        <v>0.82690611956969029</v>
      </c>
      <c r="N574" s="6">
        <v>27700000</v>
      </c>
      <c r="O574" s="7">
        <f>Base[[#This Row],[Coût_salarié]]*10^9*Base[[#This Row],[Risque]]*Base[[#This Row],[Prévalence]]*Base[[#This Row],[Part_coûts_salarié]]/Base[[#This Row],[Population_emploi]]</f>
        <v>1.9907788399138429</v>
      </c>
      <c r="P574">
        <v>50</v>
      </c>
      <c r="Q574">
        <v>50</v>
      </c>
      <c r="R574" s="2">
        <v>9.9999999999999978E-2</v>
      </c>
      <c r="S574" s="2">
        <v>0.33340000000000003</v>
      </c>
      <c r="T574" s="4">
        <v>0.14499999999999999</v>
      </c>
      <c r="U574" s="4">
        <f>IF(Bases_annexes!$F$5=0,16.6587111018772,0.77*Bases_annexes!$F$5/(IF(OR(ISBLANK('Données_d''entrée'!$E$44),'Données_d''entrée'!$E$44=0),35,'Données_d''entrée'!$E$44)*52))</f>
        <v>16.658711101877199</v>
      </c>
      <c r="V574" s="4">
        <v>17.7120401072847</v>
      </c>
      <c r="W5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16.59608861355019</v>
      </c>
      <c r="X574" s="4">
        <v>234.5</v>
      </c>
      <c r="Y574" s="4">
        <f>(Base[[#This Row],['[Maladies']Coûts_évités_par_salarié]]+Base[[#This Row],['[Travail']Coûts_évités_par_salarié]])/Base[[#This Row],[Budget_santé_salarié]]</f>
        <v>7.9261694897501206E-2</v>
      </c>
      <c r="Z574" s="4">
        <v>0.8</v>
      </c>
      <c r="AA574" s="4">
        <f>Base[[#This Row],[Coût]]*Base[[#This Row],[Part_société_dépenses_santé]]</f>
        <v>23.944000000000003</v>
      </c>
      <c r="AB574" s="4">
        <v>67635124</v>
      </c>
      <c r="AC574" s="4">
        <v>82.297079063317852</v>
      </c>
      <c r="AD574" s="4">
        <v>0.14499999999999999</v>
      </c>
      <c r="AE574" s="4">
        <f>Base[[#This Row],['[SC']Prévalence_travail]]*Base[[#This Row],[Population_emploi]]</f>
        <v>4016499.9999999995</v>
      </c>
      <c r="AF574" s="4">
        <f>Base[[#This Row],[Risque]]*Base[[#This Row],['[SC']Patients_en_emploi]]</f>
        <v>881701.52361099061</v>
      </c>
      <c r="AG574" s="4">
        <v>5730042552.54</v>
      </c>
      <c r="AH574" s="4">
        <f>IFERROR(Base[[#This Row],['[SC']Prestations]]/Base[[#This Row],['[SC']Patients_en_emploi]],0)</f>
        <v>1426.625806682435</v>
      </c>
      <c r="AI574" s="4">
        <v>51.7</v>
      </c>
      <c r="AJ5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1257858147.3746614</v>
      </c>
      <c r="AK574" s="4">
        <f>Base[[#This Row],['[SC']'[Travail']Coûts_évités]]/Base[[#This Row],[Population_emploi]]</f>
        <v>45.410041421467923</v>
      </c>
      <c r="AL574" s="4">
        <f>Base[[#This Row],[Coût_société]]*10^9*Base[[#This Row],[Risque]]*Base[[#This Row],[Prévalence]]*Base[[#This Row],[Part_coûts_salarié]]/Base[[#This Row],[Population_emploi]]</f>
        <v>22.751758170443921</v>
      </c>
      <c r="AM574" s="4">
        <f>IF(Base[[#This Row],[Pathologie]]&lt;&gt;"Dépendance",0,14909.24243952)</f>
        <v>0</v>
      </c>
      <c r="AN574" s="4">
        <f>IF(Base[[#This Row],[Pathologie]]&lt;&gt;"Dépendance",0,1316000)</f>
        <v>0</v>
      </c>
      <c r="AO574" s="4">
        <f>IF(Base[[#This Row],[Pathologie]]&lt;&gt;"Dépendance",0,Base[[#This Row],['[SC']Coût_personne_dépendante]]*Base[[#This Row],['[SC']Nb_personnes_dépendantes]])</f>
        <v>0</v>
      </c>
      <c r="AP574" s="4">
        <f>IF(Base[[#This Row],[Pathologie]]&lt;&gt;"Dépendance",0,Base[[#This Row],['[SC']Coût_total_dépendance]]/Base[[#This Row],[Population_totale]])</f>
        <v>0</v>
      </c>
      <c r="AQ574" s="4">
        <f>IF(Base[[#This Row],[Pathologie]]&lt;&gt;"Dépendance",0,4.5)</f>
        <v>0</v>
      </c>
      <c r="AR574" s="4">
        <v>1.0077957276768601</v>
      </c>
      <c r="AS574" s="4">
        <f>Base[[#This Row],[Espérance_vie]]+Base[[#This Row],['[SC']Hausse_esp_de_vie]]-Base[[#This Row],['[SC']Durée_moyenne_dépendance_avt]]+Base[[#This Row],[Risque]]</f>
        <v>83.524394652468885</v>
      </c>
      <c r="AT5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4" s="4">
        <v>62.9</v>
      </c>
      <c r="AW574" s="4">
        <f t="shared" si="17"/>
        <v>336905600000</v>
      </c>
      <c r="AX574" s="4">
        <v>15049171</v>
      </c>
      <c r="AY574" s="4">
        <f>Base[[#This Row],['[SC']Budget_total_retraites]]/Base[[#This Row],['[SC']Nombre_de_retraités]]</f>
        <v>22386.987296509556</v>
      </c>
      <c r="AZ574" s="4">
        <f>Base[[#This Row],['[SC']Budget_par_retraité]]*Base[[#This Row],['[SC']Nb_personnes_dépendantes]]</f>
        <v>0</v>
      </c>
      <c r="BA574" s="4">
        <f>Base[[#This Row],['[SC']'[Dépendance']Coût_retraite_personnes_dépendantes]]/Base[[#This Row],[Population_totale]]</f>
        <v>0</v>
      </c>
      <c r="BB5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4" s="4">
        <f>Base[[#This Row],['[SC']'[Dépendance']Gains]]-Base[[#This Row],['[SC']'[Dépendance']Coûts]]</f>
        <v>0</v>
      </c>
      <c r="BD574" s="4">
        <f>IF(Base[[#This Row],[Pathologie]]&lt;&gt;"Mort prématurée",0,Base[[#This Row],[Risque]]*Base[[#This Row],[Prévalence]]*Base[[#This Row],[Population_totale]])</f>
        <v>0</v>
      </c>
      <c r="BE574" s="4">
        <v>52.74</v>
      </c>
      <c r="BF574" s="4">
        <f>Base[[#This Row],['[SC']Âge_moyen_retraite]]-Base[[#This Row],['[SC']'[Mort_prématurée']Âge_moyen_mort précoce]]</f>
        <v>10.159999999999997</v>
      </c>
      <c r="BG574" s="4">
        <f>Base[[#This Row],[Espérance_vie]]+Base[[#This Row],['[SC']Hausse_esp_de_vie]]-Base[[#This Row],['[SC']Âge_moyen_retraite]]</f>
        <v>20.404874790994718</v>
      </c>
      <c r="BH574" s="4">
        <v>106583.42676924677</v>
      </c>
      <c r="BI574" s="4">
        <v>97601.789429271477</v>
      </c>
      <c r="BJ574" s="4">
        <v>302038.31496633729</v>
      </c>
      <c r="BK574" s="4">
        <v>117293.58934859755</v>
      </c>
      <c r="BL574" s="4">
        <v>1523999.9999999995</v>
      </c>
      <c r="BM5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4" s="4">
        <v>294804.96027377353</v>
      </c>
      <c r="BO5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4" s="4">
        <f>(Base[[#This Row],['[SC']'[Mort_prématurée']Gains]]-Base[[#This Row],['[SC']'[Mort_prématurée']Coûts]])/Base[[#This Row],[Population_totale]]</f>
        <v>0</v>
      </c>
      <c r="BQ574" s="4">
        <f>IF(Base[[#This Row],[Pathologie]]&lt;&gt;"Mort prématurée",0,Base[[#This Row],[Risque]])</f>
        <v>0</v>
      </c>
      <c r="BR574" s="4">
        <v>2680</v>
      </c>
      <c r="BS5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2.5433507310414868E-2</v>
      </c>
      <c r="BT5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71140409.090908989</v>
      </c>
      <c r="BU574" s="4">
        <f>Base[[#This Row],[Prévalence_prod]]*(1-Base[[#This Row],[Risque]])*Base[[#This Row],[Durée_arrêt]]*Base[[#This Row],[Population_emploi]]</f>
        <v>55523676.342057109</v>
      </c>
      <c r="BV574" s="4">
        <f>Base[[#This Row],['[Prod']'[Absentéisme']Total_jours_absence_avant]]-Base[[#This Row],['[Prod']'[Absentéisme']Total_jours_absence_après]]</f>
        <v>15616732.74885188</v>
      </c>
      <c r="BW574" s="4">
        <f>IF(AND(Base[[#This Row],[Pathologie]]&lt;&gt;"Dépendance",Base[[#This Row],[Pathologie]]&lt;&gt;"Mort prématurée",Base[[#This Row],[Pathologie]]&lt;&gt;"Migraine"),0.0619,0)</f>
        <v>6.1899999999999997E-2</v>
      </c>
      <c r="BX574" s="4">
        <v>254</v>
      </c>
      <c r="BY574" s="4">
        <f>Base[[#This Row],['[Prod']'[Absentéisme']Taux_initial]]*Base[[#This Row],['[Prod']Jours_ouvrés]]*Base[[#This Row],[Population_emploi]]*Base[[#This Row],['[Prod']'[Absentéisme']Total_jours_absence_avant]]/211051099.251489</f>
        <v>146802304.9314959</v>
      </c>
      <c r="BZ574" s="4">
        <f>(Base[[#This Row],['[Prod']'[Absentéisme']Jours_théoriques]]-Base[[#This Row],['[Prod']'[Absentéisme']Total_jours_absence_évités]])/(Base[[#This Row],[Population_emploi]]*Base[[#This Row],['[Prod']Jours_ouvrés]])</f>
        <v>1.8645437929253821E-2</v>
      </c>
      <c r="CA574" s="4">
        <f>Base[[#This Row],[Prévalence_prod]]*Base[[#This Row],[Présentéisme]]*Base[[#This Row],['[Prod']Jours_ouvrés]]</f>
        <v>5.6349899999999993</v>
      </c>
      <c r="CB574" s="4">
        <f>Base[[#This Row],[Prévalence_prod]]*(1-Base[[#This Row],[Risque]])*Base[[#This Row],[Présentéisme]]*Base[[#This Row],['[Prod']Jours_ouvrés]]</f>
        <v>4.3979977757916853</v>
      </c>
      <c r="CC574" s="4">
        <f>Base[[#This Row],['[Prod']'[Présentéisme']Jours_avant]]-Base[[#This Row],['[Prod']'[Présentéisme']Jours_après]]</f>
        <v>1.236992224208314</v>
      </c>
      <c r="CD574" s="4">
        <f>Base[[#This Row],['[Prod']'[Présentéisme']Jours_gagnés]]/Base[[#This Row],['[Prod']Jours_ouvrés]]</f>
        <v>4.8700481268043857E-3</v>
      </c>
      <c r="CE574">
        <v>9.3428413505841454E-2</v>
      </c>
      <c r="CF574">
        <v>2.1038737314955848E-2</v>
      </c>
      <c r="CG574" s="4">
        <v>11</v>
      </c>
      <c r="CH574" s="4">
        <v>0.85076983926913452</v>
      </c>
      <c r="CI574" s="4">
        <v>0</v>
      </c>
      <c r="CJ574" s="4">
        <f>IF(Base[[#This Row],[Secteur]]&lt;&gt;"Moyenne",Base[[#This Row],['[Prod']'[Turnover']DMC_initiale]]*(1+Base[[#This Row],['[Prod']'[Turnover']Ecart_accidents]]*Base[[#This Row],['[Prod']Impact_motifs_turnover]]),CJ557*CI557+CJ558*CI558+CJ559*CI559+CJ560*CI560+CJ561*CI561+CJ562*CI562+CJ563*CI563+CJ564*CI564+CJ565*CI565+CJ566*CI566+CJ567*CI567+CJ568*CI568+CJ569*CI569+CJ570*CI570+CJ571*CI571+CJ572*CI572+CJ573*CI573)</f>
        <v>11.196890354802576</v>
      </c>
      <c r="CK574" s="4">
        <f>1/Base[[#This Row],['[Prod']'[Turnover']DMC_initiale]]</f>
        <v>9.0909090909090912E-2</v>
      </c>
      <c r="CL574" s="4">
        <f>1/Base[[#This Row],['[Prod']'[Turnover']DMC_finale]]</f>
        <v>8.9310511071592255E-2</v>
      </c>
    </row>
    <row r="575" spans="2:90" x14ac:dyDescent="0.25">
      <c r="B575" s="4" t="s">
        <v>315</v>
      </c>
      <c r="C575">
        <v>30</v>
      </c>
      <c r="D575" t="s">
        <v>85</v>
      </c>
      <c r="E575" t="s">
        <v>7</v>
      </c>
      <c r="F575" s="3">
        <v>0.44901789846988649</v>
      </c>
      <c r="G575" s="3">
        <v>0.1217</v>
      </c>
      <c r="H575" s="3">
        <v>0.1217</v>
      </c>
      <c r="I575" s="3">
        <v>9.1999999999999998E-2</v>
      </c>
      <c r="J575" s="3">
        <v>7.27956</v>
      </c>
      <c r="K575" s="3">
        <v>7.0000000000000007E-2</v>
      </c>
      <c r="L575" s="2">
        <f>Base[[#This Row],[Coût]]*Base[[#This Row],[Part_ménages_dépenses_santé]]</f>
        <v>0.50956920000000006</v>
      </c>
      <c r="M575" s="2">
        <v>1</v>
      </c>
      <c r="N575" s="6">
        <v>27700000</v>
      </c>
      <c r="O575" s="7">
        <f>Base[[#This Row],[Coût_salarié]]*10^9*Base[[#This Row],[Risque]]*Base[[#This Row],[Prévalence]]*Base[[#This Row],[Part_coûts_salarié]]/Base[[#This Row],[Population_emploi]]</f>
        <v>1.0052582177726723</v>
      </c>
      <c r="P575">
        <v>50</v>
      </c>
      <c r="Q575">
        <v>50</v>
      </c>
      <c r="R575" s="2">
        <v>9.9999999999999978E-2</v>
      </c>
      <c r="S575" s="2">
        <v>0.33340000000000003</v>
      </c>
      <c r="T575" s="4">
        <v>0.1217</v>
      </c>
      <c r="U575" s="4">
        <f>IF(Bases_annexes!$F$5=0,16.6587111018772,0.77*Bases_annexes!$F$5/(IF(OR(ISBLANK('Données_d''entrée'!$E$44),'Données_d''entrée'!$E$44=0),35,'Données_d''entrée'!$E$44)*52))</f>
        <v>16.658711101877199</v>
      </c>
      <c r="V575" s="4">
        <v>21.5</v>
      </c>
      <c r="W5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75" s="4">
        <v>234.5</v>
      </c>
      <c r="Y575" s="4">
        <f>(Base[[#This Row],['[Maladies']Coûts_évités_par_salarié]]+Base[[#This Row],['[Travail']Coûts_évités_par_salarié]])/Base[[#This Row],[Budget_santé_salarié]]</f>
        <v>0.13607988080588845</v>
      </c>
      <c r="Z575" s="4">
        <v>0.8</v>
      </c>
      <c r="AA575" s="4">
        <f>Base[[#This Row],[Coût]]*Base[[#This Row],[Part_société_dépenses_santé]]</f>
        <v>5.8236480000000004</v>
      </c>
      <c r="AB575" s="4">
        <v>67635124</v>
      </c>
      <c r="AC575" s="4">
        <v>82.297079063317852</v>
      </c>
      <c r="AD575" s="4">
        <v>0.1217</v>
      </c>
      <c r="AE575" s="4">
        <f>Base[[#This Row],['[SC']Prévalence_travail]]*Base[[#This Row],[Population_emploi]]</f>
        <v>3371090</v>
      </c>
      <c r="AF575" s="4">
        <f>Base[[#This Row],[Risque]]*Base[[#This Row],['[SC']Patients_en_emploi]]</f>
        <v>1513679.7473528497</v>
      </c>
      <c r="AG575" s="4">
        <v>0</v>
      </c>
      <c r="AH575" s="4">
        <f>IFERROR(Base[[#This Row],['[SC']Prestations]]/Base[[#This Row],['[SC']Patients_en_emploi]],0)</f>
        <v>0</v>
      </c>
      <c r="AI575" s="4">
        <v>51.7</v>
      </c>
      <c r="AJ5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75" s="4">
        <f>Base[[#This Row],['[SC']'[Travail']Coûts_évités]]/Base[[#This Row],[Population_emploi]]</f>
        <v>52.265667666268349</v>
      </c>
      <c r="AL575" s="4">
        <f>Base[[#This Row],[Coût_société]]*10^9*Base[[#This Row],[Risque]]*Base[[#This Row],[Prévalence]]*Base[[#This Row],[Part_coûts_salarié]]/Base[[#This Row],[Population_emploi]]</f>
        <v>11.488665345973399</v>
      </c>
      <c r="AM575" s="4">
        <f>IF(Base[[#This Row],[Pathologie]]&lt;&gt;"Dépendance",0,14909.24243952)</f>
        <v>0</v>
      </c>
      <c r="AN575" s="4">
        <f>IF(Base[[#This Row],[Pathologie]]&lt;&gt;"Dépendance",0,1316000)</f>
        <v>0</v>
      </c>
      <c r="AO575" s="4">
        <f>IF(Base[[#This Row],[Pathologie]]&lt;&gt;"Dépendance",0,Base[[#This Row],['[SC']Coût_personne_dépendante]]*Base[[#This Row],['[SC']Nb_personnes_dépendantes]])</f>
        <v>0</v>
      </c>
      <c r="AP575" s="4">
        <f>IF(Base[[#This Row],[Pathologie]]&lt;&gt;"Dépendance",0,Base[[#This Row],['[SC']Coût_total_dépendance]]/Base[[#This Row],[Population_totale]])</f>
        <v>0</v>
      </c>
      <c r="AQ575" s="4">
        <f>IF(Base[[#This Row],[Pathologie]]&lt;&gt;"Dépendance",0,4.5)</f>
        <v>0</v>
      </c>
      <c r="AR575" s="4">
        <v>1.0077957276768601</v>
      </c>
      <c r="AS575" s="4">
        <f>Base[[#This Row],[Espérance_vie]]+Base[[#This Row],['[SC']Hausse_esp_de_vie]]-Base[[#This Row],['[SC']Durée_moyenne_dépendance_avt]]+Base[[#This Row],[Risque]]</f>
        <v>83.753892689464607</v>
      </c>
      <c r="AT5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5" s="4">
        <v>62.9</v>
      </c>
      <c r="AW575" s="4">
        <f t="shared" si="0"/>
        <v>336905600000</v>
      </c>
      <c r="AX575" s="4">
        <v>15049171</v>
      </c>
      <c r="AY575" s="4">
        <f>Base[[#This Row],['[SC']Budget_total_retraites]]/Base[[#This Row],['[SC']Nombre_de_retraités]]</f>
        <v>22386.987296509556</v>
      </c>
      <c r="AZ575" s="4">
        <f>Base[[#This Row],['[SC']Budget_par_retraité]]*Base[[#This Row],['[SC']Nb_personnes_dépendantes]]</f>
        <v>0</v>
      </c>
      <c r="BA575" s="4">
        <f>Base[[#This Row],['[SC']'[Dépendance']Coût_retraite_personnes_dépendantes]]/Base[[#This Row],[Population_totale]]</f>
        <v>0</v>
      </c>
      <c r="BB5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5" s="4">
        <f>Base[[#This Row],['[SC']'[Dépendance']Gains]]-Base[[#This Row],['[SC']'[Dépendance']Coûts]]</f>
        <v>0</v>
      </c>
      <c r="BD575" s="4">
        <f>IF(Base[[#This Row],[Pathologie]]&lt;&gt;"Mort prématurée",0,Base[[#This Row],[Risque]]*Base[[#This Row],[Prévalence]]*Base[[#This Row],[Population_totale]])</f>
        <v>0</v>
      </c>
      <c r="BE575" s="4">
        <v>52.74</v>
      </c>
      <c r="BF575" s="4">
        <f>Base[[#This Row],['[SC']Âge_moyen_retraite]]-Base[[#This Row],['[SC']'[Mort_prématurée']Âge_moyen_mort précoce]]</f>
        <v>10.159999999999997</v>
      </c>
      <c r="BG575" s="4">
        <f>Base[[#This Row],[Espérance_vie]]+Base[[#This Row],['[SC']Hausse_esp_de_vie]]-Base[[#This Row],['[SC']Âge_moyen_retraite]]</f>
        <v>20.404874790994718</v>
      </c>
      <c r="BH575" s="4">
        <v>106583.42676924677</v>
      </c>
      <c r="BI575" s="4">
        <v>97601.789429271477</v>
      </c>
      <c r="BJ575" s="4">
        <v>302038.31496633729</v>
      </c>
      <c r="BK575" s="4">
        <v>117293.58934859755</v>
      </c>
      <c r="BL575" s="4">
        <v>1523999.9999999995</v>
      </c>
      <c r="BM5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5" s="4">
        <v>294804.96027377353</v>
      </c>
      <c r="BO5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5" s="4">
        <f>(Base[[#This Row],['[SC']'[Mort_prématurée']Gains]]-Base[[#This Row],['[SC']'[Mort_prématurée']Coûts]])/Base[[#This Row],[Population_totale]]</f>
        <v>0</v>
      </c>
      <c r="BQ575" s="4">
        <f>IF(Base[[#This Row],[Pathologie]]&lt;&gt;"Mort prématurée",0,Base[[#This Row],[Risque]])</f>
        <v>0</v>
      </c>
      <c r="BR575" s="4">
        <v>2680</v>
      </c>
      <c r="BS5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75" s="4">
        <f>Base[[#This Row],[Prévalence_prod]]*(1-Base[[#This Row],[Risque]])*Base[[#This Row],[Durée_arrêt]]*Base[[#This Row],[Population_emploi]]</f>
        <v>39934320.431913733</v>
      </c>
      <c r="BV575" s="4">
        <f>Base[[#This Row],['[Prod']'[Absentéisme']Total_jours_absence_avant]]-Base[[#This Row],['[Prod']'[Absentéisme']Total_jours_absence_après]]</f>
        <v>32544114.568086267</v>
      </c>
      <c r="BW575" s="4">
        <f>IF(AND(Base[[#This Row],[Pathologie]]&lt;&gt;"Dépendance",Base[[#This Row],[Pathologie]]&lt;&gt;"Mort prématurée",Base[[#This Row],[Pathologie]]&lt;&gt;"Migraine"),0.0619,0)</f>
        <v>6.1899999999999997E-2</v>
      </c>
      <c r="BX575" s="4">
        <v>254</v>
      </c>
      <c r="BY57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75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75" s="4">
        <f>Base[[#This Row],[Prévalence_prod]]*Base[[#This Row],[Présentéisme]]*Base[[#This Row],['[Prod']Jours_ouvrés]]</f>
        <v>2.8438856000000001</v>
      </c>
      <c r="CB575" s="4">
        <f>Base[[#This Row],[Prévalence_prod]]*(1-Base[[#This Row],[Risque]])*Base[[#This Row],[Présentéisme]]*Base[[#This Row],['[Prod']Jours_ouvrés]]</f>
        <v>1.5669300643992279</v>
      </c>
      <c r="CC575" s="4">
        <f>Base[[#This Row],['[Prod']'[Présentéisme']Jours_avant]]-Base[[#This Row],['[Prod']'[Présentéisme']Jours_après]]</f>
        <v>1.2769555356007722</v>
      </c>
      <c r="CD575" s="4">
        <f>Base[[#This Row],['[Prod']'[Présentéisme']Jours_gagnés]]/Base[[#This Row],['[Prod']Jours_ouvrés]]</f>
        <v>5.0273839984282375E-3</v>
      </c>
      <c r="CE575">
        <v>9.3428413505841454E-2</v>
      </c>
      <c r="CF575">
        <v>2.1038737314955848E-2</v>
      </c>
      <c r="CG575" s="4">
        <v>11</v>
      </c>
      <c r="CH575" s="4">
        <v>1.3966184516047948</v>
      </c>
      <c r="CI575" s="4">
        <v>1.4392894727292521E-2</v>
      </c>
      <c r="CJ575" s="4">
        <f>IF(Base[[#This Row],[Secteur]]&lt;&gt;"Moyenne",Base[[#This Row],['[Prod']'[Turnover']DMC_initiale]]*(1+Base[[#This Row],['[Prod']'[Turnover']Ecart_accidents]]*Base[[#This Row],['[Prod']Impact_motifs_turnover]]),CJ558*CI558+CJ559*CI559+CJ560*CI560+CJ561*CI561+CJ562*CI562+CJ563*CI563+CJ564*CI564+CJ565*CI565+CJ566*CI566+CJ567*CI567+CJ568*CI568+CJ569*CI569+CJ570*CI570+CJ571*CI571+CJ572*CI572+CJ573*CI573+CJ574*CI574)</f>
        <v>11.32321397605787</v>
      </c>
      <c r="CK575" s="4">
        <f>1/Base[[#This Row],['[Prod']'[Turnover']DMC_initiale]]</f>
        <v>9.0909090909090912E-2</v>
      </c>
      <c r="CL575" s="4">
        <f>1/Base[[#This Row],['[Prod']'[Turnover']DMC_finale]]</f>
        <v>8.8314148448879345E-2</v>
      </c>
    </row>
    <row r="576" spans="2:90" x14ac:dyDescent="0.25">
      <c r="B576" s="4" t="s">
        <v>316</v>
      </c>
      <c r="C576">
        <v>30</v>
      </c>
      <c r="D576" t="s">
        <v>85</v>
      </c>
      <c r="E576" t="s">
        <v>7</v>
      </c>
      <c r="F576" s="3">
        <v>0.44901789846988649</v>
      </c>
      <c r="G576" s="3">
        <v>0.1217</v>
      </c>
      <c r="H576" s="3">
        <v>0.1217</v>
      </c>
      <c r="I576" s="3">
        <v>9.1999999999999998E-2</v>
      </c>
      <c r="J576" s="3">
        <v>7.27956</v>
      </c>
      <c r="K576" s="3">
        <v>7.0000000000000007E-2</v>
      </c>
      <c r="L576" s="2">
        <f>Base[[#This Row],[Coût]]*Base[[#This Row],[Part_ménages_dépenses_santé]]</f>
        <v>0.50956920000000006</v>
      </c>
      <c r="M576" s="2">
        <v>1</v>
      </c>
      <c r="N576" s="6">
        <v>27700000</v>
      </c>
      <c r="O576" s="7">
        <f>Base[[#This Row],[Coût_salarié]]*10^9*Base[[#This Row],[Risque]]*Base[[#This Row],[Prévalence]]*Base[[#This Row],[Part_coûts_salarié]]/Base[[#This Row],[Population_emploi]]</f>
        <v>1.0052582177726723</v>
      </c>
      <c r="P576">
        <v>50</v>
      </c>
      <c r="Q576">
        <v>50</v>
      </c>
      <c r="R576" s="2">
        <v>9.9999999999999978E-2</v>
      </c>
      <c r="S576" s="2">
        <v>0.33340000000000003</v>
      </c>
      <c r="T576" s="4">
        <v>0.1217</v>
      </c>
      <c r="U576" s="4">
        <f>IF(Bases_annexes!$F$5=0,16.6587111018772,0.77*Bases_annexes!$F$5/(IF(OR(ISBLANK('Données_d''entrée'!$E$44),'Données_d''entrée'!$E$44=0),35,'Données_d''entrée'!$E$44)*52))</f>
        <v>16.658711101877199</v>
      </c>
      <c r="V576" s="4">
        <v>21.5</v>
      </c>
      <c r="W5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76" s="4">
        <v>234.5</v>
      </c>
      <c r="Y576" s="4">
        <f>(Base[[#This Row],['[Maladies']Coûts_évités_par_salarié]]+Base[[#This Row],['[Travail']Coûts_évités_par_salarié]])/Base[[#This Row],[Budget_santé_salarié]]</f>
        <v>0.13607988080588845</v>
      </c>
      <c r="Z576" s="4">
        <v>0.8</v>
      </c>
      <c r="AA576" s="4">
        <f>Base[[#This Row],[Coût]]*Base[[#This Row],[Part_société_dépenses_santé]]</f>
        <v>5.8236480000000004</v>
      </c>
      <c r="AB576" s="4">
        <v>67635124</v>
      </c>
      <c r="AC576" s="4">
        <v>82.297079063317852</v>
      </c>
      <c r="AD576" s="4">
        <v>0.1217</v>
      </c>
      <c r="AE576" s="4">
        <f>Base[[#This Row],['[SC']Prévalence_travail]]*Base[[#This Row],[Population_emploi]]</f>
        <v>3371090</v>
      </c>
      <c r="AF576" s="4">
        <f>Base[[#This Row],[Risque]]*Base[[#This Row],['[SC']Patients_en_emploi]]</f>
        <v>1513679.7473528497</v>
      </c>
      <c r="AG576" s="4">
        <v>0</v>
      </c>
      <c r="AH576" s="4">
        <f>IFERROR(Base[[#This Row],['[SC']Prestations]]/Base[[#This Row],['[SC']Patients_en_emploi]],0)</f>
        <v>0</v>
      </c>
      <c r="AI576" s="4">
        <v>51.7</v>
      </c>
      <c r="AJ5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76" s="4">
        <f>Base[[#This Row],['[SC']'[Travail']Coûts_évités]]/Base[[#This Row],[Population_emploi]]</f>
        <v>52.265667666268349</v>
      </c>
      <c r="AL576" s="4">
        <f>Base[[#This Row],[Coût_société]]*10^9*Base[[#This Row],[Risque]]*Base[[#This Row],[Prévalence]]*Base[[#This Row],[Part_coûts_salarié]]/Base[[#This Row],[Population_emploi]]</f>
        <v>11.488665345973399</v>
      </c>
      <c r="AM576" s="4">
        <f>IF(Base[[#This Row],[Pathologie]]&lt;&gt;"Dépendance",0,14909.24243952)</f>
        <v>0</v>
      </c>
      <c r="AN576" s="4">
        <f>IF(Base[[#This Row],[Pathologie]]&lt;&gt;"Dépendance",0,1316000)</f>
        <v>0</v>
      </c>
      <c r="AO576" s="4">
        <f>IF(Base[[#This Row],[Pathologie]]&lt;&gt;"Dépendance",0,Base[[#This Row],['[SC']Coût_personne_dépendante]]*Base[[#This Row],['[SC']Nb_personnes_dépendantes]])</f>
        <v>0</v>
      </c>
      <c r="AP576" s="4">
        <f>IF(Base[[#This Row],[Pathologie]]&lt;&gt;"Dépendance",0,Base[[#This Row],['[SC']Coût_total_dépendance]]/Base[[#This Row],[Population_totale]])</f>
        <v>0</v>
      </c>
      <c r="AQ576" s="4">
        <f>IF(Base[[#This Row],[Pathologie]]&lt;&gt;"Dépendance",0,4.5)</f>
        <v>0</v>
      </c>
      <c r="AR576" s="4">
        <v>1.0077957276768601</v>
      </c>
      <c r="AS576" s="4">
        <f>Base[[#This Row],[Espérance_vie]]+Base[[#This Row],['[SC']Hausse_esp_de_vie]]-Base[[#This Row],['[SC']Durée_moyenne_dépendance_avt]]+Base[[#This Row],[Risque]]</f>
        <v>83.753892689464607</v>
      </c>
      <c r="AT5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6" s="4">
        <v>62.9</v>
      </c>
      <c r="AW576" s="4">
        <f t="shared" ref="AW576:AW592" si="18">336905600000</f>
        <v>336905600000</v>
      </c>
      <c r="AX576" s="4">
        <v>15049171</v>
      </c>
      <c r="AY576" s="4">
        <f>Base[[#This Row],['[SC']Budget_total_retraites]]/Base[[#This Row],['[SC']Nombre_de_retraités]]</f>
        <v>22386.987296509556</v>
      </c>
      <c r="AZ576" s="4">
        <f>Base[[#This Row],['[SC']Budget_par_retraité]]*Base[[#This Row],['[SC']Nb_personnes_dépendantes]]</f>
        <v>0</v>
      </c>
      <c r="BA576" s="4">
        <f>Base[[#This Row],['[SC']'[Dépendance']Coût_retraite_personnes_dépendantes]]/Base[[#This Row],[Population_totale]]</f>
        <v>0</v>
      </c>
      <c r="BB5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6" s="4">
        <f>Base[[#This Row],['[SC']'[Dépendance']Gains]]-Base[[#This Row],['[SC']'[Dépendance']Coûts]]</f>
        <v>0</v>
      </c>
      <c r="BD576" s="4">
        <f>IF(Base[[#This Row],[Pathologie]]&lt;&gt;"Mort prématurée",0,Base[[#This Row],[Risque]]*Base[[#This Row],[Prévalence]]*Base[[#This Row],[Population_totale]])</f>
        <v>0</v>
      </c>
      <c r="BE576" s="4">
        <v>52.74</v>
      </c>
      <c r="BF576" s="4">
        <f>Base[[#This Row],['[SC']Âge_moyen_retraite]]-Base[[#This Row],['[SC']'[Mort_prématurée']Âge_moyen_mort précoce]]</f>
        <v>10.159999999999997</v>
      </c>
      <c r="BG576" s="4">
        <f>Base[[#This Row],[Espérance_vie]]+Base[[#This Row],['[SC']Hausse_esp_de_vie]]-Base[[#This Row],['[SC']Âge_moyen_retraite]]</f>
        <v>20.404874790994718</v>
      </c>
      <c r="BH576" s="4">
        <v>106583.42676924677</v>
      </c>
      <c r="BI576" s="4">
        <v>97601.789429271477</v>
      </c>
      <c r="BJ576" s="4">
        <v>302038.31496633729</v>
      </c>
      <c r="BK576" s="4">
        <v>117293.58934859755</v>
      </c>
      <c r="BL576" s="4">
        <v>1523999.9999999995</v>
      </c>
      <c r="BM5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6" s="4">
        <v>294804.96027377353</v>
      </c>
      <c r="BO5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6" s="4">
        <f>(Base[[#This Row],['[SC']'[Mort_prématurée']Gains]]-Base[[#This Row],['[SC']'[Mort_prématurée']Coûts]])/Base[[#This Row],[Population_totale]]</f>
        <v>0</v>
      </c>
      <c r="BQ576" s="4">
        <f>IF(Base[[#This Row],[Pathologie]]&lt;&gt;"Mort prématurée",0,Base[[#This Row],[Risque]])</f>
        <v>0</v>
      </c>
      <c r="BR576" s="4">
        <v>2680</v>
      </c>
      <c r="BS5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76" s="4">
        <f>Base[[#This Row],[Prévalence_prod]]*(1-Base[[#This Row],[Risque]])*Base[[#This Row],[Durée_arrêt]]*Base[[#This Row],[Population_emploi]]</f>
        <v>39934320.431913733</v>
      </c>
      <c r="BV576" s="4">
        <f>Base[[#This Row],['[Prod']'[Absentéisme']Total_jours_absence_avant]]-Base[[#This Row],['[Prod']'[Absentéisme']Total_jours_absence_après]]</f>
        <v>32544114.568086267</v>
      </c>
      <c r="BW576" s="4">
        <f>IF(AND(Base[[#This Row],[Pathologie]]&lt;&gt;"Dépendance",Base[[#This Row],[Pathologie]]&lt;&gt;"Mort prématurée",Base[[#This Row],[Pathologie]]&lt;&gt;"Migraine"),0.0619,0)</f>
        <v>6.1899999999999997E-2</v>
      </c>
      <c r="BX576" s="4">
        <v>254</v>
      </c>
      <c r="BY57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76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76" s="4">
        <f>Base[[#This Row],[Prévalence_prod]]*Base[[#This Row],[Présentéisme]]*Base[[#This Row],['[Prod']Jours_ouvrés]]</f>
        <v>2.8438856000000001</v>
      </c>
      <c r="CB576" s="4">
        <f>Base[[#This Row],[Prévalence_prod]]*(1-Base[[#This Row],[Risque]])*Base[[#This Row],[Présentéisme]]*Base[[#This Row],['[Prod']Jours_ouvrés]]</f>
        <v>1.5669300643992279</v>
      </c>
      <c r="CC576" s="4">
        <f>Base[[#This Row],['[Prod']'[Présentéisme']Jours_avant]]-Base[[#This Row],['[Prod']'[Présentéisme']Jours_après]]</f>
        <v>1.2769555356007722</v>
      </c>
      <c r="CD576" s="4">
        <f>Base[[#This Row],['[Prod']'[Présentéisme']Jours_gagnés]]/Base[[#This Row],['[Prod']Jours_ouvrés]]</f>
        <v>5.0273839984282375E-3</v>
      </c>
      <c r="CE576">
        <v>9.3428413505841454E-2</v>
      </c>
      <c r="CF576">
        <v>2.1038737314955848E-2</v>
      </c>
      <c r="CG576" s="4">
        <v>11</v>
      </c>
      <c r="CH576" s="4">
        <v>0.68054183762612652</v>
      </c>
      <c r="CI576" s="4">
        <v>1.2135452577082654E-2</v>
      </c>
      <c r="CJ576" s="4">
        <f>IF(Base[[#This Row],[Secteur]]&lt;&gt;"Moyenne",Base[[#This Row],['[Prod']'[Turnover']DMC_initiale]]*(1+Base[[#This Row],['[Prod']'[Turnover']Ecart_accidents]]*Base[[#This Row],['[Prod']Impact_motifs_turnover]]),CJ559*CI559+CJ560*CI560+CJ561*CI561+CJ562*CI562+CJ563*CI563+CJ564*CI564+CJ565*CI565+CJ566*CI566+CJ567*CI567+CJ568*CI568+CJ569*CI569+CJ570*CI570+CJ571*CI571+CJ572*CI572+CJ573*CI573+CJ574*CI574+CJ575*CI575)</f>
        <v>11.157495150490188</v>
      </c>
      <c r="CK576" s="4">
        <f>1/Base[[#This Row],['[Prod']'[Turnover']DMC_initiale]]</f>
        <v>9.0909090909090912E-2</v>
      </c>
      <c r="CL576" s="4">
        <f>1/Base[[#This Row],['[Prod']'[Turnover']DMC_finale]]</f>
        <v>8.9625851189015879E-2</v>
      </c>
    </row>
    <row r="577" spans="2:90" x14ac:dyDescent="0.25">
      <c r="B577" s="4" t="s">
        <v>317</v>
      </c>
      <c r="C577">
        <v>30</v>
      </c>
      <c r="D577" t="s">
        <v>85</v>
      </c>
      <c r="E577" t="s">
        <v>7</v>
      </c>
      <c r="F577" s="3">
        <v>0.44901789846988649</v>
      </c>
      <c r="G577" s="3">
        <v>0.1217</v>
      </c>
      <c r="H577" s="3">
        <v>0.1217</v>
      </c>
      <c r="I577" s="3">
        <v>9.1999999999999998E-2</v>
      </c>
      <c r="J577" s="3">
        <v>7.27956</v>
      </c>
      <c r="K577" s="3">
        <v>7.0000000000000007E-2</v>
      </c>
      <c r="L577" s="2">
        <f>Base[[#This Row],[Coût]]*Base[[#This Row],[Part_ménages_dépenses_santé]]</f>
        <v>0.50956920000000006</v>
      </c>
      <c r="M577" s="2">
        <v>1</v>
      </c>
      <c r="N577" s="6">
        <v>27700000</v>
      </c>
      <c r="O577" s="7">
        <f>Base[[#This Row],[Coût_salarié]]*10^9*Base[[#This Row],[Risque]]*Base[[#This Row],[Prévalence]]*Base[[#This Row],[Part_coûts_salarié]]/Base[[#This Row],[Population_emploi]]</f>
        <v>1.0052582177726723</v>
      </c>
      <c r="P577">
        <v>50</v>
      </c>
      <c r="Q577">
        <v>50</v>
      </c>
      <c r="R577" s="2">
        <v>9.9999999999999978E-2</v>
      </c>
      <c r="S577" s="2">
        <v>0.33340000000000003</v>
      </c>
      <c r="T577" s="4">
        <v>0.1217</v>
      </c>
      <c r="U577" s="4">
        <f>IF(Bases_annexes!$F$5=0,16.6587111018772,0.77*Bases_annexes!$F$5/(IF(OR(ISBLANK('Données_d''entrée'!$E$44),'Données_d''entrée'!$E$44=0),35,'Données_d''entrée'!$E$44)*52))</f>
        <v>16.658711101877199</v>
      </c>
      <c r="V577" s="4">
        <v>21.5</v>
      </c>
      <c r="W5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77" s="4">
        <v>234.5</v>
      </c>
      <c r="Y577" s="4">
        <f>(Base[[#This Row],['[Maladies']Coûts_évités_par_salarié]]+Base[[#This Row],['[Travail']Coûts_évités_par_salarié]])/Base[[#This Row],[Budget_santé_salarié]]</f>
        <v>0.13607988080588845</v>
      </c>
      <c r="Z577" s="4">
        <v>0.8</v>
      </c>
      <c r="AA577" s="4">
        <f>Base[[#This Row],[Coût]]*Base[[#This Row],[Part_société_dépenses_santé]]</f>
        <v>5.8236480000000004</v>
      </c>
      <c r="AB577" s="4">
        <v>67635124</v>
      </c>
      <c r="AC577" s="4">
        <v>82.297079063317852</v>
      </c>
      <c r="AD577" s="4">
        <v>0.1217</v>
      </c>
      <c r="AE577" s="4">
        <f>Base[[#This Row],['[SC']Prévalence_travail]]*Base[[#This Row],[Population_emploi]]</f>
        <v>3371090</v>
      </c>
      <c r="AF577" s="4">
        <f>Base[[#This Row],[Risque]]*Base[[#This Row],['[SC']Patients_en_emploi]]</f>
        <v>1513679.7473528497</v>
      </c>
      <c r="AG577" s="4">
        <v>0</v>
      </c>
      <c r="AH577" s="4">
        <f>IFERROR(Base[[#This Row],['[SC']Prestations]]/Base[[#This Row],['[SC']Patients_en_emploi]],0)</f>
        <v>0</v>
      </c>
      <c r="AI577" s="4">
        <v>51.7</v>
      </c>
      <c r="AJ5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77" s="4">
        <f>Base[[#This Row],['[SC']'[Travail']Coûts_évités]]/Base[[#This Row],[Population_emploi]]</f>
        <v>52.265667666268349</v>
      </c>
      <c r="AL577" s="4">
        <f>Base[[#This Row],[Coût_société]]*10^9*Base[[#This Row],[Risque]]*Base[[#This Row],[Prévalence]]*Base[[#This Row],[Part_coûts_salarié]]/Base[[#This Row],[Population_emploi]]</f>
        <v>11.488665345973399</v>
      </c>
      <c r="AM577" s="4">
        <f>IF(Base[[#This Row],[Pathologie]]&lt;&gt;"Dépendance",0,14909.24243952)</f>
        <v>0</v>
      </c>
      <c r="AN577" s="4">
        <f>IF(Base[[#This Row],[Pathologie]]&lt;&gt;"Dépendance",0,1316000)</f>
        <v>0</v>
      </c>
      <c r="AO577" s="4">
        <f>IF(Base[[#This Row],[Pathologie]]&lt;&gt;"Dépendance",0,Base[[#This Row],['[SC']Coût_personne_dépendante]]*Base[[#This Row],['[SC']Nb_personnes_dépendantes]])</f>
        <v>0</v>
      </c>
      <c r="AP577" s="4">
        <f>IF(Base[[#This Row],[Pathologie]]&lt;&gt;"Dépendance",0,Base[[#This Row],['[SC']Coût_total_dépendance]]/Base[[#This Row],[Population_totale]])</f>
        <v>0</v>
      </c>
      <c r="AQ577" s="4">
        <f>IF(Base[[#This Row],[Pathologie]]&lt;&gt;"Dépendance",0,4.5)</f>
        <v>0</v>
      </c>
      <c r="AR577" s="4">
        <v>1.0077957276768601</v>
      </c>
      <c r="AS577" s="4">
        <f>Base[[#This Row],[Espérance_vie]]+Base[[#This Row],['[SC']Hausse_esp_de_vie]]-Base[[#This Row],['[SC']Durée_moyenne_dépendance_avt]]+Base[[#This Row],[Risque]]</f>
        <v>83.753892689464607</v>
      </c>
      <c r="AT5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7" s="4">
        <v>62.9</v>
      </c>
      <c r="AW577" s="4">
        <f t="shared" si="18"/>
        <v>336905600000</v>
      </c>
      <c r="AX577" s="4">
        <v>15049171</v>
      </c>
      <c r="AY577" s="4">
        <f>Base[[#This Row],['[SC']Budget_total_retraites]]/Base[[#This Row],['[SC']Nombre_de_retraités]]</f>
        <v>22386.987296509556</v>
      </c>
      <c r="AZ577" s="4">
        <f>Base[[#This Row],['[SC']Budget_par_retraité]]*Base[[#This Row],['[SC']Nb_personnes_dépendantes]]</f>
        <v>0</v>
      </c>
      <c r="BA577" s="4">
        <f>Base[[#This Row],['[SC']'[Dépendance']Coût_retraite_personnes_dépendantes]]/Base[[#This Row],[Population_totale]]</f>
        <v>0</v>
      </c>
      <c r="BB5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7" s="4">
        <f>Base[[#This Row],['[SC']'[Dépendance']Gains]]-Base[[#This Row],['[SC']'[Dépendance']Coûts]]</f>
        <v>0</v>
      </c>
      <c r="BD577" s="4">
        <f>IF(Base[[#This Row],[Pathologie]]&lt;&gt;"Mort prématurée",0,Base[[#This Row],[Risque]]*Base[[#This Row],[Prévalence]]*Base[[#This Row],[Population_totale]])</f>
        <v>0</v>
      </c>
      <c r="BE577" s="4">
        <v>52.74</v>
      </c>
      <c r="BF577" s="4">
        <f>Base[[#This Row],['[SC']Âge_moyen_retraite]]-Base[[#This Row],['[SC']'[Mort_prématurée']Âge_moyen_mort précoce]]</f>
        <v>10.159999999999997</v>
      </c>
      <c r="BG577" s="4">
        <f>Base[[#This Row],[Espérance_vie]]+Base[[#This Row],['[SC']Hausse_esp_de_vie]]-Base[[#This Row],['[SC']Âge_moyen_retraite]]</f>
        <v>20.404874790994718</v>
      </c>
      <c r="BH577" s="4">
        <v>106583.42676924677</v>
      </c>
      <c r="BI577" s="4">
        <v>97601.789429271477</v>
      </c>
      <c r="BJ577" s="4">
        <v>302038.31496633729</v>
      </c>
      <c r="BK577" s="4">
        <v>117293.58934859755</v>
      </c>
      <c r="BL577" s="4">
        <v>1523999.9999999995</v>
      </c>
      <c r="BM5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7" s="4">
        <v>294804.96027377353</v>
      </c>
      <c r="BO5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7" s="4">
        <f>(Base[[#This Row],['[SC']'[Mort_prématurée']Gains]]-Base[[#This Row],['[SC']'[Mort_prématurée']Coûts]])/Base[[#This Row],[Population_totale]]</f>
        <v>0</v>
      </c>
      <c r="BQ577" s="4">
        <f>IF(Base[[#This Row],[Pathologie]]&lt;&gt;"Mort prématurée",0,Base[[#This Row],[Risque]])</f>
        <v>0</v>
      </c>
      <c r="BR577" s="4">
        <v>2680</v>
      </c>
      <c r="BS5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77" s="4">
        <f>Base[[#This Row],[Prévalence_prod]]*(1-Base[[#This Row],[Risque]])*Base[[#This Row],[Durée_arrêt]]*Base[[#This Row],[Population_emploi]]</f>
        <v>39934320.431913733</v>
      </c>
      <c r="BV577" s="4">
        <f>Base[[#This Row],['[Prod']'[Absentéisme']Total_jours_absence_avant]]-Base[[#This Row],['[Prod']'[Absentéisme']Total_jours_absence_après]]</f>
        <v>32544114.568086267</v>
      </c>
      <c r="BW577" s="4">
        <f>IF(AND(Base[[#This Row],[Pathologie]]&lt;&gt;"Dépendance",Base[[#This Row],[Pathologie]]&lt;&gt;"Mort prématurée",Base[[#This Row],[Pathologie]]&lt;&gt;"Migraine"),0.0619,0)</f>
        <v>6.1899999999999997E-2</v>
      </c>
      <c r="BX577" s="4">
        <v>254</v>
      </c>
      <c r="BY577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77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77" s="4">
        <f>Base[[#This Row],[Prévalence_prod]]*Base[[#This Row],[Présentéisme]]*Base[[#This Row],['[Prod']Jours_ouvrés]]</f>
        <v>2.8438856000000001</v>
      </c>
      <c r="CB577" s="4">
        <f>Base[[#This Row],[Prévalence_prod]]*(1-Base[[#This Row],[Risque]])*Base[[#This Row],[Présentéisme]]*Base[[#This Row],['[Prod']Jours_ouvrés]]</f>
        <v>1.5669300643992279</v>
      </c>
      <c r="CC577" s="4">
        <f>Base[[#This Row],['[Prod']'[Présentéisme']Jours_avant]]-Base[[#This Row],['[Prod']'[Présentéisme']Jours_après]]</f>
        <v>1.2769555356007722</v>
      </c>
      <c r="CD577" s="4">
        <f>Base[[#This Row],['[Prod']'[Présentéisme']Jours_gagnés]]/Base[[#This Row],['[Prod']Jours_ouvrés]]</f>
        <v>5.0273839984282375E-3</v>
      </c>
      <c r="CE577">
        <v>9.3428413505841454E-2</v>
      </c>
      <c r="CF577">
        <v>2.1038737314955848E-2</v>
      </c>
      <c r="CG577" s="4">
        <v>11</v>
      </c>
      <c r="CH577" s="4">
        <v>0.31563677172153043</v>
      </c>
      <c r="CI577" s="4">
        <v>1.3003350630813707E-4</v>
      </c>
      <c r="CJ577" s="4">
        <f>IF(Base[[#This Row],[Secteur]]&lt;&gt;"Moyenne",Base[[#This Row],['[Prod']'[Turnover']DMC_initiale]]*(1+Base[[#This Row],['[Prod']'[Turnover']Ecart_accidents]]*Base[[#This Row],['[Prod']Impact_motifs_turnover]]),CJ560*CI560+CJ561*CI561+CJ562*CI562+CJ563*CI563+CJ564*CI564+CJ565*CI565+CJ566*CI566+CJ567*CI567+CJ568*CI568+CJ569*CI569+CJ570*CI570+CJ571*CI571+CJ572*CI572+CJ573*CI573+CJ574*CI574+CJ575*CI575+CJ576*CI576)</f>
        <v>11.073046590399091</v>
      </c>
      <c r="CK577" s="4">
        <f>1/Base[[#This Row],['[Prod']'[Turnover']DMC_initiale]]</f>
        <v>9.0909090909090912E-2</v>
      </c>
      <c r="CL577" s="4">
        <f>1/Base[[#This Row],['[Prod']'[Turnover']DMC_finale]]</f>
        <v>9.030938250246795E-2</v>
      </c>
    </row>
    <row r="578" spans="2:90" x14ac:dyDescent="0.25">
      <c r="B578" s="4" t="s">
        <v>318</v>
      </c>
      <c r="C578">
        <v>30</v>
      </c>
      <c r="D578" t="s">
        <v>85</v>
      </c>
      <c r="E578" t="s">
        <v>7</v>
      </c>
      <c r="F578" s="3">
        <v>0.44901789846988649</v>
      </c>
      <c r="G578" s="3">
        <v>0.1217</v>
      </c>
      <c r="H578" s="3">
        <v>0.1217</v>
      </c>
      <c r="I578" s="3">
        <v>9.1999999999999998E-2</v>
      </c>
      <c r="J578" s="3">
        <v>7.27956</v>
      </c>
      <c r="K578" s="3">
        <v>7.0000000000000007E-2</v>
      </c>
      <c r="L578" s="2">
        <f>Base[[#This Row],[Coût]]*Base[[#This Row],[Part_ménages_dépenses_santé]]</f>
        <v>0.50956920000000006</v>
      </c>
      <c r="M578" s="2">
        <v>1</v>
      </c>
      <c r="N578" s="6">
        <v>27700000</v>
      </c>
      <c r="O578" s="7">
        <f>Base[[#This Row],[Coût_salarié]]*10^9*Base[[#This Row],[Risque]]*Base[[#This Row],[Prévalence]]*Base[[#This Row],[Part_coûts_salarié]]/Base[[#This Row],[Population_emploi]]</f>
        <v>1.0052582177726723</v>
      </c>
      <c r="P578">
        <v>50</v>
      </c>
      <c r="Q578">
        <v>50</v>
      </c>
      <c r="R578" s="2">
        <v>9.9999999999999978E-2</v>
      </c>
      <c r="S578" s="2">
        <v>0.33340000000000003</v>
      </c>
      <c r="T578" s="4">
        <v>0.1217</v>
      </c>
      <c r="U578" s="4">
        <f>IF(Bases_annexes!$F$5=0,16.6587111018772,0.77*Bases_annexes!$F$5/(IF(OR(ISBLANK('Données_d''entrée'!$E$44),'Données_d''entrée'!$E$44=0),35,'Données_d''entrée'!$E$44)*52))</f>
        <v>16.658711101877199</v>
      </c>
      <c r="V578" s="4">
        <v>21.5</v>
      </c>
      <c r="W5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78" s="4">
        <v>234.5</v>
      </c>
      <c r="Y578" s="4">
        <f>(Base[[#This Row],['[Maladies']Coûts_évités_par_salarié]]+Base[[#This Row],['[Travail']Coûts_évités_par_salarié]])/Base[[#This Row],[Budget_santé_salarié]]</f>
        <v>0.13607988080588845</v>
      </c>
      <c r="Z578" s="4">
        <v>0.8</v>
      </c>
      <c r="AA578" s="4">
        <f>Base[[#This Row],[Coût]]*Base[[#This Row],[Part_société_dépenses_santé]]</f>
        <v>5.8236480000000004</v>
      </c>
      <c r="AB578" s="4">
        <v>67635124</v>
      </c>
      <c r="AC578" s="4">
        <v>82.297079063317852</v>
      </c>
      <c r="AD578" s="4">
        <v>0.1217</v>
      </c>
      <c r="AE578" s="4">
        <f>Base[[#This Row],['[SC']Prévalence_travail]]*Base[[#This Row],[Population_emploi]]</f>
        <v>3371090</v>
      </c>
      <c r="AF578" s="4">
        <f>Base[[#This Row],[Risque]]*Base[[#This Row],['[SC']Patients_en_emploi]]</f>
        <v>1513679.7473528497</v>
      </c>
      <c r="AG578" s="4">
        <v>0</v>
      </c>
      <c r="AH578" s="4">
        <f>IFERROR(Base[[#This Row],['[SC']Prestations]]/Base[[#This Row],['[SC']Patients_en_emploi]],0)</f>
        <v>0</v>
      </c>
      <c r="AI578" s="4">
        <v>51.7</v>
      </c>
      <c r="AJ5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78" s="4">
        <f>Base[[#This Row],['[SC']'[Travail']Coûts_évités]]/Base[[#This Row],[Population_emploi]]</f>
        <v>52.265667666268349</v>
      </c>
      <c r="AL578" s="4">
        <f>Base[[#This Row],[Coût_société]]*10^9*Base[[#This Row],[Risque]]*Base[[#This Row],[Prévalence]]*Base[[#This Row],[Part_coûts_salarié]]/Base[[#This Row],[Population_emploi]]</f>
        <v>11.488665345973399</v>
      </c>
      <c r="AM578" s="4">
        <f>IF(Base[[#This Row],[Pathologie]]&lt;&gt;"Dépendance",0,14909.24243952)</f>
        <v>0</v>
      </c>
      <c r="AN578" s="4">
        <f>IF(Base[[#This Row],[Pathologie]]&lt;&gt;"Dépendance",0,1316000)</f>
        <v>0</v>
      </c>
      <c r="AO578" s="4">
        <f>IF(Base[[#This Row],[Pathologie]]&lt;&gt;"Dépendance",0,Base[[#This Row],['[SC']Coût_personne_dépendante]]*Base[[#This Row],['[SC']Nb_personnes_dépendantes]])</f>
        <v>0</v>
      </c>
      <c r="AP578" s="4">
        <f>IF(Base[[#This Row],[Pathologie]]&lt;&gt;"Dépendance",0,Base[[#This Row],['[SC']Coût_total_dépendance]]/Base[[#This Row],[Population_totale]])</f>
        <v>0</v>
      </c>
      <c r="AQ578" s="4">
        <f>IF(Base[[#This Row],[Pathologie]]&lt;&gt;"Dépendance",0,4.5)</f>
        <v>0</v>
      </c>
      <c r="AR578" s="4">
        <v>1.0077957276768601</v>
      </c>
      <c r="AS578" s="4">
        <f>Base[[#This Row],[Espérance_vie]]+Base[[#This Row],['[SC']Hausse_esp_de_vie]]-Base[[#This Row],['[SC']Durée_moyenne_dépendance_avt]]+Base[[#This Row],[Risque]]</f>
        <v>83.753892689464607</v>
      </c>
      <c r="AT5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8" s="4">
        <v>62.9</v>
      </c>
      <c r="AW578" s="4">
        <f t="shared" si="18"/>
        <v>336905600000</v>
      </c>
      <c r="AX578" s="4">
        <v>15049171</v>
      </c>
      <c r="AY578" s="4">
        <f>Base[[#This Row],['[SC']Budget_total_retraites]]/Base[[#This Row],['[SC']Nombre_de_retraités]]</f>
        <v>22386.987296509556</v>
      </c>
      <c r="AZ578" s="4">
        <f>Base[[#This Row],['[SC']Budget_par_retraité]]*Base[[#This Row],['[SC']Nb_personnes_dépendantes]]</f>
        <v>0</v>
      </c>
      <c r="BA578" s="4">
        <f>Base[[#This Row],['[SC']'[Dépendance']Coût_retraite_personnes_dépendantes]]/Base[[#This Row],[Population_totale]]</f>
        <v>0</v>
      </c>
      <c r="BB5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8" s="4">
        <f>Base[[#This Row],['[SC']'[Dépendance']Gains]]-Base[[#This Row],['[SC']'[Dépendance']Coûts]]</f>
        <v>0</v>
      </c>
      <c r="BD578" s="4">
        <f>IF(Base[[#This Row],[Pathologie]]&lt;&gt;"Mort prématurée",0,Base[[#This Row],[Risque]]*Base[[#This Row],[Prévalence]]*Base[[#This Row],[Population_totale]])</f>
        <v>0</v>
      </c>
      <c r="BE578" s="4">
        <v>52.74</v>
      </c>
      <c r="BF578" s="4">
        <f>Base[[#This Row],['[SC']Âge_moyen_retraite]]-Base[[#This Row],['[SC']'[Mort_prématurée']Âge_moyen_mort précoce]]</f>
        <v>10.159999999999997</v>
      </c>
      <c r="BG578" s="4">
        <f>Base[[#This Row],[Espérance_vie]]+Base[[#This Row],['[SC']Hausse_esp_de_vie]]-Base[[#This Row],['[SC']Âge_moyen_retraite]]</f>
        <v>20.404874790994718</v>
      </c>
      <c r="BH578" s="4">
        <v>106583.42676924677</v>
      </c>
      <c r="BI578" s="4">
        <v>97601.789429271477</v>
      </c>
      <c r="BJ578" s="4">
        <v>302038.31496633729</v>
      </c>
      <c r="BK578" s="4">
        <v>117293.58934859755</v>
      </c>
      <c r="BL578" s="4">
        <v>1523999.9999999995</v>
      </c>
      <c r="BM5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8" s="4">
        <v>294804.96027377353</v>
      </c>
      <c r="BO5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8" s="4">
        <f>(Base[[#This Row],['[SC']'[Mort_prématurée']Gains]]-Base[[#This Row],['[SC']'[Mort_prématurée']Coûts]])/Base[[#This Row],[Population_totale]]</f>
        <v>0</v>
      </c>
      <c r="BQ578" s="4">
        <f>IF(Base[[#This Row],[Pathologie]]&lt;&gt;"Mort prématurée",0,Base[[#This Row],[Risque]])</f>
        <v>0</v>
      </c>
      <c r="BR578" s="4">
        <v>2680</v>
      </c>
      <c r="BS5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78" s="4">
        <f>Base[[#This Row],[Prévalence_prod]]*(1-Base[[#This Row],[Risque]])*Base[[#This Row],[Durée_arrêt]]*Base[[#This Row],[Population_emploi]]</f>
        <v>39934320.431913733</v>
      </c>
      <c r="BV578" s="4">
        <f>Base[[#This Row],['[Prod']'[Absentéisme']Total_jours_absence_avant]]-Base[[#This Row],['[Prod']'[Absentéisme']Total_jours_absence_après]]</f>
        <v>32544114.568086267</v>
      </c>
      <c r="BW578" s="4">
        <f>IF(AND(Base[[#This Row],[Pathologie]]&lt;&gt;"Dépendance",Base[[#This Row],[Pathologie]]&lt;&gt;"Mort prématurée",Base[[#This Row],[Pathologie]]&lt;&gt;"Migraine"),0.0619,0)</f>
        <v>6.1899999999999997E-2</v>
      </c>
      <c r="BX578" s="4">
        <v>254</v>
      </c>
      <c r="BY578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78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78" s="4">
        <f>Base[[#This Row],[Prévalence_prod]]*Base[[#This Row],[Présentéisme]]*Base[[#This Row],['[Prod']Jours_ouvrés]]</f>
        <v>2.8438856000000001</v>
      </c>
      <c r="CB578" s="4">
        <f>Base[[#This Row],[Prévalence_prod]]*(1-Base[[#This Row],[Risque]])*Base[[#This Row],[Présentéisme]]*Base[[#This Row],['[Prod']Jours_ouvrés]]</f>
        <v>1.5669300643992279</v>
      </c>
      <c r="CC578" s="4">
        <f>Base[[#This Row],['[Prod']'[Présentéisme']Jours_avant]]-Base[[#This Row],['[Prod']'[Présentéisme']Jours_après]]</f>
        <v>1.2769555356007722</v>
      </c>
      <c r="CD578" s="4">
        <f>Base[[#This Row],['[Prod']'[Présentéisme']Jours_gagnés]]/Base[[#This Row],['[Prod']Jours_ouvrés]]</f>
        <v>5.0273839984282375E-3</v>
      </c>
      <c r="CE578">
        <v>9.3428413505841454E-2</v>
      </c>
      <c r="CF578">
        <v>2.1038737314955848E-2</v>
      </c>
      <c r="CG578" s="4">
        <v>11</v>
      </c>
      <c r="CH578" s="4">
        <v>1.1688035738877327</v>
      </c>
      <c r="CI578" s="4">
        <v>9.6557438521367826E-3</v>
      </c>
      <c r="CJ578" s="4">
        <f>IF(Base[[#This Row],[Secteur]]&lt;&gt;"Moyenne",Base[[#This Row],['[Prod']'[Turnover']DMC_initiale]]*(1+Base[[#This Row],['[Prod']'[Turnover']Ecart_accidents]]*Base[[#This Row],['[Prod']Impact_motifs_turnover]]),CJ561*CI561+CJ562*CI562+CJ563*CI563+CJ564*CI564+CJ565*CI565+CJ566*CI566+CJ567*CI567+CJ568*CI568+CJ569*CI569+CJ570*CI570+CJ571*CI571+CJ572*CI572+CJ573*CI573+CJ574*CI574+CJ575*CI575+CJ576*CI576+CJ577*CI577)</f>
        <v>11.270491665001861</v>
      </c>
      <c r="CK578" s="4">
        <f>1/Base[[#This Row],['[Prod']'[Turnover']DMC_initiale]]</f>
        <v>9.0909090909090912E-2</v>
      </c>
      <c r="CL578" s="4">
        <f>1/Base[[#This Row],['[Prod']'[Turnover']DMC_finale]]</f>
        <v>8.8727273815861069E-2</v>
      </c>
    </row>
    <row r="579" spans="2:90" x14ac:dyDescent="0.25">
      <c r="B579" s="4" t="s">
        <v>319</v>
      </c>
      <c r="C579">
        <v>30</v>
      </c>
      <c r="D579" t="s">
        <v>85</v>
      </c>
      <c r="E579" t="s">
        <v>7</v>
      </c>
      <c r="F579" s="3">
        <v>0.44901789846988649</v>
      </c>
      <c r="G579" s="3">
        <v>0.1217</v>
      </c>
      <c r="H579" s="3">
        <v>0.1217</v>
      </c>
      <c r="I579" s="3">
        <v>9.1999999999999998E-2</v>
      </c>
      <c r="J579" s="3">
        <v>7.27956</v>
      </c>
      <c r="K579" s="3">
        <v>7.0000000000000007E-2</v>
      </c>
      <c r="L579" s="2">
        <f>Base[[#This Row],[Coût]]*Base[[#This Row],[Part_ménages_dépenses_santé]]</f>
        <v>0.50956920000000006</v>
      </c>
      <c r="M579" s="2">
        <v>1</v>
      </c>
      <c r="N579" s="6">
        <v>27700000</v>
      </c>
      <c r="O579" s="7">
        <f>Base[[#This Row],[Coût_salarié]]*10^9*Base[[#This Row],[Risque]]*Base[[#This Row],[Prévalence]]*Base[[#This Row],[Part_coûts_salarié]]/Base[[#This Row],[Population_emploi]]</f>
        <v>1.0052582177726723</v>
      </c>
      <c r="P579">
        <v>50</v>
      </c>
      <c r="Q579">
        <v>50</v>
      </c>
      <c r="R579" s="2">
        <v>9.9999999999999978E-2</v>
      </c>
      <c r="S579" s="2">
        <v>0.33340000000000003</v>
      </c>
      <c r="T579" s="4">
        <v>0.1217</v>
      </c>
      <c r="U579" s="4">
        <f>IF(Bases_annexes!$F$5=0,16.6587111018772,0.77*Bases_annexes!$F$5/(IF(OR(ISBLANK('Données_d''entrée'!$E$44),'Données_d''entrée'!$E$44=0),35,'Données_d''entrée'!$E$44)*52))</f>
        <v>16.658711101877199</v>
      </c>
      <c r="V579" s="4">
        <v>21.5</v>
      </c>
      <c r="W5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79" s="4">
        <v>234.5</v>
      </c>
      <c r="Y579" s="4">
        <f>(Base[[#This Row],['[Maladies']Coûts_évités_par_salarié]]+Base[[#This Row],['[Travail']Coûts_évités_par_salarié]])/Base[[#This Row],[Budget_santé_salarié]]</f>
        <v>0.13607988080588845</v>
      </c>
      <c r="Z579" s="4">
        <v>0.8</v>
      </c>
      <c r="AA579" s="4">
        <f>Base[[#This Row],[Coût]]*Base[[#This Row],[Part_société_dépenses_santé]]</f>
        <v>5.8236480000000004</v>
      </c>
      <c r="AB579" s="4">
        <v>67635124</v>
      </c>
      <c r="AC579" s="4">
        <v>82.297079063317852</v>
      </c>
      <c r="AD579" s="4">
        <v>0.1217</v>
      </c>
      <c r="AE579" s="4">
        <f>Base[[#This Row],['[SC']Prévalence_travail]]*Base[[#This Row],[Population_emploi]]</f>
        <v>3371090</v>
      </c>
      <c r="AF579" s="4">
        <f>Base[[#This Row],[Risque]]*Base[[#This Row],['[SC']Patients_en_emploi]]</f>
        <v>1513679.7473528497</v>
      </c>
      <c r="AG579" s="4">
        <v>0</v>
      </c>
      <c r="AH579" s="4">
        <f>IFERROR(Base[[#This Row],['[SC']Prestations]]/Base[[#This Row],['[SC']Patients_en_emploi]],0)</f>
        <v>0</v>
      </c>
      <c r="AI579" s="4">
        <v>51.7</v>
      </c>
      <c r="AJ5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79" s="4">
        <f>Base[[#This Row],['[SC']'[Travail']Coûts_évités]]/Base[[#This Row],[Population_emploi]]</f>
        <v>52.265667666268349</v>
      </c>
      <c r="AL579" s="4">
        <f>Base[[#This Row],[Coût_société]]*10^9*Base[[#This Row],[Risque]]*Base[[#This Row],[Prévalence]]*Base[[#This Row],[Part_coûts_salarié]]/Base[[#This Row],[Population_emploi]]</f>
        <v>11.488665345973399</v>
      </c>
      <c r="AM579" s="4">
        <f>IF(Base[[#This Row],[Pathologie]]&lt;&gt;"Dépendance",0,14909.24243952)</f>
        <v>0</v>
      </c>
      <c r="AN579" s="4">
        <f>IF(Base[[#This Row],[Pathologie]]&lt;&gt;"Dépendance",0,1316000)</f>
        <v>0</v>
      </c>
      <c r="AO579" s="4">
        <f>IF(Base[[#This Row],[Pathologie]]&lt;&gt;"Dépendance",0,Base[[#This Row],['[SC']Coût_personne_dépendante]]*Base[[#This Row],['[SC']Nb_personnes_dépendantes]])</f>
        <v>0</v>
      </c>
      <c r="AP579" s="4">
        <f>IF(Base[[#This Row],[Pathologie]]&lt;&gt;"Dépendance",0,Base[[#This Row],['[SC']Coût_total_dépendance]]/Base[[#This Row],[Population_totale]])</f>
        <v>0</v>
      </c>
      <c r="AQ579" s="4">
        <f>IF(Base[[#This Row],[Pathologie]]&lt;&gt;"Dépendance",0,4.5)</f>
        <v>0</v>
      </c>
      <c r="AR579" s="4">
        <v>1.0077957276768601</v>
      </c>
      <c r="AS579" s="4">
        <f>Base[[#This Row],[Espérance_vie]]+Base[[#This Row],['[SC']Hausse_esp_de_vie]]-Base[[#This Row],['[SC']Durée_moyenne_dépendance_avt]]+Base[[#This Row],[Risque]]</f>
        <v>83.753892689464607</v>
      </c>
      <c r="AT5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79" s="4">
        <v>62.9</v>
      </c>
      <c r="AW579" s="4">
        <f t="shared" si="18"/>
        <v>336905600000</v>
      </c>
      <c r="AX579" s="4">
        <v>15049171</v>
      </c>
      <c r="AY579" s="4">
        <f>Base[[#This Row],['[SC']Budget_total_retraites]]/Base[[#This Row],['[SC']Nombre_de_retraités]]</f>
        <v>22386.987296509556</v>
      </c>
      <c r="AZ579" s="4">
        <f>Base[[#This Row],['[SC']Budget_par_retraité]]*Base[[#This Row],['[SC']Nb_personnes_dépendantes]]</f>
        <v>0</v>
      </c>
      <c r="BA579" s="4">
        <f>Base[[#This Row],['[SC']'[Dépendance']Coût_retraite_personnes_dépendantes]]/Base[[#This Row],[Population_totale]]</f>
        <v>0</v>
      </c>
      <c r="BB5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79" s="4">
        <f>Base[[#This Row],['[SC']'[Dépendance']Gains]]-Base[[#This Row],['[SC']'[Dépendance']Coûts]]</f>
        <v>0</v>
      </c>
      <c r="BD579" s="4">
        <f>IF(Base[[#This Row],[Pathologie]]&lt;&gt;"Mort prématurée",0,Base[[#This Row],[Risque]]*Base[[#This Row],[Prévalence]]*Base[[#This Row],[Population_totale]])</f>
        <v>0</v>
      </c>
      <c r="BE579" s="4">
        <v>52.74</v>
      </c>
      <c r="BF579" s="4">
        <f>Base[[#This Row],['[SC']Âge_moyen_retraite]]-Base[[#This Row],['[SC']'[Mort_prématurée']Âge_moyen_mort précoce]]</f>
        <v>10.159999999999997</v>
      </c>
      <c r="BG579" s="4">
        <f>Base[[#This Row],[Espérance_vie]]+Base[[#This Row],['[SC']Hausse_esp_de_vie]]-Base[[#This Row],['[SC']Âge_moyen_retraite]]</f>
        <v>20.404874790994718</v>
      </c>
      <c r="BH579" s="4">
        <v>106583.42676924677</v>
      </c>
      <c r="BI579" s="4">
        <v>97601.789429271477</v>
      </c>
      <c r="BJ579" s="4">
        <v>302038.31496633729</v>
      </c>
      <c r="BK579" s="4">
        <v>117293.58934859755</v>
      </c>
      <c r="BL579" s="4">
        <v>1523999.9999999995</v>
      </c>
      <c r="BM5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79" s="4">
        <v>294804.96027377353</v>
      </c>
      <c r="BO5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79" s="4">
        <f>(Base[[#This Row],['[SC']'[Mort_prématurée']Gains]]-Base[[#This Row],['[SC']'[Mort_prématurée']Coûts]])/Base[[#This Row],[Population_totale]]</f>
        <v>0</v>
      </c>
      <c r="BQ579" s="4">
        <f>IF(Base[[#This Row],[Pathologie]]&lt;&gt;"Mort prématurée",0,Base[[#This Row],[Risque]])</f>
        <v>0</v>
      </c>
      <c r="BR579" s="4">
        <v>2680</v>
      </c>
      <c r="BS5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79" s="4">
        <f>Base[[#This Row],[Prévalence_prod]]*(1-Base[[#This Row],[Risque]])*Base[[#This Row],[Durée_arrêt]]*Base[[#This Row],[Population_emploi]]</f>
        <v>39934320.431913733</v>
      </c>
      <c r="BV579" s="4">
        <f>Base[[#This Row],['[Prod']'[Absentéisme']Total_jours_absence_avant]]-Base[[#This Row],['[Prod']'[Absentéisme']Total_jours_absence_après]]</f>
        <v>32544114.568086267</v>
      </c>
      <c r="BW579" s="4">
        <f>IF(AND(Base[[#This Row],[Pathologie]]&lt;&gt;"Dépendance",Base[[#This Row],[Pathologie]]&lt;&gt;"Mort prématurée",Base[[#This Row],[Pathologie]]&lt;&gt;"Migraine"),0.0619,0)</f>
        <v>6.1899999999999997E-2</v>
      </c>
      <c r="BX579" s="4">
        <v>254</v>
      </c>
      <c r="BY57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79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79" s="4">
        <f>Base[[#This Row],[Prévalence_prod]]*Base[[#This Row],[Présentéisme]]*Base[[#This Row],['[Prod']Jours_ouvrés]]</f>
        <v>2.8438856000000001</v>
      </c>
      <c r="CB579" s="4">
        <f>Base[[#This Row],[Prévalence_prod]]*(1-Base[[#This Row],[Risque]])*Base[[#This Row],[Présentéisme]]*Base[[#This Row],['[Prod']Jours_ouvrés]]</f>
        <v>1.5669300643992279</v>
      </c>
      <c r="CC579" s="4">
        <f>Base[[#This Row],['[Prod']'[Présentéisme']Jours_avant]]-Base[[#This Row],['[Prod']'[Présentéisme']Jours_après]]</f>
        <v>1.2769555356007722</v>
      </c>
      <c r="CD579" s="4">
        <f>Base[[#This Row],['[Prod']'[Présentéisme']Jours_gagnés]]/Base[[#This Row],['[Prod']Jours_ouvrés]]</f>
        <v>5.0273839984282375E-3</v>
      </c>
      <c r="CE579">
        <v>9.3428413505841454E-2</v>
      </c>
      <c r="CF579">
        <v>2.1038737314955848E-2</v>
      </c>
      <c r="CG579" s="4">
        <v>11</v>
      </c>
      <c r="CH579" s="4">
        <v>0.52204401140486179</v>
      </c>
      <c r="CI579" s="4">
        <v>1.2443904150185675E-2</v>
      </c>
      <c r="CJ579" s="4">
        <f>IF(Base[[#This Row],[Secteur]]&lt;&gt;"Moyenne",Base[[#This Row],['[Prod']'[Turnover']DMC_initiale]]*(1+Base[[#This Row],['[Prod']'[Turnover']Ecart_accidents]]*Base[[#This Row],['[Prod']Impact_motifs_turnover]]),CJ562*CI562+CJ563*CI563+CJ564*CI564+CJ565*CI565+CJ566*CI566+CJ567*CI567+CJ568*CI568+CJ569*CI569+CJ570*CI570+CJ571*CI571+CJ572*CI572+CJ573*CI573+CJ574*CI574+CJ575*CI575+CJ576*CI576+CJ577*CI577+CJ578*CI578)</f>
        <v>11.120814615050721</v>
      </c>
      <c r="CK579" s="4">
        <f>1/Base[[#This Row],['[Prod']'[Turnover']DMC_initiale]]</f>
        <v>9.0909090909090912E-2</v>
      </c>
      <c r="CL579" s="4">
        <f>1/Base[[#This Row],['[Prod']'[Turnover']DMC_finale]]</f>
        <v>8.9921470199369843E-2</v>
      </c>
    </row>
    <row r="580" spans="2:90" x14ac:dyDescent="0.25">
      <c r="B580" s="4" t="s">
        <v>320</v>
      </c>
      <c r="C580">
        <v>30</v>
      </c>
      <c r="D580" t="s">
        <v>85</v>
      </c>
      <c r="E580" t="s">
        <v>7</v>
      </c>
      <c r="F580" s="3">
        <v>0.44901789846988649</v>
      </c>
      <c r="G580" s="3">
        <v>0.1217</v>
      </c>
      <c r="H580" s="3">
        <v>0.1217</v>
      </c>
      <c r="I580" s="3">
        <v>9.1999999999999998E-2</v>
      </c>
      <c r="J580" s="3">
        <v>7.27956</v>
      </c>
      <c r="K580" s="3">
        <v>7.0000000000000007E-2</v>
      </c>
      <c r="L580" s="2">
        <f>Base[[#This Row],[Coût]]*Base[[#This Row],[Part_ménages_dépenses_santé]]</f>
        <v>0.50956920000000006</v>
      </c>
      <c r="M580" s="2">
        <v>1</v>
      </c>
      <c r="N580" s="6">
        <v>27700000</v>
      </c>
      <c r="O580" s="7">
        <f>Base[[#This Row],[Coût_salarié]]*10^9*Base[[#This Row],[Risque]]*Base[[#This Row],[Prévalence]]*Base[[#This Row],[Part_coûts_salarié]]/Base[[#This Row],[Population_emploi]]</f>
        <v>1.0052582177726723</v>
      </c>
      <c r="P580">
        <v>50</v>
      </c>
      <c r="Q580">
        <v>50</v>
      </c>
      <c r="R580" s="2">
        <v>9.9999999999999978E-2</v>
      </c>
      <c r="S580" s="2">
        <v>0.33340000000000003</v>
      </c>
      <c r="T580" s="4">
        <v>0.1217</v>
      </c>
      <c r="U580" s="4">
        <f>IF(Bases_annexes!$F$5=0,16.6587111018772,0.77*Bases_annexes!$F$5/(IF(OR(ISBLANK('Données_d''entrée'!$E$44),'Données_d''entrée'!$E$44=0),35,'Données_d''entrée'!$E$44)*52))</f>
        <v>16.658711101877199</v>
      </c>
      <c r="V580" s="4">
        <v>21.5</v>
      </c>
      <c r="W5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0" s="4">
        <v>234.5</v>
      </c>
      <c r="Y580" s="4">
        <f>(Base[[#This Row],['[Maladies']Coûts_évités_par_salarié]]+Base[[#This Row],['[Travail']Coûts_évités_par_salarié]])/Base[[#This Row],[Budget_santé_salarié]]</f>
        <v>0.13607988080588845</v>
      </c>
      <c r="Z580" s="4">
        <v>0.8</v>
      </c>
      <c r="AA580" s="4">
        <f>Base[[#This Row],[Coût]]*Base[[#This Row],[Part_société_dépenses_santé]]</f>
        <v>5.8236480000000004</v>
      </c>
      <c r="AB580" s="4">
        <v>67635124</v>
      </c>
      <c r="AC580" s="4">
        <v>82.297079063317852</v>
      </c>
      <c r="AD580" s="4">
        <v>0.1217</v>
      </c>
      <c r="AE580" s="4">
        <f>Base[[#This Row],['[SC']Prévalence_travail]]*Base[[#This Row],[Population_emploi]]</f>
        <v>3371090</v>
      </c>
      <c r="AF580" s="4">
        <f>Base[[#This Row],[Risque]]*Base[[#This Row],['[SC']Patients_en_emploi]]</f>
        <v>1513679.7473528497</v>
      </c>
      <c r="AG580" s="4">
        <v>0</v>
      </c>
      <c r="AH580" s="4">
        <f>IFERROR(Base[[#This Row],['[SC']Prestations]]/Base[[#This Row],['[SC']Patients_en_emploi]],0)</f>
        <v>0</v>
      </c>
      <c r="AI580" s="4">
        <v>51.7</v>
      </c>
      <c r="AJ5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0" s="4">
        <f>Base[[#This Row],['[SC']'[Travail']Coûts_évités]]/Base[[#This Row],[Population_emploi]]</f>
        <v>52.265667666268349</v>
      </c>
      <c r="AL580" s="4">
        <f>Base[[#This Row],[Coût_société]]*10^9*Base[[#This Row],[Risque]]*Base[[#This Row],[Prévalence]]*Base[[#This Row],[Part_coûts_salarié]]/Base[[#This Row],[Population_emploi]]</f>
        <v>11.488665345973399</v>
      </c>
      <c r="AM580" s="4">
        <f>IF(Base[[#This Row],[Pathologie]]&lt;&gt;"Dépendance",0,14909.24243952)</f>
        <v>0</v>
      </c>
      <c r="AN580" s="4">
        <f>IF(Base[[#This Row],[Pathologie]]&lt;&gt;"Dépendance",0,1316000)</f>
        <v>0</v>
      </c>
      <c r="AO580" s="4">
        <f>IF(Base[[#This Row],[Pathologie]]&lt;&gt;"Dépendance",0,Base[[#This Row],['[SC']Coût_personne_dépendante]]*Base[[#This Row],['[SC']Nb_personnes_dépendantes]])</f>
        <v>0</v>
      </c>
      <c r="AP580" s="4">
        <f>IF(Base[[#This Row],[Pathologie]]&lt;&gt;"Dépendance",0,Base[[#This Row],['[SC']Coût_total_dépendance]]/Base[[#This Row],[Population_totale]])</f>
        <v>0</v>
      </c>
      <c r="AQ580" s="4">
        <f>IF(Base[[#This Row],[Pathologie]]&lt;&gt;"Dépendance",0,4.5)</f>
        <v>0</v>
      </c>
      <c r="AR580" s="4">
        <v>1.0077957276768601</v>
      </c>
      <c r="AS580" s="4">
        <f>Base[[#This Row],[Espérance_vie]]+Base[[#This Row],['[SC']Hausse_esp_de_vie]]-Base[[#This Row],['[SC']Durée_moyenne_dépendance_avt]]+Base[[#This Row],[Risque]]</f>
        <v>83.753892689464607</v>
      </c>
      <c r="AT5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0" s="4">
        <v>62.9</v>
      </c>
      <c r="AW580" s="4">
        <f t="shared" si="18"/>
        <v>336905600000</v>
      </c>
      <c r="AX580" s="4">
        <v>15049171</v>
      </c>
      <c r="AY580" s="4">
        <f>Base[[#This Row],['[SC']Budget_total_retraites]]/Base[[#This Row],['[SC']Nombre_de_retraités]]</f>
        <v>22386.987296509556</v>
      </c>
      <c r="AZ580" s="4">
        <f>Base[[#This Row],['[SC']Budget_par_retraité]]*Base[[#This Row],['[SC']Nb_personnes_dépendantes]]</f>
        <v>0</v>
      </c>
      <c r="BA580" s="4">
        <f>Base[[#This Row],['[SC']'[Dépendance']Coût_retraite_personnes_dépendantes]]/Base[[#This Row],[Population_totale]]</f>
        <v>0</v>
      </c>
      <c r="BB5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0" s="4">
        <f>Base[[#This Row],['[SC']'[Dépendance']Gains]]-Base[[#This Row],['[SC']'[Dépendance']Coûts]]</f>
        <v>0</v>
      </c>
      <c r="BD580" s="4">
        <f>IF(Base[[#This Row],[Pathologie]]&lt;&gt;"Mort prématurée",0,Base[[#This Row],[Risque]]*Base[[#This Row],[Prévalence]]*Base[[#This Row],[Population_totale]])</f>
        <v>0</v>
      </c>
      <c r="BE580" s="4">
        <v>52.74</v>
      </c>
      <c r="BF580" s="4">
        <f>Base[[#This Row],['[SC']Âge_moyen_retraite]]-Base[[#This Row],['[SC']'[Mort_prématurée']Âge_moyen_mort précoce]]</f>
        <v>10.159999999999997</v>
      </c>
      <c r="BG580" s="4">
        <f>Base[[#This Row],[Espérance_vie]]+Base[[#This Row],['[SC']Hausse_esp_de_vie]]-Base[[#This Row],['[SC']Âge_moyen_retraite]]</f>
        <v>20.404874790994718</v>
      </c>
      <c r="BH580" s="4">
        <v>106583.42676924677</v>
      </c>
      <c r="BI580" s="4">
        <v>97601.789429271477</v>
      </c>
      <c r="BJ580" s="4">
        <v>302038.31496633729</v>
      </c>
      <c r="BK580" s="4">
        <v>117293.58934859755</v>
      </c>
      <c r="BL580" s="4">
        <v>1523999.9999999995</v>
      </c>
      <c r="BM5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0" s="4">
        <v>294804.96027377353</v>
      </c>
      <c r="BO5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0" s="4">
        <f>(Base[[#This Row],['[SC']'[Mort_prématurée']Gains]]-Base[[#This Row],['[SC']'[Mort_prématurée']Coûts]])/Base[[#This Row],[Population_totale]]</f>
        <v>0</v>
      </c>
      <c r="BQ580" s="4">
        <f>IF(Base[[#This Row],[Pathologie]]&lt;&gt;"Mort prématurée",0,Base[[#This Row],[Risque]])</f>
        <v>0</v>
      </c>
      <c r="BR580" s="4">
        <v>2680</v>
      </c>
      <c r="BS5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0" s="4">
        <f>Base[[#This Row],[Prévalence_prod]]*(1-Base[[#This Row],[Risque]])*Base[[#This Row],[Durée_arrêt]]*Base[[#This Row],[Population_emploi]]</f>
        <v>39934320.431913733</v>
      </c>
      <c r="BV580" s="4">
        <f>Base[[#This Row],['[Prod']'[Absentéisme']Total_jours_absence_avant]]-Base[[#This Row],['[Prod']'[Absentéisme']Total_jours_absence_après]]</f>
        <v>32544114.568086267</v>
      </c>
      <c r="BW580" s="4">
        <f>IF(AND(Base[[#This Row],[Pathologie]]&lt;&gt;"Dépendance",Base[[#This Row],[Pathologie]]&lt;&gt;"Mort prématurée",Base[[#This Row],[Pathologie]]&lt;&gt;"Migraine"),0.0619,0)</f>
        <v>6.1899999999999997E-2</v>
      </c>
      <c r="BX580" s="4">
        <v>254</v>
      </c>
      <c r="BY58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0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0" s="4">
        <f>Base[[#This Row],[Prévalence_prod]]*Base[[#This Row],[Présentéisme]]*Base[[#This Row],['[Prod']Jours_ouvrés]]</f>
        <v>2.8438856000000001</v>
      </c>
      <c r="CB580" s="4">
        <f>Base[[#This Row],[Prévalence_prod]]*(1-Base[[#This Row],[Risque]])*Base[[#This Row],[Présentéisme]]*Base[[#This Row],['[Prod']Jours_ouvrés]]</f>
        <v>1.5669300643992279</v>
      </c>
      <c r="CC580" s="4">
        <f>Base[[#This Row],['[Prod']'[Présentéisme']Jours_avant]]-Base[[#This Row],['[Prod']'[Présentéisme']Jours_après]]</f>
        <v>1.2769555356007722</v>
      </c>
      <c r="CD580" s="4">
        <f>Base[[#This Row],['[Prod']'[Présentéisme']Jours_gagnés]]/Base[[#This Row],['[Prod']Jours_ouvrés]]</f>
        <v>5.0273839984282375E-3</v>
      </c>
      <c r="CE580">
        <v>9.3428413505841454E-2</v>
      </c>
      <c r="CF580">
        <v>2.1038737314955848E-2</v>
      </c>
      <c r="CG580" s="4">
        <v>11</v>
      </c>
      <c r="CH580" s="4">
        <v>0.49446424657188709</v>
      </c>
      <c r="CI580" s="4">
        <v>1.0795805058605798E-2</v>
      </c>
      <c r="CJ580" s="4">
        <f>IF(Base[[#This Row],[Secteur]]&lt;&gt;"Moyenne",Base[[#This Row],['[Prod']'[Turnover']DMC_initiale]]*(1+Base[[#This Row],['[Prod']'[Turnover']Ecart_accidents]]*Base[[#This Row],['[Prod']Impact_motifs_turnover]]),CJ563*CI563+CJ564*CI564+CJ565*CI565+CJ566*CI566+CJ567*CI567+CJ568*CI568+CJ569*CI569+CJ570*CI570+CJ571*CI571+CJ572*CI572+CJ573*CI573+CJ574*CI574+CJ575*CI575+CJ576*CI576+CJ577*CI577+CJ578*CI578+CJ579*CI579)</f>
        <v>11.114431937347899</v>
      </c>
      <c r="CK580" s="4">
        <f>1/Base[[#This Row],['[Prod']'[Turnover']DMC_initiale]]</f>
        <v>9.0909090909090912E-2</v>
      </c>
      <c r="CL580" s="4">
        <f>1/Base[[#This Row],['[Prod']'[Turnover']DMC_finale]]</f>
        <v>8.9973109344409538E-2</v>
      </c>
    </row>
    <row r="581" spans="2:90" x14ac:dyDescent="0.25">
      <c r="B581" s="4" t="s">
        <v>321</v>
      </c>
      <c r="C581">
        <v>30</v>
      </c>
      <c r="D581" t="s">
        <v>85</v>
      </c>
      <c r="E581" t="s">
        <v>7</v>
      </c>
      <c r="F581" s="3">
        <v>0.44901789846988649</v>
      </c>
      <c r="G581" s="3">
        <v>0.1217</v>
      </c>
      <c r="H581" s="3">
        <v>0.1217</v>
      </c>
      <c r="I581" s="3">
        <v>9.1999999999999998E-2</v>
      </c>
      <c r="J581" s="3">
        <v>7.27956</v>
      </c>
      <c r="K581" s="3">
        <v>7.0000000000000007E-2</v>
      </c>
      <c r="L581" s="2">
        <f>Base[[#This Row],[Coût]]*Base[[#This Row],[Part_ménages_dépenses_santé]]</f>
        <v>0.50956920000000006</v>
      </c>
      <c r="M581" s="2">
        <v>1</v>
      </c>
      <c r="N581" s="6">
        <v>27700000</v>
      </c>
      <c r="O581" s="7">
        <f>Base[[#This Row],[Coût_salarié]]*10^9*Base[[#This Row],[Risque]]*Base[[#This Row],[Prévalence]]*Base[[#This Row],[Part_coûts_salarié]]/Base[[#This Row],[Population_emploi]]</f>
        <v>1.0052582177726723</v>
      </c>
      <c r="P581">
        <v>50</v>
      </c>
      <c r="Q581">
        <v>50</v>
      </c>
      <c r="R581" s="2">
        <v>9.9999999999999978E-2</v>
      </c>
      <c r="S581" s="2">
        <v>0.33340000000000003</v>
      </c>
      <c r="T581" s="4">
        <v>0.1217</v>
      </c>
      <c r="U581" s="4">
        <f>IF(Bases_annexes!$F$5=0,16.6587111018772,0.77*Bases_annexes!$F$5/(IF(OR(ISBLANK('Données_d''entrée'!$E$44),'Données_d''entrée'!$E$44=0),35,'Données_d''entrée'!$E$44)*52))</f>
        <v>16.658711101877199</v>
      </c>
      <c r="V581" s="4">
        <v>21.5</v>
      </c>
      <c r="W5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1" s="4">
        <v>234.5</v>
      </c>
      <c r="Y581" s="4">
        <f>(Base[[#This Row],['[Maladies']Coûts_évités_par_salarié]]+Base[[#This Row],['[Travail']Coûts_évités_par_salarié]])/Base[[#This Row],[Budget_santé_salarié]]</f>
        <v>0.13607988080588845</v>
      </c>
      <c r="Z581" s="4">
        <v>0.8</v>
      </c>
      <c r="AA581" s="4">
        <f>Base[[#This Row],[Coût]]*Base[[#This Row],[Part_société_dépenses_santé]]</f>
        <v>5.8236480000000004</v>
      </c>
      <c r="AB581" s="4">
        <v>67635124</v>
      </c>
      <c r="AC581" s="4">
        <v>82.297079063317852</v>
      </c>
      <c r="AD581" s="4">
        <v>0.1217</v>
      </c>
      <c r="AE581" s="4">
        <f>Base[[#This Row],['[SC']Prévalence_travail]]*Base[[#This Row],[Population_emploi]]</f>
        <v>3371090</v>
      </c>
      <c r="AF581" s="4">
        <f>Base[[#This Row],[Risque]]*Base[[#This Row],['[SC']Patients_en_emploi]]</f>
        <v>1513679.7473528497</v>
      </c>
      <c r="AG581" s="4">
        <v>0</v>
      </c>
      <c r="AH581" s="4">
        <f>IFERROR(Base[[#This Row],['[SC']Prestations]]/Base[[#This Row],['[SC']Patients_en_emploi]],0)</f>
        <v>0</v>
      </c>
      <c r="AI581" s="4">
        <v>51.7</v>
      </c>
      <c r="AJ5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1" s="4">
        <f>Base[[#This Row],['[SC']'[Travail']Coûts_évités]]/Base[[#This Row],[Population_emploi]]</f>
        <v>52.265667666268349</v>
      </c>
      <c r="AL581" s="4">
        <f>Base[[#This Row],[Coût_société]]*10^9*Base[[#This Row],[Risque]]*Base[[#This Row],[Prévalence]]*Base[[#This Row],[Part_coûts_salarié]]/Base[[#This Row],[Population_emploi]]</f>
        <v>11.488665345973399</v>
      </c>
      <c r="AM581" s="4">
        <f>IF(Base[[#This Row],[Pathologie]]&lt;&gt;"Dépendance",0,14909.24243952)</f>
        <v>0</v>
      </c>
      <c r="AN581" s="4">
        <f>IF(Base[[#This Row],[Pathologie]]&lt;&gt;"Dépendance",0,1316000)</f>
        <v>0</v>
      </c>
      <c r="AO581" s="4">
        <f>IF(Base[[#This Row],[Pathologie]]&lt;&gt;"Dépendance",0,Base[[#This Row],['[SC']Coût_personne_dépendante]]*Base[[#This Row],['[SC']Nb_personnes_dépendantes]])</f>
        <v>0</v>
      </c>
      <c r="AP581" s="4">
        <f>IF(Base[[#This Row],[Pathologie]]&lt;&gt;"Dépendance",0,Base[[#This Row],['[SC']Coût_total_dépendance]]/Base[[#This Row],[Population_totale]])</f>
        <v>0</v>
      </c>
      <c r="AQ581" s="4">
        <f>IF(Base[[#This Row],[Pathologie]]&lt;&gt;"Dépendance",0,4.5)</f>
        <v>0</v>
      </c>
      <c r="AR581" s="4">
        <v>1.0077957276768601</v>
      </c>
      <c r="AS581" s="4">
        <f>Base[[#This Row],[Espérance_vie]]+Base[[#This Row],['[SC']Hausse_esp_de_vie]]-Base[[#This Row],['[SC']Durée_moyenne_dépendance_avt]]+Base[[#This Row],[Risque]]</f>
        <v>83.753892689464607</v>
      </c>
      <c r="AT5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1" s="4">
        <v>62.9</v>
      </c>
      <c r="AW581" s="4">
        <f t="shared" si="18"/>
        <v>336905600000</v>
      </c>
      <c r="AX581" s="4">
        <v>15049171</v>
      </c>
      <c r="AY581" s="4">
        <f>Base[[#This Row],['[SC']Budget_total_retraites]]/Base[[#This Row],['[SC']Nombre_de_retraités]]</f>
        <v>22386.987296509556</v>
      </c>
      <c r="AZ581" s="4">
        <f>Base[[#This Row],['[SC']Budget_par_retraité]]*Base[[#This Row],['[SC']Nb_personnes_dépendantes]]</f>
        <v>0</v>
      </c>
      <c r="BA581" s="4">
        <f>Base[[#This Row],['[SC']'[Dépendance']Coût_retraite_personnes_dépendantes]]/Base[[#This Row],[Population_totale]]</f>
        <v>0</v>
      </c>
      <c r="BB5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1" s="4">
        <f>Base[[#This Row],['[SC']'[Dépendance']Gains]]-Base[[#This Row],['[SC']'[Dépendance']Coûts]]</f>
        <v>0</v>
      </c>
      <c r="BD581" s="4">
        <f>IF(Base[[#This Row],[Pathologie]]&lt;&gt;"Mort prématurée",0,Base[[#This Row],[Risque]]*Base[[#This Row],[Prévalence]]*Base[[#This Row],[Population_totale]])</f>
        <v>0</v>
      </c>
      <c r="BE581" s="4">
        <v>52.74</v>
      </c>
      <c r="BF581" s="4">
        <f>Base[[#This Row],['[SC']Âge_moyen_retraite]]-Base[[#This Row],['[SC']'[Mort_prématurée']Âge_moyen_mort précoce]]</f>
        <v>10.159999999999997</v>
      </c>
      <c r="BG581" s="4">
        <f>Base[[#This Row],[Espérance_vie]]+Base[[#This Row],['[SC']Hausse_esp_de_vie]]-Base[[#This Row],['[SC']Âge_moyen_retraite]]</f>
        <v>20.404874790994718</v>
      </c>
      <c r="BH581" s="4">
        <v>106583.42676924677</v>
      </c>
      <c r="BI581" s="4">
        <v>97601.789429271477</v>
      </c>
      <c r="BJ581" s="4">
        <v>302038.31496633729</v>
      </c>
      <c r="BK581" s="4">
        <v>117293.58934859755</v>
      </c>
      <c r="BL581" s="4">
        <v>1523999.9999999995</v>
      </c>
      <c r="BM5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1" s="4">
        <v>294804.96027377353</v>
      </c>
      <c r="BO5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1" s="4">
        <f>(Base[[#This Row],['[SC']'[Mort_prématurée']Gains]]-Base[[#This Row],['[SC']'[Mort_prématurée']Coûts]])/Base[[#This Row],[Population_totale]]</f>
        <v>0</v>
      </c>
      <c r="BQ581" s="4">
        <f>IF(Base[[#This Row],[Pathologie]]&lt;&gt;"Mort prématurée",0,Base[[#This Row],[Risque]])</f>
        <v>0</v>
      </c>
      <c r="BR581" s="4">
        <v>2680</v>
      </c>
      <c r="BS5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1" s="4">
        <f>Base[[#This Row],[Prévalence_prod]]*(1-Base[[#This Row],[Risque]])*Base[[#This Row],[Durée_arrêt]]*Base[[#This Row],[Population_emploi]]</f>
        <v>39934320.431913733</v>
      </c>
      <c r="BV581" s="4">
        <f>Base[[#This Row],['[Prod']'[Absentéisme']Total_jours_absence_avant]]-Base[[#This Row],['[Prod']'[Absentéisme']Total_jours_absence_après]]</f>
        <v>32544114.568086267</v>
      </c>
      <c r="BW581" s="4">
        <f>IF(AND(Base[[#This Row],[Pathologie]]&lt;&gt;"Dépendance",Base[[#This Row],[Pathologie]]&lt;&gt;"Mort prématurée",Base[[#This Row],[Pathologie]]&lt;&gt;"Migraine"),0.0619,0)</f>
        <v>6.1899999999999997E-2</v>
      </c>
      <c r="BX581" s="4">
        <v>254</v>
      </c>
      <c r="BY581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1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1" s="4">
        <f>Base[[#This Row],[Prévalence_prod]]*Base[[#This Row],[Présentéisme]]*Base[[#This Row],['[Prod']Jours_ouvrés]]</f>
        <v>2.8438856000000001</v>
      </c>
      <c r="CB581" s="4">
        <f>Base[[#This Row],[Prévalence_prod]]*(1-Base[[#This Row],[Risque]])*Base[[#This Row],[Présentéisme]]*Base[[#This Row],['[Prod']Jours_ouvrés]]</f>
        <v>1.5669300643992279</v>
      </c>
      <c r="CC581" s="4">
        <f>Base[[#This Row],['[Prod']'[Présentéisme']Jours_avant]]-Base[[#This Row],['[Prod']'[Présentéisme']Jours_après]]</f>
        <v>1.2769555356007722</v>
      </c>
      <c r="CD581" s="4">
        <f>Base[[#This Row],['[Prod']'[Présentéisme']Jours_gagnés]]/Base[[#This Row],['[Prod']Jours_ouvrés]]</f>
        <v>5.0273839984282375E-3</v>
      </c>
      <c r="CE581">
        <v>9.3428413505841454E-2</v>
      </c>
      <c r="CF581">
        <v>2.1038737314955848E-2</v>
      </c>
      <c r="CG581" s="4">
        <v>11</v>
      </c>
      <c r="CH581" s="4">
        <v>0.85274500894619554</v>
      </c>
      <c r="CI581" s="4">
        <v>4.2903496994109176E-2</v>
      </c>
      <c r="CJ581" s="4">
        <f>IF(Base[[#This Row],[Secteur]]&lt;&gt;"Moyenne",Base[[#This Row],['[Prod']'[Turnover']DMC_initiale]]*(1+Base[[#This Row],['[Prod']'[Turnover']Ecart_accidents]]*Base[[#This Row],['[Prod']Impact_motifs_turnover]]),CJ564*CI564+CJ565*CI565+CJ566*CI566+CJ567*CI567+CJ568*CI568+CJ569*CI569+CJ570*CI570+CJ571*CI571+CJ572*CI572+CJ573*CI573+CJ574*CI574+CJ575*CI575+CJ576*CI576+CJ577*CI577+CJ578*CI578+CJ579*CI579+CJ580*CI580)</f>
        <v>11.197347460638447</v>
      </c>
      <c r="CK581" s="4">
        <f>1/Base[[#This Row],['[Prod']'[Turnover']DMC_initiale]]</f>
        <v>9.0909090909090912E-2</v>
      </c>
      <c r="CL581" s="4">
        <f>1/Base[[#This Row],['[Prod']'[Turnover']DMC_finale]]</f>
        <v>8.930686517635153E-2</v>
      </c>
    </row>
    <row r="582" spans="2:90" x14ac:dyDescent="0.25">
      <c r="B582" s="4" t="s">
        <v>322</v>
      </c>
      <c r="C582">
        <v>30</v>
      </c>
      <c r="D582" t="s">
        <v>85</v>
      </c>
      <c r="E582" t="s">
        <v>7</v>
      </c>
      <c r="F582" s="3">
        <v>0.44901789846988649</v>
      </c>
      <c r="G582" s="3">
        <v>0.1217</v>
      </c>
      <c r="H582" s="3">
        <v>0.1217</v>
      </c>
      <c r="I582" s="3">
        <v>9.1999999999999998E-2</v>
      </c>
      <c r="J582" s="3">
        <v>7.27956</v>
      </c>
      <c r="K582" s="3">
        <v>7.0000000000000007E-2</v>
      </c>
      <c r="L582" s="2">
        <f>Base[[#This Row],[Coût]]*Base[[#This Row],[Part_ménages_dépenses_santé]]</f>
        <v>0.50956920000000006</v>
      </c>
      <c r="M582" s="2">
        <v>1</v>
      </c>
      <c r="N582" s="6">
        <v>27700000</v>
      </c>
      <c r="O582" s="7">
        <f>Base[[#This Row],[Coût_salarié]]*10^9*Base[[#This Row],[Risque]]*Base[[#This Row],[Prévalence]]*Base[[#This Row],[Part_coûts_salarié]]/Base[[#This Row],[Population_emploi]]</f>
        <v>1.0052582177726723</v>
      </c>
      <c r="P582">
        <v>50</v>
      </c>
      <c r="Q582">
        <v>50</v>
      </c>
      <c r="R582" s="2">
        <v>9.9999999999999978E-2</v>
      </c>
      <c r="S582" s="2">
        <v>0.33340000000000003</v>
      </c>
      <c r="T582" s="4">
        <v>0.1217</v>
      </c>
      <c r="U582" s="4">
        <f>IF(Bases_annexes!$F$5=0,16.6587111018772,0.77*Bases_annexes!$F$5/(IF(OR(ISBLANK('Données_d''entrée'!$E$44),'Données_d''entrée'!$E$44=0),35,'Données_d''entrée'!$E$44)*52))</f>
        <v>16.658711101877199</v>
      </c>
      <c r="V582" s="4">
        <v>21.5</v>
      </c>
      <c r="W5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2" s="4">
        <v>234.5</v>
      </c>
      <c r="Y582" s="4">
        <f>(Base[[#This Row],['[Maladies']Coûts_évités_par_salarié]]+Base[[#This Row],['[Travail']Coûts_évités_par_salarié]])/Base[[#This Row],[Budget_santé_salarié]]</f>
        <v>0.13607988080588845</v>
      </c>
      <c r="Z582" s="4">
        <v>0.8</v>
      </c>
      <c r="AA582" s="4">
        <f>Base[[#This Row],[Coût]]*Base[[#This Row],[Part_société_dépenses_santé]]</f>
        <v>5.8236480000000004</v>
      </c>
      <c r="AB582" s="4">
        <v>67635124</v>
      </c>
      <c r="AC582" s="4">
        <v>82.297079063317852</v>
      </c>
      <c r="AD582" s="4">
        <v>0.1217</v>
      </c>
      <c r="AE582" s="4">
        <f>Base[[#This Row],['[SC']Prévalence_travail]]*Base[[#This Row],[Population_emploi]]</f>
        <v>3371090</v>
      </c>
      <c r="AF582" s="4">
        <f>Base[[#This Row],[Risque]]*Base[[#This Row],['[SC']Patients_en_emploi]]</f>
        <v>1513679.7473528497</v>
      </c>
      <c r="AG582" s="4">
        <v>0</v>
      </c>
      <c r="AH582" s="4">
        <f>IFERROR(Base[[#This Row],['[SC']Prestations]]/Base[[#This Row],['[SC']Patients_en_emploi]],0)</f>
        <v>0</v>
      </c>
      <c r="AI582" s="4">
        <v>51.7</v>
      </c>
      <c r="AJ5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2" s="4">
        <f>Base[[#This Row],['[SC']'[Travail']Coûts_évités]]/Base[[#This Row],[Population_emploi]]</f>
        <v>52.265667666268349</v>
      </c>
      <c r="AL582" s="4">
        <f>Base[[#This Row],[Coût_société]]*10^9*Base[[#This Row],[Risque]]*Base[[#This Row],[Prévalence]]*Base[[#This Row],[Part_coûts_salarié]]/Base[[#This Row],[Population_emploi]]</f>
        <v>11.488665345973399</v>
      </c>
      <c r="AM582" s="4">
        <f>IF(Base[[#This Row],[Pathologie]]&lt;&gt;"Dépendance",0,14909.24243952)</f>
        <v>0</v>
      </c>
      <c r="AN582" s="4">
        <f>IF(Base[[#This Row],[Pathologie]]&lt;&gt;"Dépendance",0,1316000)</f>
        <v>0</v>
      </c>
      <c r="AO582" s="4">
        <f>IF(Base[[#This Row],[Pathologie]]&lt;&gt;"Dépendance",0,Base[[#This Row],['[SC']Coût_personne_dépendante]]*Base[[#This Row],['[SC']Nb_personnes_dépendantes]])</f>
        <v>0</v>
      </c>
      <c r="AP582" s="4">
        <f>IF(Base[[#This Row],[Pathologie]]&lt;&gt;"Dépendance",0,Base[[#This Row],['[SC']Coût_total_dépendance]]/Base[[#This Row],[Population_totale]])</f>
        <v>0</v>
      </c>
      <c r="AQ582" s="4">
        <f>IF(Base[[#This Row],[Pathologie]]&lt;&gt;"Dépendance",0,4.5)</f>
        <v>0</v>
      </c>
      <c r="AR582" s="4">
        <v>1.0077957276768601</v>
      </c>
      <c r="AS582" s="4">
        <f>Base[[#This Row],[Espérance_vie]]+Base[[#This Row],['[SC']Hausse_esp_de_vie]]-Base[[#This Row],['[SC']Durée_moyenne_dépendance_avt]]+Base[[#This Row],[Risque]]</f>
        <v>83.753892689464607</v>
      </c>
      <c r="AT5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2" s="4">
        <v>62.9</v>
      </c>
      <c r="AW582" s="4">
        <f t="shared" si="18"/>
        <v>336905600000</v>
      </c>
      <c r="AX582" s="4">
        <v>15049171</v>
      </c>
      <c r="AY582" s="4">
        <f>Base[[#This Row],['[SC']Budget_total_retraites]]/Base[[#This Row],['[SC']Nombre_de_retraités]]</f>
        <v>22386.987296509556</v>
      </c>
      <c r="AZ582" s="4">
        <f>Base[[#This Row],['[SC']Budget_par_retraité]]*Base[[#This Row],['[SC']Nb_personnes_dépendantes]]</f>
        <v>0</v>
      </c>
      <c r="BA582" s="4">
        <f>Base[[#This Row],['[SC']'[Dépendance']Coût_retraite_personnes_dépendantes]]/Base[[#This Row],[Population_totale]]</f>
        <v>0</v>
      </c>
      <c r="BB5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2" s="4">
        <f>Base[[#This Row],['[SC']'[Dépendance']Gains]]-Base[[#This Row],['[SC']'[Dépendance']Coûts]]</f>
        <v>0</v>
      </c>
      <c r="BD582" s="4">
        <f>IF(Base[[#This Row],[Pathologie]]&lt;&gt;"Mort prématurée",0,Base[[#This Row],[Risque]]*Base[[#This Row],[Prévalence]]*Base[[#This Row],[Population_totale]])</f>
        <v>0</v>
      </c>
      <c r="BE582" s="4">
        <v>52.74</v>
      </c>
      <c r="BF582" s="4">
        <f>Base[[#This Row],['[SC']Âge_moyen_retraite]]-Base[[#This Row],['[SC']'[Mort_prématurée']Âge_moyen_mort précoce]]</f>
        <v>10.159999999999997</v>
      </c>
      <c r="BG582" s="4">
        <f>Base[[#This Row],[Espérance_vie]]+Base[[#This Row],['[SC']Hausse_esp_de_vie]]-Base[[#This Row],['[SC']Âge_moyen_retraite]]</f>
        <v>20.404874790994718</v>
      </c>
      <c r="BH582" s="4">
        <v>106583.42676924677</v>
      </c>
      <c r="BI582" s="4">
        <v>97601.789429271477</v>
      </c>
      <c r="BJ582" s="4">
        <v>302038.31496633729</v>
      </c>
      <c r="BK582" s="4">
        <v>117293.58934859755</v>
      </c>
      <c r="BL582" s="4">
        <v>1523999.9999999995</v>
      </c>
      <c r="BM5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2" s="4">
        <v>294804.96027377353</v>
      </c>
      <c r="BO5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2" s="4">
        <f>(Base[[#This Row],['[SC']'[Mort_prématurée']Gains]]-Base[[#This Row],['[SC']'[Mort_prématurée']Coûts]])/Base[[#This Row],[Population_totale]]</f>
        <v>0</v>
      </c>
      <c r="BQ582" s="4">
        <f>IF(Base[[#This Row],[Pathologie]]&lt;&gt;"Mort prématurée",0,Base[[#This Row],[Risque]])</f>
        <v>0</v>
      </c>
      <c r="BR582" s="4">
        <v>2680</v>
      </c>
      <c r="BS5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2" s="4">
        <f>Base[[#This Row],[Prévalence_prod]]*(1-Base[[#This Row],[Risque]])*Base[[#This Row],[Durée_arrêt]]*Base[[#This Row],[Population_emploi]]</f>
        <v>39934320.431913733</v>
      </c>
      <c r="BV582" s="4">
        <f>Base[[#This Row],['[Prod']'[Absentéisme']Total_jours_absence_avant]]-Base[[#This Row],['[Prod']'[Absentéisme']Total_jours_absence_après]]</f>
        <v>32544114.568086267</v>
      </c>
      <c r="BW582" s="4">
        <f>IF(AND(Base[[#This Row],[Pathologie]]&lt;&gt;"Dépendance",Base[[#This Row],[Pathologie]]&lt;&gt;"Mort prématurée",Base[[#This Row],[Pathologie]]&lt;&gt;"Migraine"),0.0619,0)</f>
        <v>6.1899999999999997E-2</v>
      </c>
      <c r="BX582" s="4">
        <v>254</v>
      </c>
      <c r="BY582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2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2" s="4">
        <f>Base[[#This Row],[Prévalence_prod]]*Base[[#This Row],[Présentéisme]]*Base[[#This Row],['[Prod']Jours_ouvrés]]</f>
        <v>2.8438856000000001</v>
      </c>
      <c r="CB582" s="4">
        <f>Base[[#This Row],[Prévalence_prod]]*(1-Base[[#This Row],[Risque]])*Base[[#This Row],[Présentéisme]]*Base[[#This Row],['[Prod']Jours_ouvrés]]</f>
        <v>1.5669300643992279</v>
      </c>
      <c r="CC582" s="4">
        <f>Base[[#This Row],['[Prod']'[Présentéisme']Jours_avant]]-Base[[#This Row],['[Prod']'[Présentéisme']Jours_après]]</f>
        <v>1.2769555356007722</v>
      </c>
      <c r="CD582" s="4">
        <f>Base[[#This Row],['[Prod']'[Présentéisme']Jours_gagnés]]/Base[[#This Row],['[Prod']Jours_ouvrés]]</f>
        <v>5.0273839984282375E-3</v>
      </c>
      <c r="CE582">
        <v>9.3428413505841454E-2</v>
      </c>
      <c r="CF582">
        <v>2.1038737314955848E-2</v>
      </c>
      <c r="CG582" s="4">
        <v>11</v>
      </c>
      <c r="CH582" s="4">
        <v>1.6219398392978641</v>
      </c>
      <c r="CI582" s="4">
        <v>9.628527536862988E-2</v>
      </c>
      <c r="CJ582" s="4">
        <f>IF(Base[[#This Row],[Secteur]]&lt;&gt;"Moyenne",Base[[#This Row],['[Prod']'[Turnover']DMC_initiale]]*(1+Base[[#This Row],['[Prod']'[Turnover']Ecart_accidents]]*Base[[#This Row],['[Prod']Impact_motifs_turnover]]),CJ565*CI565+CJ566*CI566+CJ567*CI567+CJ568*CI568+CJ569*CI569+CJ570*CI570+CJ571*CI571+CJ572*CI572+CJ573*CI573+CJ574*CI574+CJ575*CI575+CJ576*CI576+CJ577*CI577+CJ578*CI578+CJ579*CI579+CJ580*CI580+CJ581*CI581)</f>
        <v>11.375359228416144</v>
      </c>
      <c r="CK582" s="4">
        <f>1/Base[[#This Row],['[Prod']'[Turnover']DMC_initiale]]</f>
        <v>9.0909090909090912E-2</v>
      </c>
      <c r="CL582" s="4">
        <f>1/Base[[#This Row],['[Prod']'[Turnover']DMC_finale]]</f>
        <v>8.7909311690303041E-2</v>
      </c>
    </row>
    <row r="583" spans="2:90" x14ac:dyDescent="0.25">
      <c r="B583" s="4" t="s">
        <v>323</v>
      </c>
      <c r="C583">
        <v>30</v>
      </c>
      <c r="D583" t="s">
        <v>85</v>
      </c>
      <c r="E583" t="s">
        <v>7</v>
      </c>
      <c r="F583" s="3">
        <v>0.44901789846988649</v>
      </c>
      <c r="G583" s="3">
        <v>0.1217</v>
      </c>
      <c r="H583" s="3">
        <v>0.1217</v>
      </c>
      <c r="I583" s="3">
        <v>9.1999999999999998E-2</v>
      </c>
      <c r="J583" s="3">
        <v>7.27956</v>
      </c>
      <c r="K583" s="3">
        <v>7.0000000000000007E-2</v>
      </c>
      <c r="L583" s="2">
        <f>Base[[#This Row],[Coût]]*Base[[#This Row],[Part_ménages_dépenses_santé]]</f>
        <v>0.50956920000000006</v>
      </c>
      <c r="M583" s="2">
        <v>1</v>
      </c>
      <c r="N583" s="6">
        <v>27700000</v>
      </c>
      <c r="O583" s="7">
        <f>Base[[#This Row],[Coût_salarié]]*10^9*Base[[#This Row],[Risque]]*Base[[#This Row],[Prévalence]]*Base[[#This Row],[Part_coûts_salarié]]/Base[[#This Row],[Population_emploi]]</f>
        <v>1.0052582177726723</v>
      </c>
      <c r="P583">
        <v>50</v>
      </c>
      <c r="Q583">
        <v>50</v>
      </c>
      <c r="R583" s="2">
        <v>9.9999999999999978E-2</v>
      </c>
      <c r="S583" s="2">
        <v>0.33340000000000003</v>
      </c>
      <c r="T583" s="4">
        <v>0.1217</v>
      </c>
      <c r="U583" s="4">
        <f>IF(Bases_annexes!$F$5=0,16.6587111018772,0.77*Bases_annexes!$F$5/(IF(OR(ISBLANK('Données_d''entrée'!$E$44),'Données_d''entrée'!$E$44=0),35,'Données_d''entrée'!$E$44)*52))</f>
        <v>16.658711101877199</v>
      </c>
      <c r="V583" s="4">
        <v>21.5</v>
      </c>
      <c r="W58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3" s="4">
        <v>234.5</v>
      </c>
      <c r="Y583" s="4">
        <f>(Base[[#This Row],['[Maladies']Coûts_évités_par_salarié]]+Base[[#This Row],['[Travail']Coûts_évités_par_salarié]])/Base[[#This Row],[Budget_santé_salarié]]</f>
        <v>0.13607988080588845</v>
      </c>
      <c r="Z583" s="4">
        <v>0.8</v>
      </c>
      <c r="AA583" s="4">
        <f>Base[[#This Row],[Coût]]*Base[[#This Row],[Part_société_dépenses_santé]]</f>
        <v>5.8236480000000004</v>
      </c>
      <c r="AB583" s="4">
        <v>67635124</v>
      </c>
      <c r="AC583" s="4">
        <v>82.297079063317852</v>
      </c>
      <c r="AD583" s="4">
        <v>0.1217</v>
      </c>
      <c r="AE583" s="4">
        <f>Base[[#This Row],['[SC']Prévalence_travail]]*Base[[#This Row],[Population_emploi]]</f>
        <v>3371090</v>
      </c>
      <c r="AF583" s="4">
        <f>Base[[#This Row],[Risque]]*Base[[#This Row],['[SC']Patients_en_emploi]]</f>
        <v>1513679.7473528497</v>
      </c>
      <c r="AG583" s="4">
        <v>0</v>
      </c>
      <c r="AH583" s="4">
        <f>IFERROR(Base[[#This Row],['[SC']Prestations]]/Base[[#This Row],['[SC']Patients_en_emploi]],0)</f>
        <v>0</v>
      </c>
      <c r="AI583" s="4">
        <v>51.7</v>
      </c>
      <c r="AJ58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3" s="4">
        <f>Base[[#This Row],['[SC']'[Travail']Coûts_évités]]/Base[[#This Row],[Population_emploi]]</f>
        <v>52.265667666268349</v>
      </c>
      <c r="AL583" s="4">
        <f>Base[[#This Row],[Coût_société]]*10^9*Base[[#This Row],[Risque]]*Base[[#This Row],[Prévalence]]*Base[[#This Row],[Part_coûts_salarié]]/Base[[#This Row],[Population_emploi]]</f>
        <v>11.488665345973399</v>
      </c>
      <c r="AM583" s="4">
        <f>IF(Base[[#This Row],[Pathologie]]&lt;&gt;"Dépendance",0,14909.24243952)</f>
        <v>0</v>
      </c>
      <c r="AN583" s="4">
        <f>IF(Base[[#This Row],[Pathologie]]&lt;&gt;"Dépendance",0,1316000)</f>
        <v>0</v>
      </c>
      <c r="AO583" s="4">
        <f>IF(Base[[#This Row],[Pathologie]]&lt;&gt;"Dépendance",0,Base[[#This Row],['[SC']Coût_personne_dépendante]]*Base[[#This Row],['[SC']Nb_personnes_dépendantes]])</f>
        <v>0</v>
      </c>
      <c r="AP583" s="4">
        <f>IF(Base[[#This Row],[Pathologie]]&lt;&gt;"Dépendance",0,Base[[#This Row],['[SC']Coût_total_dépendance]]/Base[[#This Row],[Population_totale]])</f>
        <v>0</v>
      </c>
      <c r="AQ583" s="4">
        <f>IF(Base[[#This Row],[Pathologie]]&lt;&gt;"Dépendance",0,4.5)</f>
        <v>0</v>
      </c>
      <c r="AR583" s="4">
        <v>1.0077957276768601</v>
      </c>
      <c r="AS583" s="4">
        <f>Base[[#This Row],[Espérance_vie]]+Base[[#This Row],['[SC']Hausse_esp_de_vie]]-Base[[#This Row],['[SC']Durée_moyenne_dépendance_avt]]+Base[[#This Row],[Risque]]</f>
        <v>83.753892689464607</v>
      </c>
      <c r="AT58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3" s="4">
        <v>62.9</v>
      </c>
      <c r="AW583" s="4">
        <f t="shared" si="18"/>
        <v>336905600000</v>
      </c>
      <c r="AX583" s="4">
        <v>15049171</v>
      </c>
      <c r="AY583" s="4">
        <f>Base[[#This Row],['[SC']Budget_total_retraites]]/Base[[#This Row],['[SC']Nombre_de_retraités]]</f>
        <v>22386.987296509556</v>
      </c>
      <c r="AZ583" s="4">
        <f>Base[[#This Row],['[SC']Budget_par_retraité]]*Base[[#This Row],['[SC']Nb_personnes_dépendantes]]</f>
        <v>0</v>
      </c>
      <c r="BA583" s="4">
        <f>Base[[#This Row],['[SC']'[Dépendance']Coût_retraite_personnes_dépendantes]]/Base[[#This Row],[Population_totale]]</f>
        <v>0</v>
      </c>
      <c r="BB58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3" s="4">
        <f>Base[[#This Row],['[SC']'[Dépendance']Gains]]-Base[[#This Row],['[SC']'[Dépendance']Coûts]]</f>
        <v>0</v>
      </c>
      <c r="BD583" s="4">
        <f>IF(Base[[#This Row],[Pathologie]]&lt;&gt;"Mort prématurée",0,Base[[#This Row],[Risque]]*Base[[#This Row],[Prévalence]]*Base[[#This Row],[Population_totale]])</f>
        <v>0</v>
      </c>
      <c r="BE583" s="4">
        <v>52.74</v>
      </c>
      <c r="BF583" s="4">
        <f>Base[[#This Row],['[SC']Âge_moyen_retraite]]-Base[[#This Row],['[SC']'[Mort_prématurée']Âge_moyen_mort précoce]]</f>
        <v>10.159999999999997</v>
      </c>
      <c r="BG583" s="4">
        <f>Base[[#This Row],[Espérance_vie]]+Base[[#This Row],['[SC']Hausse_esp_de_vie]]-Base[[#This Row],['[SC']Âge_moyen_retraite]]</f>
        <v>20.404874790994718</v>
      </c>
      <c r="BH583" s="4">
        <v>106583.42676924677</v>
      </c>
      <c r="BI583" s="4">
        <v>97601.789429271477</v>
      </c>
      <c r="BJ583" s="4">
        <v>302038.31496633729</v>
      </c>
      <c r="BK583" s="4">
        <v>117293.58934859755</v>
      </c>
      <c r="BL583" s="4">
        <v>1523999.9999999995</v>
      </c>
      <c r="BM58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3" s="4">
        <v>294804.96027377353</v>
      </c>
      <c r="BO58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3" s="4">
        <f>(Base[[#This Row],['[SC']'[Mort_prématurée']Gains]]-Base[[#This Row],['[SC']'[Mort_prématurée']Coûts]])/Base[[#This Row],[Population_totale]]</f>
        <v>0</v>
      </c>
      <c r="BQ583" s="4">
        <f>IF(Base[[#This Row],[Pathologie]]&lt;&gt;"Mort prématurée",0,Base[[#This Row],[Risque]])</f>
        <v>0</v>
      </c>
      <c r="BR583" s="4">
        <v>2680</v>
      </c>
      <c r="BS58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3" s="4">
        <f>Base[[#This Row],[Prévalence_prod]]*(1-Base[[#This Row],[Risque]])*Base[[#This Row],[Durée_arrêt]]*Base[[#This Row],[Population_emploi]]</f>
        <v>39934320.431913733</v>
      </c>
      <c r="BV583" s="4">
        <f>Base[[#This Row],['[Prod']'[Absentéisme']Total_jours_absence_avant]]-Base[[#This Row],['[Prod']'[Absentéisme']Total_jours_absence_après]]</f>
        <v>32544114.568086267</v>
      </c>
      <c r="BW583" s="4">
        <f>IF(AND(Base[[#This Row],[Pathologie]]&lt;&gt;"Dépendance",Base[[#This Row],[Pathologie]]&lt;&gt;"Mort prématurée",Base[[#This Row],[Pathologie]]&lt;&gt;"Migraine"),0.0619,0)</f>
        <v>6.1899999999999997E-2</v>
      </c>
      <c r="BX583" s="4">
        <v>254</v>
      </c>
      <c r="BY583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3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3" s="4">
        <f>Base[[#This Row],[Prévalence_prod]]*Base[[#This Row],[Présentéisme]]*Base[[#This Row],['[Prod']Jours_ouvrés]]</f>
        <v>2.8438856000000001</v>
      </c>
      <c r="CB583" s="4">
        <f>Base[[#This Row],[Prévalence_prod]]*(1-Base[[#This Row],[Risque]])*Base[[#This Row],[Présentéisme]]*Base[[#This Row],['[Prod']Jours_ouvrés]]</f>
        <v>1.5669300643992279</v>
      </c>
      <c r="CC583" s="4">
        <f>Base[[#This Row],['[Prod']'[Présentéisme']Jours_avant]]-Base[[#This Row],['[Prod']'[Présentéisme']Jours_après]]</f>
        <v>1.2769555356007722</v>
      </c>
      <c r="CD583" s="4">
        <f>Base[[#This Row],['[Prod']'[Présentéisme']Jours_gagnés]]/Base[[#This Row],['[Prod']Jours_ouvrés]]</f>
        <v>5.0273839984282375E-3</v>
      </c>
      <c r="CE583">
        <v>9.3428413505841454E-2</v>
      </c>
      <c r="CF583">
        <v>2.1038737314955848E-2</v>
      </c>
      <c r="CG583" s="4">
        <v>11</v>
      </c>
      <c r="CH583" s="4">
        <v>0.96913802401210614</v>
      </c>
      <c r="CI583" s="4">
        <v>0.10293966445307301</v>
      </c>
      <c r="CJ583" s="4">
        <f>IF(Base[[#This Row],[Secteur]]&lt;&gt;"Moyenne",Base[[#This Row],['[Prod']'[Turnover']DMC_initiale]]*(1+Base[[#This Row],['[Prod']'[Turnover']Ecart_accidents]]*Base[[#This Row],['[Prod']Impact_motifs_turnover]]),CJ566*CI566+CJ567*CI567+CJ568*CI568+CJ569*CI569+CJ570*CI570+CJ571*CI571+CJ572*CI572+CJ573*CI573+CJ574*CI574+CJ575*CI575+CJ576*CI576+CJ577*CI577+CJ578*CI578+CJ579*CI579+CJ580*CI580+CJ581*CI581+CJ582*CI582)</f>
        <v>11.224283843400386</v>
      </c>
      <c r="CK583" s="4">
        <f>1/Base[[#This Row],['[Prod']'[Turnover']DMC_initiale]]</f>
        <v>9.0909090909090912E-2</v>
      </c>
      <c r="CL583" s="4">
        <f>1/Base[[#This Row],['[Prod']'[Turnover']DMC_finale]]</f>
        <v>8.9092543805186858E-2</v>
      </c>
    </row>
    <row r="584" spans="2:90" x14ac:dyDescent="0.25">
      <c r="B584" s="4" t="s">
        <v>324</v>
      </c>
      <c r="C584">
        <v>30</v>
      </c>
      <c r="D584" t="s">
        <v>85</v>
      </c>
      <c r="E584" t="s">
        <v>7</v>
      </c>
      <c r="F584" s="3">
        <v>0.44901789846988649</v>
      </c>
      <c r="G584" s="3">
        <v>0.1217</v>
      </c>
      <c r="H584" s="3">
        <v>0.1217</v>
      </c>
      <c r="I584" s="3">
        <v>9.1999999999999998E-2</v>
      </c>
      <c r="J584" s="3">
        <v>7.27956</v>
      </c>
      <c r="K584" s="3">
        <v>7.0000000000000007E-2</v>
      </c>
      <c r="L584" s="2">
        <f>Base[[#This Row],[Coût]]*Base[[#This Row],[Part_ménages_dépenses_santé]]</f>
        <v>0.50956920000000006</v>
      </c>
      <c r="M584" s="2">
        <v>1</v>
      </c>
      <c r="N584" s="6">
        <v>27700000</v>
      </c>
      <c r="O584" s="7">
        <f>Base[[#This Row],[Coût_salarié]]*10^9*Base[[#This Row],[Risque]]*Base[[#This Row],[Prévalence]]*Base[[#This Row],[Part_coûts_salarié]]/Base[[#This Row],[Population_emploi]]</f>
        <v>1.0052582177726723</v>
      </c>
      <c r="P584">
        <v>50</v>
      </c>
      <c r="Q584">
        <v>50</v>
      </c>
      <c r="R584" s="2">
        <v>9.9999999999999978E-2</v>
      </c>
      <c r="S584" s="2">
        <v>0.33340000000000003</v>
      </c>
      <c r="T584" s="4">
        <v>0.1217</v>
      </c>
      <c r="U584" s="4">
        <f>IF(Bases_annexes!$F$5=0,16.6587111018772,0.77*Bases_annexes!$F$5/(IF(OR(ISBLANK('Données_d''entrée'!$E$44),'Données_d''entrée'!$E$44=0),35,'Données_d''entrée'!$E$44)*52))</f>
        <v>16.658711101877199</v>
      </c>
      <c r="V584" s="4">
        <v>21.5</v>
      </c>
      <c r="W58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4" s="4">
        <v>234.5</v>
      </c>
      <c r="Y584" s="4">
        <f>(Base[[#This Row],['[Maladies']Coûts_évités_par_salarié]]+Base[[#This Row],['[Travail']Coûts_évités_par_salarié]])/Base[[#This Row],[Budget_santé_salarié]]</f>
        <v>0.13607988080588845</v>
      </c>
      <c r="Z584" s="4">
        <v>0.8</v>
      </c>
      <c r="AA584" s="4">
        <f>Base[[#This Row],[Coût]]*Base[[#This Row],[Part_société_dépenses_santé]]</f>
        <v>5.8236480000000004</v>
      </c>
      <c r="AB584" s="4">
        <v>67635124</v>
      </c>
      <c r="AC584" s="4">
        <v>82.297079063317852</v>
      </c>
      <c r="AD584" s="4">
        <v>0.1217</v>
      </c>
      <c r="AE584" s="4">
        <f>Base[[#This Row],['[SC']Prévalence_travail]]*Base[[#This Row],[Population_emploi]]</f>
        <v>3371090</v>
      </c>
      <c r="AF584" s="4">
        <f>Base[[#This Row],[Risque]]*Base[[#This Row],['[SC']Patients_en_emploi]]</f>
        <v>1513679.7473528497</v>
      </c>
      <c r="AG584" s="4">
        <v>0</v>
      </c>
      <c r="AH584" s="4">
        <f>IFERROR(Base[[#This Row],['[SC']Prestations]]/Base[[#This Row],['[SC']Patients_en_emploi]],0)</f>
        <v>0</v>
      </c>
      <c r="AI584" s="4">
        <v>51.7</v>
      </c>
      <c r="AJ58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4" s="4">
        <f>Base[[#This Row],['[SC']'[Travail']Coûts_évités]]/Base[[#This Row],[Population_emploi]]</f>
        <v>52.265667666268349</v>
      </c>
      <c r="AL584" s="4">
        <f>Base[[#This Row],[Coût_société]]*10^9*Base[[#This Row],[Risque]]*Base[[#This Row],[Prévalence]]*Base[[#This Row],[Part_coûts_salarié]]/Base[[#This Row],[Population_emploi]]</f>
        <v>11.488665345973399</v>
      </c>
      <c r="AM584" s="4">
        <f>IF(Base[[#This Row],[Pathologie]]&lt;&gt;"Dépendance",0,14909.24243952)</f>
        <v>0</v>
      </c>
      <c r="AN584" s="4">
        <f>IF(Base[[#This Row],[Pathologie]]&lt;&gt;"Dépendance",0,1316000)</f>
        <v>0</v>
      </c>
      <c r="AO584" s="4">
        <f>IF(Base[[#This Row],[Pathologie]]&lt;&gt;"Dépendance",0,Base[[#This Row],['[SC']Coût_personne_dépendante]]*Base[[#This Row],['[SC']Nb_personnes_dépendantes]])</f>
        <v>0</v>
      </c>
      <c r="AP584" s="4">
        <f>IF(Base[[#This Row],[Pathologie]]&lt;&gt;"Dépendance",0,Base[[#This Row],['[SC']Coût_total_dépendance]]/Base[[#This Row],[Population_totale]])</f>
        <v>0</v>
      </c>
      <c r="AQ584" s="4">
        <f>IF(Base[[#This Row],[Pathologie]]&lt;&gt;"Dépendance",0,4.5)</f>
        <v>0</v>
      </c>
      <c r="AR584" s="4">
        <v>1.0077957276768601</v>
      </c>
      <c r="AS584" s="4">
        <f>Base[[#This Row],[Espérance_vie]]+Base[[#This Row],['[SC']Hausse_esp_de_vie]]-Base[[#This Row],['[SC']Durée_moyenne_dépendance_avt]]+Base[[#This Row],[Risque]]</f>
        <v>83.753892689464607</v>
      </c>
      <c r="AT58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4" s="4">
        <v>62.9</v>
      </c>
      <c r="AW584" s="4">
        <f t="shared" si="18"/>
        <v>336905600000</v>
      </c>
      <c r="AX584" s="4">
        <v>15049171</v>
      </c>
      <c r="AY584" s="4">
        <f>Base[[#This Row],['[SC']Budget_total_retraites]]/Base[[#This Row],['[SC']Nombre_de_retraités]]</f>
        <v>22386.987296509556</v>
      </c>
      <c r="AZ584" s="4">
        <f>Base[[#This Row],['[SC']Budget_par_retraité]]*Base[[#This Row],['[SC']Nb_personnes_dépendantes]]</f>
        <v>0</v>
      </c>
      <c r="BA584" s="4">
        <f>Base[[#This Row],['[SC']'[Dépendance']Coût_retraite_personnes_dépendantes]]/Base[[#This Row],[Population_totale]]</f>
        <v>0</v>
      </c>
      <c r="BB58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4" s="4">
        <f>Base[[#This Row],['[SC']'[Dépendance']Gains]]-Base[[#This Row],['[SC']'[Dépendance']Coûts]]</f>
        <v>0</v>
      </c>
      <c r="BD584" s="4">
        <f>IF(Base[[#This Row],[Pathologie]]&lt;&gt;"Mort prématurée",0,Base[[#This Row],[Risque]]*Base[[#This Row],[Prévalence]]*Base[[#This Row],[Population_totale]])</f>
        <v>0</v>
      </c>
      <c r="BE584" s="4">
        <v>52.74</v>
      </c>
      <c r="BF584" s="4">
        <f>Base[[#This Row],['[SC']Âge_moyen_retraite]]-Base[[#This Row],['[SC']'[Mort_prématurée']Âge_moyen_mort précoce]]</f>
        <v>10.159999999999997</v>
      </c>
      <c r="BG584" s="4">
        <f>Base[[#This Row],[Espérance_vie]]+Base[[#This Row],['[SC']Hausse_esp_de_vie]]-Base[[#This Row],['[SC']Âge_moyen_retraite]]</f>
        <v>20.404874790994718</v>
      </c>
      <c r="BH584" s="4">
        <v>106583.42676924677</v>
      </c>
      <c r="BI584" s="4">
        <v>97601.789429271477</v>
      </c>
      <c r="BJ584" s="4">
        <v>302038.31496633729</v>
      </c>
      <c r="BK584" s="4">
        <v>117293.58934859755</v>
      </c>
      <c r="BL584" s="4">
        <v>1523999.9999999995</v>
      </c>
      <c r="BM58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4" s="4">
        <v>294804.96027377353</v>
      </c>
      <c r="BO58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4" s="4">
        <f>(Base[[#This Row],['[SC']'[Mort_prématurée']Gains]]-Base[[#This Row],['[SC']'[Mort_prématurée']Coûts]])/Base[[#This Row],[Population_totale]]</f>
        <v>0</v>
      </c>
      <c r="BQ584" s="4">
        <f>IF(Base[[#This Row],[Pathologie]]&lt;&gt;"Mort prématurée",0,Base[[#This Row],[Risque]])</f>
        <v>0</v>
      </c>
      <c r="BR584" s="4">
        <v>2680</v>
      </c>
      <c r="BS58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4" s="4">
        <f>Base[[#This Row],[Prévalence_prod]]*(1-Base[[#This Row],[Risque]])*Base[[#This Row],[Durée_arrêt]]*Base[[#This Row],[Population_emploi]]</f>
        <v>39934320.431913733</v>
      </c>
      <c r="BV584" s="4">
        <f>Base[[#This Row],['[Prod']'[Absentéisme']Total_jours_absence_avant]]-Base[[#This Row],['[Prod']'[Absentéisme']Total_jours_absence_après]]</f>
        <v>32544114.568086267</v>
      </c>
      <c r="BW584" s="4">
        <f>IF(AND(Base[[#This Row],[Pathologie]]&lt;&gt;"Dépendance",Base[[#This Row],[Pathologie]]&lt;&gt;"Mort prématurée",Base[[#This Row],[Pathologie]]&lt;&gt;"Migraine"),0.0619,0)</f>
        <v>6.1899999999999997E-2</v>
      </c>
      <c r="BX584" s="4">
        <v>254</v>
      </c>
      <c r="BY584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4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4" s="4">
        <f>Base[[#This Row],[Prévalence_prod]]*Base[[#This Row],[Présentéisme]]*Base[[#This Row],['[Prod']Jours_ouvrés]]</f>
        <v>2.8438856000000001</v>
      </c>
      <c r="CB584" s="4">
        <f>Base[[#This Row],[Prévalence_prod]]*(1-Base[[#This Row],[Risque]])*Base[[#This Row],[Présentéisme]]*Base[[#This Row],['[Prod']Jours_ouvrés]]</f>
        <v>1.5669300643992279</v>
      </c>
      <c r="CC584" s="4">
        <f>Base[[#This Row],['[Prod']'[Présentéisme']Jours_avant]]-Base[[#This Row],['[Prod']'[Présentéisme']Jours_après]]</f>
        <v>1.2769555356007722</v>
      </c>
      <c r="CD584" s="4">
        <f>Base[[#This Row],['[Prod']'[Présentéisme']Jours_gagnés]]/Base[[#This Row],['[Prod']Jours_ouvrés]]</f>
        <v>5.0273839984282375E-3</v>
      </c>
      <c r="CE584">
        <v>9.3428413505841454E-2</v>
      </c>
      <c r="CF584">
        <v>2.1038737314955848E-2</v>
      </c>
      <c r="CG584" s="4">
        <v>11</v>
      </c>
      <c r="CH584" s="4">
        <v>1.3987208237662601</v>
      </c>
      <c r="CI584" s="4">
        <v>2.1768516166491274E-2</v>
      </c>
      <c r="CJ584" s="4">
        <f>IF(Base[[#This Row],[Secteur]]&lt;&gt;"Moyenne",Base[[#This Row],['[Prod']'[Turnover']DMC_initiale]]*(1+Base[[#This Row],['[Prod']'[Turnover']Ecart_accidents]]*Base[[#This Row],['[Prod']Impact_motifs_turnover]]),CJ567*CI567+CJ568*CI568+CJ569*CI569+CJ570*CI570+CJ571*CI571+CJ572*CI572+CJ573*CI573+CJ574*CI574+CJ575*CI575+CJ576*CI576+CJ577*CI577+CJ578*CI578+CJ579*CI579+CJ580*CI580+CJ581*CI581+CJ582*CI582+CJ583*CI583)</f>
        <v>11.323700519869947</v>
      </c>
      <c r="CK584" s="4">
        <f>1/Base[[#This Row],['[Prod']'[Turnover']DMC_initiale]]</f>
        <v>9.0909090909090912E-2</v>
      </c>
      <c r="CL584" s="4">
        <f>1/Base[[#This Row],['[Prod']'[Turnover']DMC_finale]]</f>
        <v>8.8310353867561045E-2</v>
      </c>
    </row>
    <row r="585" spans="2:90" x14ac:dyDescent="0.25">
      <c r="B585" s="4" t="s">
        <v>325</v>
      </c>
      <c r="C585">
        <v>30</v>
      </c>
      <c r="D585" t="s">
        <v>85</v>
      </c>
      <c r="E585" t="s">
        <v>7</v>
      </c>
      <c r="F585" s="3">
        <v>0.44901789846988649</v>
      </c>
      <c r="G585" s="3">
        <v>0.1217</v>
      </c>
      <c r="H585" s="3">
        <v>0.1217</v>
      </c>
      <c r="I585" s="3">
        <v>9.1999999999999998E-2</v>
      </c>
      <c r="J585" s="3">
        <v>7.27956</v>
      </c>
      <c r="K585" s="3">
        <v>7.0000000000000007E-2</v>
      </c>
      <c r="L585" s="2">
        <f>Base[[#This Row],[Coût]]*Base[[#This Row],[Part_ménages_dépenses_santé]]</f>
        <v>0.50956920000000006</v>
      </c>
      <c r="M585" s="2">
        <v>1</v>
      </c>
      <c r="N585" s="6">
        <v>27700000</v>
      </c>
      <c r="O585" s="7">
        <f>Base[[#This Row],[Coût_salarié]]*10^9*Base[[#This Row],[Risque]]*Base[[#This Row],[Prévalence]]*Base[[#This Row],[Part_coûts_salarié]]/Base[[#This Row],[Population_emploi]]</f>
        <v>1.0052582177726723</v>
      </c>
      <c r="P585">
        <v>50</v>
      </c>
      <c r="Q585">
        <v>50</v>
      </c>
      <c r="R585" s="2">
        <v>9.9999999999999978E-2</v>
      </c>
      <c r="S585" s="2">
        <v>0.33340000000000003</v>
      </c>
      <c r="T585" s="4">
        <v>0.1217</v>
      </c>
      <c r="U585" s="4">
        <f>IF(Bases_annexes!$F$5=0,16.6587111018772,0.77*Bases_annexes!$F$5/(IF(OR(ISBLANK('Données_d''entrée'!$E$44),'Données_d''entrée'!$E$44=0),35,'Données_d''entrée'!$E$44)*52))</f>
        <v>16.658711101877199</v>
      </c>
      <c r="V585" s="4">
        <v>21.5</v>
      </c>
      <c r="W58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5" s="4">
        <v>234.5</v>
      </c>
      <c r="Y585" s="4">
        <f>(Base[[#This Row],['[Maladies']Coûts_évités_par_salarié]]+Base[[#This Row],['[Travail']Coûts_évités_par_salarié]])/Base[[#This Row],[Budget_santé_salarié]]</f>
        <v>0.13607988080588845</v>
      </c>
      <c r="Z585" s="4">
        <v>0.8</v>
      </c>
      <c r="AA585" s="4">
        <f>Base[[#This Row],[Coût]]*Base[[#This Row],[Part_société_dépenses_santé]]</f>
        <v>5.8236480000000004</v>
      </c>
      <c r="AB585" s="4">
        <v>67635124</v>
      </c>
      <c r="AC585" s="4">
        <v>82.297079063317852</v>
      </c>
      <c r="AD585" s="4">
        <v>0.1217</v>
      </c>
      <c r="AE585" s="4">
        <f>Base[[#This Row],['[SC']Prévalence_travail]]*Base[[#This Row],[Population_emploi]]</f>
        <v>3371090</v>
      </c>
      <c r="AF585" s="4">
        <f>Base[[#This Row],[Risque]]*Base[[#This Row],['[SC']Patients_en_emploi]]</f>
        <v>1513679.7473528497</v>
      </c>
      <c r="AG585" s="4">
        <v>0</v>
      </c>
      <c r="AH585" s="4">
        <f>IFERROR(Base[[#This Row],['[SC']Prestations]]/Base[[#This Row],['[SC']Patients_en_emploi]],0)</f>
        <v>0</v>
      </c>
      <c r="AI585" s="4">
        <v>51.7</v>
      </c>
      <c r="AJ58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5" s="4">
        <f>Base[[#This Row],['[SC']'[Travail']Coûts_évités]]/Base[[#This Row],[Population_emploi]]</f>
        <v>52.265667666268349</v>
      </c>
      <c r="AL585" s="4">
        <f>Base[[#This Row],[Coût_société]]*10^9*Base[[#This Row],[Risque]]*Base[[#This Row],[Prévalence]]*Base[[#This Row],[Part_coûts_salarié]]/Base[[#This Row],[Population_emploi]]</f>
        <v>11.488665345973399</v>
      </c>
      <c r="AM585" s="4">
        <f>IF(Base[[#This Row],[Pathologie]]&lt;&gt;"Dépendance",0,14909.24243952)</f>
        <v>0</v>
      </c>
      <c r="AN585" s="4">
        <f>IF(Base[[#This Row],[Pathologie]]&lt;&gt;"Dépendance",0,1316000)</f>
        <v>0</v>
      </c>
      <c r="AO585" s="4">
        <f>IF(Base[[#This Row],[Pathologie]]&lt;&gt;"Dépendance",0,Base[[#This Row],['[SC']Coût_personne_dépendante]]*Base[[#This Row],['[SC']Nb_personnes_dépendantes]])</f>
        <v>0</v>
      </c>
      <c r="AP585" s="4">
        <f>IF(Base[[#This Row],[Pathologie]]&lt;&gt;"Dépendance",0,Base[[#This Row],['[SC']Coût_total_dépendance]]/Base[[#This Row],[Population_totale]])</f>
        <v>0</v>
      </c>
      <c r="AQ585" s="4">
        <f>IF(Base[[#This Row],[Pathologie]]&lt;&gt;"Dépendance",0,4.5)</f>
        <v>0</v>
      </c>
      <c r="AR585" s="4">
        <v>1.0077957276768601</v>
      </c>
      <c r="AS585" s="4">
        <f>Base[[#This Row],[Espérance_vie]]+Base[[#This Row],['[SC']Hausse_esp_de_vie]]-Base[[#This Row],['[SC']Durée_moyenne_dépendance_avt]]+Base[[#This Row],[Risque]]</f>
        <v>83.753892689464607</v>
      </c>
      <c r="AT58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5" s="4">
        <v>62.9</v>
      </c>
      <c r="AW585" s="4">
        <f t="shared" si="18"/>
        <v>336905600000</v>
      </c>
      <c r="AX585" s="4">
        <v>15049171</v>
      </c>
      <c r="AY585" s="4">
        <f>Base[[#This Row],['[SC']Budget_total_retraites]]/Base[[#This Row],['[SC']Nombre_de_retraités]]</f>
        <v>22386.987296509556</v>
      </c>
      <c r="AZ585" s="4">
        <f>Base[[#This Row],['[SC']Budget_par_retraité]]*Base[[#This Row],['[SC']Nb_personnes_dépendantes]]</f>
        <v>0</v>
      </c>
      <c r="BA585" s="4">
        <f>Base[[#This Row],['[SC']'[Dépendance']Coût_retraite_personnes_dépendantes]]/Base[[#This Row],[Population_totale]]</f>
        <v>0</v>
      </c>
      <c r="BB58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5" s="4">
        <f>Base[[#This Row],['[SC']'[Dépendance']Gains]]-Base[[#This Row],['[SC']'[Dépendance']Coûts]]</f>
        <v>0</v>
      </c>
      <c r="BD585" s="4">
        <f>IF(Base[[#This Row],[Pathologie]]&lt;&gt;"Mort prématurée",0,Base[[#This Row],[Risque]]*Base[[#This Row],[Prévalence]]*Base[[#This Row],[Population_totale]])</f>
        <v>0</v>
      </c>
      <c r="BE585" s="4">
        <v>52.74</v>
      </c>
      <c r="BF585" s="4">
        <f>Base[[#This Row],['[SC']Âge_moyen_retraite]]-Base[[#This Row],['[SC']'[Mort_prématurée']Âge_moyen_mort précoce]]</f>
        <v>10.159999999999997</v>
      </c>
      <c r="BG585" s="4">
        <f>Base[[#This Row],[Espérance_vie]]+Base[[#This Row],['[SC']Hausse_esp_de_vie]]-Base[[#This Row],['[SC']Âge_moyen_retraite]]</f>
        <v>20.404874790994718</v>
      </c>
      <c r="BH585" s="4">
        <v>106583.42676924677</v>
      </c>
      <c r="BI585" s="4">
        <v>97601.789429271477</v>
      </c>
      <c r="BJ585" s="4">
        <v>302038.31496633729</v>
      </c>
      <c r="BK585" s="4">
        <v>117293.58934859755</v>
      </c>
      <c r="BL585" s="4">
        <v>1523999.9999999995</v>
      </c>
      <c r="BM58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5" s="4">
        <v>294804.96027377353</v>
      </c>
      <c r="BO58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5" s="4">
        <f>(Base[[#This Row],['[SC']'[Mort_prématurée']Gains]]-Base[[#This Row],['[SC']'[Mort_prématurée']Coûts]])/Base[[#This Row],[Population_totale]]</f>
        <v>0</v>
      </c>
      <c r="BQ585" s="4">
        <f>IF(Base[[#This Row],[Pathologie]]&lt;&gt;"Mort prématurée",0,Base[[#This Row],[Risque]])</f>
        <v>0</v>
      </c>
      <c r="BR585" s="4">
        <v>2680</v>
      </c>
      <c r="BS58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5" s="4">
        <f>Base[[#This Row],[Prévalence_prod]]*(1-Base[[#This Row],[Risque]])*Base[[#This Row],[Durée_arrêt]]*Base[[#This Row],[Population_emploi]]</f>
        <v>39934320.431913733</v>
      </c>
      <c r="BV585" s="4">
        <f>Base[[#This Row],['[Prod']'[Absentéisme']Total_jours_absence_avant]]-Base[[#This Row],['[Prod']'[Absentéisme']Total_jours_absence_après]]</f>
        <v>32544114.568086267</v>
      </c>
      <c r="BW585" s="4">
        <f>IF(AND(Base[[#This Row],[Pathologie]]&lt;&gt;"Dépendance",Base[[#This Row],[Pathologie]]&lt;&gt;"Mort prématurée",Base[[#This Row],[Pathologie]]&lt;&gt;"Migraine"),0.0619,0)</f>
        <v>6.1899999999999997E-2</v>
      </c>
      <c r="BX585" s="4">
        <v>254</v>
      </c>
      <c r="BY585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5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5" s="4">
        <f>Base[[#This Row],[Prévalence_prod]]*Base[[#This Row],[Présentéisme]]*Base[[#This Row],['[Prod']Jours_ouvrés]]</f>
        <v>2.8438856000000001</v>
      </c>
      <c r="CB585" s="4">
        <f>Base[[#This Row],[Prévalence_prod]]*(1-Base[[#This Row],[Risque]])*Base[[#This Row],[Présentéisme]]*Base[[#This Row],['[Prod']Jours_ouvrés]]</f>
        <v>1.5669300643992279</v>
      </c>
      <c r="CC585" s="4">
        <f>Base[[#This Row],['[Prod']'[Présentéisme']Jours_avant]]-Base[[#This Row],['[Prod']'[Présentéisme']Jours_après]]</f>
        <v>1.2769555356007722</v>
      </c>
      <c r="CD585" s="4">
        <f>Base[[#This Row],['[Prod']'[Présentéisme']Jours_gagnés]]/Base[[#This Row],['[Prod']Jours_ouvrés]]</f>
        <v>5.0273839984282375E-3</v>
      </c>
      <c r="CE585">
        <v>9.3428413505841454E-2</v>
      </c>
      <c r="CF585">
        <v>2.1038737314955848E-2</v>
      </c>
      <c r="CG585" s="4">
        <v>11</v>
      </c>
      <c r="CH585" s="4">
        <v>1.1624525375985588</v>
      </c>
      <c r="CI585" s="4">
        <v>3.7953151649308701E-2</v>
      </c>
      <c r="CJ585" s="4">
        <f>IF(Base[[#This Row],[Secteur]]&lt;&gt;"Moyenne",Base[[#This Row],['[Prod']'[Turnover']DMC_initiale]]*(1+Base[[#This Row],['[Prod']'[Turnover']Ecart_accidents]]*Base[[#This Row],['[Prod']Impact_motifs_turnover]]),CJ568*CI568+CJ569*CI569+CJ570*CI570+CJ571*CI571+CJ572*CI572+CJ573*CI573+CJ574*CI574+CJ575*CI575+CJ576*CI576+CJ577*CI577+CJ578*CI578+CJ579*CI579+CJ580*CI580+CJ581*CI581+CJ582*CI582+CJ583*CI583+CJ584*CI584)</f>
        <v>11.269021869376038</v>
      </c>
      <c r="CK585" s="4">
        <f>1/Base[[#This Row],['[Prod']'[Turnover']DMC_initiale]]</f>
        <v>9.0909090909090912E-2</v>
      </c>
      <c r="CL585" s="4">
        <f>1/Base[[#This Row],['[Prod']'[Turnover']DMC_finale]]</f>
        <v>8.8738846333907204E-2</v>
      </c>
    </row>
    <row r="586" spans="2:90" x14ac:dyDescent="0.25">
      <c r="B586" s="4" t="s">
        <v>326</v>
      </c>
      <c r="C586">
        <v>30</v>
      </c>
      <c r="D586" t="s">
        <v>85</v>
      </c>
      <c r="E586" t="s">
        <v>7</v>
      </c>
      <c r="F586" s="3">
        <v>0.44901789846988649</v>
      </c>
      <c r="G586" s="3">
        <v>0.1217</v>
      </c>
      <c r="H586" s="3">
        <v>0.1217</v>
      </c>
      <c r="I586" s="3">
        <v>9.1999999999999998E-2</v>
      </c>
      <c r="J586" s="3">
        <v>7.27956</v>
      </c>
      <c r="K586" s="3">
        <v>7.0000000000000007E-2</v>
      </c>
      <c r="L586" s="2">
        <f>Base[[#This Row],[Coût]]*Base[[#This Row],[Part_ménages_dépenses_santé]]</f>
        <v>0.50956920000000006</v>
      </c>
      <c r="M586" s="2">
        <v>1</v>
      </c>
      <c r="N586" s="6">
        <v>27700000</v>
      </c>
      <c r="O586" s="7">
        <f>Base[[#This Row],[Coût_salarié]]*10^9*Base[[#This Row],[Risque]]*Base[[#This Row],[Prévalence]]*Base[[#This Row],[Part_coûts_salarié]]/Base[[#This Row],[Population_emploi]]</f>
        <v>1.0052582177726723</v>
      </c>
      <c r="P586">
        <v>50</v>
      </c>
      <c r="Q586">
        <v>50</v>
      </c>
      <c r="R586" s="2">
        <v>9.9999999999999978E-2</v>
      </c>
      <c r="S586" s="2">
        <v>0.33340000000000003</v>
      </c>
      <c r="T586" s="4">
        <v>0.1217</v>
      </c>
      <c r="U586" s="4">
        <f>IF(Bases_annexes!$F$5=0,16.6587111018772,0.77*Bases_annexes!$F$5/(IF(OR(ISBLANK('Données_d''entrée'!$E$44),'Données_d''entrée'!$E$44=0),35,'Données_d''entrée'!$E$44)*52))</f>
        <v>16.658711101877199</v>
      </c>
      <c r="V586" s="4">
        <v>21.5</v>
      </c>
      <c r="W58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6" s="4">
        <v>234.5</v>
      </c>
      <c r="Y586" s="4">
        <f>(Base[[#This Row],['[Maladies']Coûts_évités_par_salarié]]+Base[[#This Row],['[Travail']Coûts_évités_par_salarié]])/Base[[#This Row],[Budget_santé_salarié]]</f>
        <v>0.13607988080588845</v>
      </c>
      <c r="Z586" s="4">
        <v>0.8</v>
      </c>
      <c r="AA586" s="4">
        <f>Base[[#This Row],[Coût]]*Base[[#This Row],[Part_société_dépenses_santé]]</f>
        <v>5.8236480000000004</v>
      </c>
      <c r="AB586" s="4">
        <v>67635124</v>
      </c>
      <c r="AC586" s="4">
        <v>82.297079063317852</v>
      </c>
      <c r="AD586" s="4">
        <v>0.1217</v>
      </c>
      <c r="AE586" s="4">
        <f>Base[[#This Row],['[SC']Prévalence_travail]]*Base[[#This Row],[Population_emploi]]</f>
        <v>3371090</v>
      </c>
      <c r="AF586" s="4">
        <f>Base[[#This Row],[Risque]]*Base[[#This Row],['[SC']Patients_en_emploi]]</f>
        <v>1513679.7473528497</v>
      </c>
      <c r="AG586" s="4">
        <v>0</v>
      </c>
      <c r="AH586" s="4">
        <f>IFERROR(Base[[#This Row],['[SC']Prestations]]/Base[[#This Row],['[SC']Patients_en_emploi]],0)</f>
        <v>0</v>
      </c>
      <c r="AI586" s="4">
        <v>51.7</v>
      </c>
      <c r="AJ58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6" s="4">
        <f>Base[[#This Row],['[SC']'[Travail']Coûts_évités]]/Base[[#This Row],[Population_emploi]]</f>
        <v>52.265667666268349</v>
      </c>
      <c r="AL586" s="4">
        <f>Base[[#This Row],[Coût_société]]*10^9*Base[[#This Row],[Risque]]*Base[[#This Row],[Prévalence]]*Base[[#This Row],[Part_coûts_salarié]]/Base[[#This Row],[Population_emploi]]</f>
        <v>11.488665345973399</v>
      </c>
      <c r="AM586" s="4">
        <f>IF(Base[[#This Row],[Pathologie]]&lt;&gt;"Dépendance",0,14909.24243952)</f>
        <v>0</v>
      </c>
      <c r="AN586" s="4">
        <f>IF(Base[[#This Row],[Pathologie]]&lt;&gt;"Dépendance",0,1316000)</f>
        <v>0</v>
      </c>
      <c r="AO586" s="4">
        <f>IF(Base[[#This Row],[Pathologie]]&lt;&gt;"Dépendance",0,Base[[#This Row],['[SC']Coût_personne_dépendante]]*Base[[#This Row],['[SC']Nb_personnes_dépendantes]])</f>
        <v>0</v>
      </c>
      <c r="AP586" s="4">
        <f>IF(Base[[#This Row],[Pathologie]]&lt;&gt;"Dépendance",0,Base[[#This Row],['[SC']Coût_total_dépendance]]/Base[[#This Row],[Population_totale]])</f>
        <v>0</v>
      </c>
      <c r="AQ586" s="4">
        <f>IF(Base[[#This Row],[Pathologie]]&lt;&gt;"Dépendance",0,4.5)</f>
        <v>0</v>
      </c>
      <c r="AR586" s="4">
        <v>1.0077957276768601</v>
      </c>
      <c r="AS586" s="4">
        <f>Base[[#This Row],[Espérance_vie]]+Base[[#This Row],['[SC']Hausse_esp_de_vie]]-Base[[#This Row],['[SC']Durée_moyenne_dépendance_avt]]+Base[[#This Row],[Risque]]</f>
        <v>83.753892689464607</v>
      </c>
      <c r="AT58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6" s="4">
        <v>62.9</v>
      </c>
      <c r="AW586" s="4">
        <f t="shared" si="18"/>
        <v>336905600000</v>
      </c>
      <c r="AX586" s="4">
        <v>15049171</v>
      </c>
      <c r="AY586" s="4">
        <f>Base[[#This Row],['[SC']Budget_total_retraites]]/Base[[#This Row],['[SC']Nombre_de_retraités]]</f>
        <v>22386.987296509556</v>
      </c>
      <c r="AZ586" s="4">
        <f>Base[[#This Row],['[SC']Budget_par_retraité]]*Base[[#This Row],['[SC']Nb_personnes_dépendantes]]</f>
        <v>0</v>
      </c>
      <c r="BA586" s="4">
        <f>Base[[#This Row],['[SC']'[Dépendance']Coût_retraite_personnes_dépendantes]]/Base[[#This Row],[Population_totale]]</f>
        <v>0</v>
      </c>
      <c r="BB58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6" s="4">
        <f>Base[[#This Row],['[SC']'[Dépendance']Gains]]-Base[[#This Row],['[SC']'[Dépendance']Coûts]]</f>
        <v>0</v>
      </c>
      <c r="BD586" s="4">
        <f>IF(Base[[#This Row],[Pathologie]]&lt;&gt;"Mort prématurée",0,Base[[#This Row],[Risque]]*Base[[#This Row],[Prévalence]]*Base[[#This Row],[Population_totale]])</f>
        <v>0</v>
      </c>
      <c r="BE586" s="4">
        <v>52.74</v>
      </c>
      <c r="BF586" s="4">
        <f>Base[[#This Row],['[SC']Âge_moyen_retraite]]-Base[[#This Row],['[SC']'[Mort_prématurée']Âge_moyen_mort précoce]]</f>
        <v>10.159999999999997</v>
      </c>
      <c r="BG586" s="4">
        <f>Base[[#This Row],[Espérance_vie]]+Base[[#This Row],['[SC']Hausse_esp_de_vie]]-Base[[#This Row],['[SC']Âge_moyen_retraite]]</f>
        <v>20.404874790994718</v>
      </c>
      <c r="BH586" s="4">
        <v>106583.42676924677</v>
      </c>
      <c r="BI586" s="4">
        <v>97601.789429271477</v>
      </c>
      <c r="BJ586" s="4">
        <v>302038.31496633729</v>
      </c>
      <c r="BK586" s="4">
        <v>117293.58934859755</v>
      </c>
      <c r="BL586" s="4">
        <v>1523999.9999999995</v>
      </c>
      <c r="BM58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6" s="4">
        <v>294804.96027377353</v>
      </c>
      <c r="BO58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6" s="4">
        <f>(Base[[#This Row],['[SC']'[Mort_prématurée']Gains]]-Base[[#This Row],['[SC']'[Mort_prématurée']Coûts]])/Base[[#This Row],[Population_totale]]</f>
        <v>0</v>
      </c>
      <c r="BQ586" s="4">
        <f>IF(Base[[#This Row],[Pathologie]]&lt;&gt;"Mort prématurée",0,Base[[#This Row],[Risque]])</f>
        <v>0</v>
      </c>
      <c r="BR586" s="4">
        <v>2680</v>
      </c>
      <c r="BS58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6" s="4">
        <f>Base[[#This Row],[Prévalence_prod]]*(1-Base[[#This Row],[Risque]])*Base[[#This Row],[Durée_arrêt]]*Base[[#This Row],[Population_emploi]]</f>
        <v>39934320.431913733</v>
      </c>
      <c r="BV586" s="4">
        <f>Base[[#This Row],['[Prod']'[Absentéisme']Total_jours_absence_avant]]-Base[[#This Row],['[Prod']'[Absentéisme']Total_jours_absence_après]]</f>
        <v>32544114.568086267</v>
      </c>
      <c r="BW586" s="4">
        <f>IF(AND(Base[[#This Row],[Pathologie]]&lt;&gt;"Dépendance",Base[[#This Row],[Pathologie]]&lt;&gt;"Mort prématurée",Base[[#This Row],[Pathologie]]&lt;&gt;"Migraine"),0.0619,0)</f>
        <v>6.1899999999999997E-2</v>
      </c>
      <c r="BX586" s="4">
        <v>254</v>
      </c>
      <c r="BY586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6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6" s="4">
        <f>Base[[#This Row],[Prévalence_prod]]*Base[[#This Row],[Présentéisme]]*Base[[#This Row],['[Prod']Jours_ouvrés]]</f>
        <v>2.8438856000000001</v>
      </c>
      <c r="CB586" s="4">
        <f>Base[[#This Row],[Prévalence_prod]]*(1-Base[[#This Row],[Risque]])*Base[[#This Row],[Présentéisme]]*Base[[#This Row],['[Prod']Jours_ouvrés]]</f>
        <v>1.5669300643992279</v>
      </c>
      <c r="CC586" s="4">
        <f>Base[[#This Row],['[Prod']'[Présentéisme']Jours_avant]]-Base[[#This Row],['[Prod']'[Présentéisme']Jours_après]]</f>
        <v>1.2769555356007722</v>
      </c>
      <c r="CD586" s="4">
        <f>Base[[#This Row],['[Prod']'[Présentéisme']Jours_gagnés]]/Base[[#This Row],['[Prod']Jours_ouvrés]]</f>
        <v>5.0273839984282375E-3</v>
      </c>
      <c r="CE586">
        <v>9.3428413505841454E-2</v>
      </c>
      <c r="CF586">
        <v>2.1038737314955848E-2</v>
      </c>
      <c r="CG586" s="4">
        <v>11</v>
      </c>
      <c r="CH586" s="4">
        <v>0.19346787829229528</v>
      </c>
      <c r="CI586" s="4">
        <v>2.8126549817953091E-2</v>
      </c>
      <c r="CJ586" s="4">
        <f>IF(Base[[#This Row],[Secteur]]&lt;&gt;"Moyenne",Base[[#This Row],['[Prod']'[Turnover']DMC_initiale]]*(1+Base[[#This Row],['[Prod']'[Turnover']Ecart_accidents]]*Base[[#This Row],['[Prod']Impact_motifs_turnover]]),CJ569*CI569+CJ570*CI570+CJ571*CI571+CJ572*CI572+CJ573*CI573+CJ574*CI574+CJ575*CI575+CJ576*CI576+CJ577*CI577+CJ578*CI578+CJ579*CI579+CJ580*CI580+CJ581*CI581+CJ582*CI582+CJ583*CI583+CJ584*CI584+CJ585*CI585)</f>
        <v>11.044773518573008</v>
      </c>
      <c r="CK586" s="4">
        <f>1/Base[[#This Row],['[Prod']'[Turnover']DMC_initiale]]</f>
        <v>9.0909090909090912E-2</v>
      </c>
      <c r="CL586" s="4">
        <f>1/Base[[#This Row],['[Prod']'[Turnover']DMC_finale]]</f>
        <v>9.0540561861082031E-2</v>
      </c>
    </row>
    <row r="587" spans="2:90" x14ac:dyDescent="0.25">
      <c r="B587" s="4" t="s">
        <v>327</v>
      </c>
      <c r="C587">
        <v>30</v>
      </c>
      <c r="D587" t="s">
        <v>85</v>
      </c>
      <c r="E587" t="s">
        <v>7</v>
      </c>
      <c r="F587" s="3">
        <v>0.44901789846988649</v>
      </c>
      <c r="G587" s="3">
        <v>0.1217</v>
      </c>
      <c r="H587" s="3">
        <v>0.1217</v>
      </c>
      <c r="I587" s="3">
        <v>9.1999999999999998E-2</v>
      </c>
      <c r="J587" s="3">
        <v>7.27956</v>
      </c>
      <c r="K587" s="3">
        <v>7.0000000000000007E-2</v>
      </c>
      <c r="L587" s="2">
        <f>Base[[#This Row],[Coût]]*Base[[#This Row],[Part_ménages_dépenses_santé]]</f>
        <v>0.50956920000000006</v>
      </c>
      <c r="M587" s="2">
        <v>1</v>
      </c>
      <c r="N587" s="6">
        <v>27700000</v>
      </c>
      <c r="O587" s="7">
        <f>Base[[#This Row],[Coût_salarié]]*10^9*Base[[#This Row],[Risque]]*Base[[#This Row],[Prévalence]]*Base[[#This Row],[Part_coûts_salarié]]/Base[[#This Row],[Population_emploi]]</f>
        <v>1.0052582177726723</v>
      </c>
      <c r="P587">
        <v>50</v>
      </c>
      <c r="Q587">
        <v>50</v>
      </c>
      <c r="R587" s="2">
        <v>9.9999999999999978E-2</v>
      </c>
      <c r="S587" s="2">
        <v>0.33340000000000003</v>
      </c>
      <c r="T587" s="4">
        <v>0.1217</v>
      </c>
      <c r="U587" s="4">
        <f>IF(Bases_annexes!$F$5=0,16.6587111018772,0.77*Bases_annexes!$F$5/(IF(OR(ISBLANK('Données_d''entrée'!$E$44),'Données_d''entrée'!$E$44=0),35,'Données_d''entrée'!$E$44)*52))</f>
        <v>16.658711101877199</v>
      </c>
      <c r="V587" s="4">
        <v>21.5</v>
      </c>
      <c r="W58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7" s="4">
        <v>234.5</v>
      </c>
      <c r="Y587" s="4">
        <f>(Base[[#This Row],['[Maladies']Coûts_évités_par_salarié]]+Base[[#This Row],['[Travail']Coûts_évités_par_salarié]])/Base[[#This Row],[Budget_santé_salarié]]</f>
        <v>0.13607988080588845</v>
      </c>
      <c r="Z587" s="4">
        <v>0.8</v>
      </c>
      <c r="AA587" s="4">
        <f>Base[[#This Row],[Coût]]*Base[[#This Row],[Part_société_dépenses_santé]]</f>
        <v>5.8236480000000004</v>
      </c>
      <c r="AB587" s="4">
        <v>67635124</v>
      </c>
      <c r="AC587" s="4">
        <v>82.297079063317852</v>
      </c>
      <c r="AD587" s="4">
        <v>0.1217</v>
      </c>
      <c r="AE587" s="4">
        <f>Base[[#This Row],['[SC']Prévalence_travail]]*Base[[#This Row],[Population_emploi]]</f>
        <v>3371090</v>
      </c>
      <c r="AF587" s="4">
        <f>Base[[#This Row],[Risque]]*Base[[#This Row],['[SC']Patients_en_emploi]]</f>
        <v>1513679.7473528497</v>
      </c>
      <c r="AG587" s="4">
        <v>0</v>
      </c>
      <c r="AH587" s="4">
        <f>IFERROR(Base[[#This Row],['[SC']Prestations]]/Base[[#This Row],['[SC']Patients_en_emploi]],0)</f>
        <v>0</v>
      </c>
      <c r="AI587" s="4">
        <v>51.7</v>
      </c>
      <c r="AJ58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7" s="4">
        <f>Base[[#This Row],['[SC']'[Travail']Coûts_évités]]/Base[[#This Row],[Population_emploi]]</f>
        <v>52.265667666268349</v>
      </c>
      <c r="AL587" s="4">
        <f>Base[[#This Row],[Coût_société]]*10^9*Base[[#This Row],[Risque]]*Base[[#This Row],[Prévalence]]*Base[[#This Row],[Part_coûts_salarié]]/Base[[#This Row],[Population_emploi]]</f>
        <v>11.488665345973399</v>
      </c>
      <c r="AM587" s="4">
        <f>IF(Base[[#This Row],[Pathologie]]&lt;&gt;"Dépendance",0,14909.24243952)</f>
        <v>0</v>
      </c>
      <c r="AN587" s="4">
        <f>IF(Base[[#This Row],[Pathologie]]&lt;&gt;"Dépendance",0,1316000)</f>
        <v>0</v>
      </c>
      <c r="AO587" s="4">
        <f>IF(Base[[#This Row],[Pathologie]]&lt;&gt;"Dépendance",0,Base[[#This Row],['[SC']Coût_personne_dépendante]]*Base[[#This Row],['[SC']Nb_personnes_dépendantes]])</f>
        <v>0</v>
      </c>
      <c r="AP587" s="4">
        <f>IF(Base[[#This Row],[Pathologie]]&lt;&gt;"Dépendance",0,Base[[#This Row],['[SC']Coût_total_dépendance]]/Base[[#This Row],[Population_totale]])</f>
        <v>0</v>
      </c>
      <c r="AQ587" s="4">
        <f>IF(Base[[#This Row],[Pathologie]]&lt;&gt;"Dépendance",0,4.5)</f>
        <v>0</v>
      </c>
      <c r="AR587" s="4">
        <v>1.0077957276768601</v>
      </c>
      <c r="AS587" s="4">
        <f>Base[[#This Row],[Espérance_vie]]+Base[[#This Row],['[SC']Hausse_esp_de_vie]]-Base[[#This Row],['[SC']Durée_moyenne_dépendance_avt]]+Base[[#This Row],[Risque]]</f>
        <v>83.753892689464607</v>
      </c>
      <c r="AT58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7" s="4">
        <v>62.9</v>
      </c>
      <c r="AW587" s="4">
        <f t="shared" si="18"/>
        <v>336905600000</v>
      </c>
      <c r="AX587" s="4">
        <v>15049171</v>
      </c>
      <c r="AY587" s="4">
        <f>Base[[#This Row],['[SC']Budget_total_retraites]]/Base[[#This Row],['[SC']Nombre_de_retraités]]</f>
        <v>22386.987296509556</v>
      </c>
      <c r="AZ587" s="4">
        <f>Base[[#This Row],['[SC']Budget_par_retraité]]*Base[[#This Row],['[SC']Nb_personnes_dépendantes]]</f>
        <v>0</v>
      </c>
      <c r="BA587" s="4">
        <f>Base[[#This Row],['[SC']'[Dépendance']Coût_retraite_personnes_dépendantes]]/Base[[#This Row],[Population_totale]]</f>
        <v>0</v>
      </c>
      <c r="BB58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7" s="4">
        <f>Base[[#This Row],['[SC']'[Dépendance']Gains]]-Base[[#This Row],['[SC']'[Dépendance']Coûts]]</f>
        <v>0</v>
      </c>
      <c r="BD587" s="4">
        <f>IF(Base[[#This Row],[Pathologie]]&lt;&gt;"Mort prématurée",0,Base[[#This Row],[Risque]]*Base[[#This Row],[Prévalence]]*Base[[#This Row],[Population_totale]])</f>
        <v>0</v>
      </c>
      <c r="BE587" s="4">
        <v>52.74</v>
      </c>
      <c r="BF587" s="4">
        <f>Base[[#This Row],['[SC']Âge_moyen_retraite]]-Base[[#This Row],['[SC']'[Mort_prématurée']Âge_moyen_mort précoce]]</f>
        <v>10.159999999999997</v>
      </c>
      <c r="BG587" s="4">
        <f>Base[[#This Row],[Espérance_vie]]+Base[[#This Row],['[SC']Hausse_esp_de_vie]]-Base[[#This Row],['[SC']Âge_moyen_retraite]]</f>
        <v>20.404874790994718</v>
      </c>
      <c r="BH587" s="4">
        <v>106583.42676924677</v>
      </c>
      <c r="BI587" s="4">
        <v>97601.789429271477</v>
      </c>
      <c r="BJ587" s="4">
        <v>302038.31496633729</v>
      </c>
      <c r="BK587" s="4">
        <v>117293.58934859755</v>
      </c>
      <c r="BL587" s="4">
        <v>1523999.9999999995</v>
      </c>
      <c r="BM58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7" s="4">
        <v>294804.96027377353</v>
      </c>
      <c r="BO58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7" s="4">
        <f>(Base[[#This Row],['[SC']'[Mort_prématurée']Gains]]-Base[[#This Row],['[SC']'[Mort_prématurée']Coûts]])/Base[[#This Row],[Population_totale]]</f>
        <v>0</v>
      </c>
      <c r="BQ587" s="4">
        <f>IF(Base[[#This Row],[Pathologie]]&lt;&gt;"Mort prématurée",0,Base[[#This Row],[Risque]])</f>
        <v>0</v>
      </c>
      <c r="BR587" s="4">
        <v>2680</v>
      </c>
      <c r="BS58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7" s="4">
        <f>Base[[#This Row],[Prévalence_prod]]*(1-Base[[#This Row],[Risque]])*Base[[#This Row],[Durée_arrêt]]*Base[[#This Row],[Population_emploi]]</f>
        <v>39934320.431913733</v>
      </c>
      <c r="BV587" s="4">
        <f>Base[[#This Row],['[Prod']'[Absentéisme']Total_jours_absence_avant]]-Base[[#This Row],['[Prod']'[Absentéisme']Total_jours_absence_après]]</f>
        <v>32544114.568086267</v>
      </c>
      <c r="BW587" s="4">
        <f>IF(AND(Base[[#This Row],[Pathologie]]&lt;&gt;"Dépendance",Base[[#This Row],[Pathologie]]&lt;&gt;"Mort prématurée",Base[[#This Row],[Pathologie]]&lt;&gt;"Migraine"),0.0619,0)</f>
        <v>6.1899999999999997E-2</v>
      </c>
      <c r="BX587" s="4">
        <v>254</v>
      </c>
      <c r="BY587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7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7" s="4">
        <f>Base[[#This Row],[Prévalence_prod]]*Base[[#This Row],[Présentéisme]]*Base[[#This Row],['[Prod']Jours_ouvrés]]</f>
        <v>2.8438856000000001</v>
      </c>
      <c r="CB587" s="4">
        <f>Base[[#This Row],[Prévalence_prod]]*(1-Base[[#This Row],[Risque]])*Base[[#This Row],[Présentéisme]]*Base[[#This Row],['[Prod']Jours_ouvrés]]</f>
        <v>1.5669300643992279</v>
      </c>
      <c r="CC587" s="4">
        <f>Base[[#This Row],['[Prod']'[Présentéisme']Jours_avant]]-Base[[#This Row],['[Prod']'[Présentéisme']Jours_après]]</f>
        <v>1.2769555356007722</v>
      </c>
      <c r="CD587" s="4">
        <f>Base[[#This Row],['[Prod']'[Présentéisme']Jours_gagnés]]/Base[[#This Row],['[Prod']Jours_ouvrés]]</f>
        <v>5.0273839984282375E-3</v>
      </c>
      <c r="CE587">
        <v>9.3428413505841454E-2</v>
      </c>
      <c r="CF587">
        <v>2.1038737314955848E-2</v>
      </c>
      <c r="CG587" s="4">
        <v>11</v>
      </c>
      <c r="CH587" s="4">
        <v>0.13729577077682142</v>
      </c>
      <c r="CI587" s="4">
        <v>1.373516710817578E-2</v>
      </c>
      <c r="CJ587" s="4">
        <f>IF(Base[[#This Row],[Secteur]]&lt;&gt;"Moyenne",Base[[#This Row],['[Prod']'[Turnover']DMC_initiale]]*(1+Base[[#This Row],['[Prod']'[Turnover']Ecart_accidents]]*Base[[#This Row],['[Prod']Impact_motifs_turnover]]),CJ570*CI570+CJ571*CI571+CJ572*CI572+CJ573*CI573+CJ574*CI574+CJ575*CI575+CJ576*CI576+CJ577*CI577+CJ578*CI578+CJ579*CI579+CJ580*CI580+CJ581*CI581+CJ582*CI582+CJ583*CI583+CJ584*CI584+CJ585*CI585+CJ586*CI586)</f>
        <v>11.031773826214106</v>
      </c>
      <c r="CK587" s="4">
        <f>1/Base[[#This Row],['[Prod']'[Turnover']DMC_initiale]]</f>
        <v>9.0909090909090912E-2</v>
      </c>
      <c r="CL587" s="4">
        <f>1/Base[[#This Row],['[Prod']'[Turnover']DMC_finale]]</f>
        <v>9.0647253628764871E-2</v>
      </c>
    </row>
    <row r="588" spans="2:90" x14ac:dyDescent="0.25">
      <c r="B588" s="4" t="s">
        <v>328</v>
      </c>
      <c r="C588">
        <v>30</v>
      </c>
      <c r="D588" t="s">
        <v>85</v>
      </c>
      <c r="E588" t="s">
        <v>7</v>
      </c>
      <c r="F588" s="3">
        <v>0.44901789846988649</v>
      </c>
      <c r="G588" s="3">
        <v>0.1217</v>
      </c>
      <c r="H588" s="3">
        <v>0.1217</v>
      </c>
      <c r="I588" s="3">
        <v>9.1999999999999998E-2</v>
      </c>
      <c r="J588" s="3">
        <v>7.27956</v>
      </c>
      <c r="K588" s="3">
        <v>7.0000000000000007E-2</v>
      </c>
      <c r="L588" s="2">
        <f>Base[[#This Row],[Coût]]*Base[[#This Row],[Part_ménages_dépenses_santé]]</f>
        <v>0.50956920000000006</v>
      </c>
      <c r="M588" s="2">
        <v>1</v>
      </c>
      <c r="N588" s="6">
        <v>27700000</v>
      </c>
      <c r="O588" s="7">
        <f>Base[[#This Row],[Coût_salarié]]*10^9*Base[[#This Row],[Risque]]*Base[[#This Row],[Prévalence]]*Base[[#This Row],[Part_coûts_salarié]]/Base[[#This Row],[Population_emploi]]</f>
        <v>1.0052582177726723</v>
      </c>
      <c r="P588">
        <v>50</v>
      </c>
      <c r="Q588">
        <v>50</v>
      </c>
      <c r="R588" s="2">
        <v>9.9999999999999978E-2</v>
      </c>
      <c r="S588" s="2">
        <v>0.33340000000000003</v>
      </c>
      <c r="T588" s="4">
        <v>0.1217</v>
      </c>
      <c r="U588" s="4">
        <f>IF(Bases_annexes!$F$5=0,16.6587111018772,0.77*Bases_annexes!$F$5/(IF(OR(ISBLANK('Données_d''entrée'!$E$44),'Données_d''entrée'!$E$44=0),35,'Données_d''entrée'!$E$44)*52))</f>
        <v>16.658711101877199</v>
      </c>
      <c r="V588" s="4">
        <v>21.5</v>
      </c>
      <c r="W58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8" s="4">
        <v>234.5</v>
      </c>
      <c r="Y588" s="4">
        <f>(Base[[#This Row],['[Maladies']Coûts_évités_par_salarié]]+Base[[#This Row],['[Travail']Coûts_évités_par_salarié]])/Base[[#This Row],[Budget_santé_salarié]]</f>
        <v>0.13607988080588845</v>
      </c>
      <c r="Z588" s="4">
        <v>0.8</v>
      </c>
      <c r="AA588" s="4">
        <f>Base[[#This Row],[Coût]]*Base[[#This Row],[Part_société_dépenses_santé]]</f>
        <v>5.8236480000000004</v>
      </c>
      <c r="AB588" s="4">
        <v>67635124</v>
      </c>
      <c r="AC588" s="4">
        <v>82.297079063317852</v>
      </c>
      <c r="AD588" s="4">
        <v>0.1217</v>
      </c>
      <c r="AE588" s="4">
        <f>Base[[#This Row],['[SC']Prévalence_travail]]*Base[[#This Row],[Population_emploi]]</f>
        <v>3371090</v>
      </c>
      <c r="AF588" s="4">
        <f>Base[[#This Row],[Risque]]*Base[[#This Row],['[SC']Patients_en_emploi]]</f>
        <v>1513679.7473528497</v>
      </c>
      <c r="AG588" s="4">
        <v>0</v>
      </c>
      <c r="AH588" s="4">
        <f>IFERROR(Base[[#This Row],['[SC']Prestations]]/Base[[#This Row],['[SC']Patients_en_emploi]],0)</f>
        <v>0</v>
      </c>
      <c r="AI588" s="4">
        <v>51.7</v>
      </c>
      <c r="AJ58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8" s="4">
        <f>Base[[#This Row],['[SC']'[Travail']Coûts_évités]]/Base[[#This Row],[Population_emploi]]</f>
        <v>52.265667666268349</v>
      </c>
      <c r="AL588" s="4">
        <f>Base[[#This Row],[Coût_société]]*10^9*Base[[#This Row],[Risque]]*Base[[#This Row],[Prévalence]]*Base[[#This Row],[Part_coûts_salarié]]/Base[[#This Row],[Population_emploi]]</f>
        <v>11.488665345973399</v>
      </c>
      <c r="AM588" s="4">
        <f>IF(Base[[#This Row],[Pathologie]]&lt;&gt;"Dépendance",0,14909.24243952)</f>
        <v>0</v>
      </c>
      <c r="AN588" s="4">
        <f>IF(Base[[#This Row],[Pathologie]]&lt;&gt;"Dépendance",0,1316000)</f>
        <v>0</v>
      </c>
      <c r="AO588" s="4">
        <f>IF(Base[[#This Row],[Pathologie]]&lt;&gt;"Dépendance",0,Base[[#This Row],['[SC']Coût_personne_dépendante]]*Base[[#This Row],['[SC']Nb_personnes_dépendantes]])</f>
        <v>0</v>
      </c>
      <c r="AP588" s="4">
        <f>IF(Base[[#This Row],[Pathologie]]&lt;&gt;"Dépendance",0,Base[[#This Row],['[SC']Coût_total_dépendance]]/Base[[#This Row],[Population_totale]])</f>
        <v>0</v>
      </c>
      <c r="AQ588" s="4">
        <f>IF(Base[[#This Row],[Pathologie]]&lt;&gt;"Dépendance",0,4.5)</f>
        <v>0</v>
      </c>
      <c r="AR588" s="4">
        <v>1.0077957276768601</v>
      </c>
      <c r="AS588" s="4">
        <f>Base[[#This Row],[Espérance_vie]]+Base[[#This Row],['[SC']Hausse_esp_de_vie]]-Base[[#This Row],['[SC']Durée_moyenne_dépendance_avt]]+Base[[#This Row],[Risque]]</f>
        <v>83.753892689464607</v>
      </c>
      <c r="AT58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8" s="4">
        <v>62.9</v>
      </c>
      <c r="AW588" s="4">
        <f t="shared" si="18"/>
        <v>336905600000</v>
      </c>
      <c r="AX588" s="4">
        <v>15049171</v>
      </c>
      <c r="AY588" s="4">
        <f>Base[[#This Row],['[SC']Budget_total_retraites]]/Base[[#This Row],['[SC']Nombre_de_retraités]]</f>
        <v>22386.987296509556</v>
      </c>
      <c r="AZ588" s="4">
        <f>Base[[#This Row],['[SC']Budget_par_retraité]]*Base[[#This Row],['[SC']Nb_personnes_dépendantes]]</f>
        <v>0</v>
      </c>
      <c r="BA588" s="4">
        <f>Base[[#This Row],['[SC']'[Dépendance']Coût_retraite_personnes_dépendantes]]/Base[[#This Row],[Population_totale]]</f>
        <v>0</v>
      </c>
      <c r="BB58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8" s="4">
        <f>Base[[#This Row],['[SC']'[Dépendance']Gains]]-Base[[#This Row],['[SC']'[Dépendance']Coûts]]</f>
        <v>0</v>
      </c>
      <c r="BD588" s="4">
        <f>IF(Base[[#This Row],[Pathologie]]&lt;&gt;"Mort prématurée",0,Base[[#This Row],[Risque]]*Base[[#This Row],[Prévalence]]*Base[[#This Row],[Population_totale]])</f>
        <v>0</v>
      </c>
      <c r="BE588" s="4">
        <v>52.74</v>
      </c>
      <c r="BF588" s="4">
        <f>Base[[#This Row],['[SC']Âge_moyen_retraite]]-Base[[#This Row],['[SC']'[Mort_prématurée']Âge_moyen_mort précoce]]</f>
        <v>10.159999999999997</v>
      </c>
      <c r="BG588" s="4">
        <f>Base[[#This Row],[Espérance_vie]]+Base[[#This Row],['[SC']Hausse_esp_de_vie]]-Base[[#This Row],['[SC']Âge_moyen_retraite]]</f>
        <v>20.404874790994718</v>
      </c>
      <c r="BH588" s="4">
        <v>106583.42676924677</v>
      </c>
      <c r="BI588" s="4">
        <v>97601.789429271477</v>
      </c>
      <c r="BJ588" s="4">
        <v>302038.31496633729</v>
      </c>
      <c r="BK588" s="4">
        <v>117293.58934859755</v>
      </c>
      <c r="BL588" s="4">
        <v>1523999.9999999995</v>
      </c>
      <c r="BM58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8" s="4">
        <v>294804.96027377353</v>
      </c>
      <c r="BO58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8" s="4">
        <f>(Base[[#This Row],['[SC']'[Mort_prématurée']Gains]]-Base[[#This Row],['[SC']'[Mort_prématurée']Coûts]])/Base[[#This Row],[Population_totale]]</f>
        <v>0</v>
      </c>
      <c r="BQ588" s="4">
        <f>IF(Base[[#This Row],[Pathologie]]&lt;&gt;"Mort prématurée",0,Base[[#This Row],[Risque]])</f>
        <v>0</v>
      </c>
      <c r="BR588" s="4">
        <v>2680</v>
      </c>
      <c r="BS58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8" s="4">
        <f>Base[[#This Row],[Prévalence_prod]]*(1-Base[[#This Row],[Risque]])*Base[[#This Row],[Durée_arrêt]]*Base[[#This Row],[Population_emploi]]</f>
        <v>39934320.431913733</v>
      </c>
      <c r="BV588" s="4">
        <f>Base[[#This Row],['[Prod']'[Absentéisme']Total_jours_absence_avant]]-Base[[#This Row],['[Prod']'[Absentéisme']Total_jours_absence_après]]</f>
        <v>32544114.568086267</v>
      </c>
      <c r="BW588" s="4">
        <f>IF(AND(Base[[#This Row],[Pathologie]]&lt;&gt;"Dépendance",Base[[#This Row],[Pathologie]]&lt;&gt;"Mort prématurée",Base[[#This Row],[Pathologie]]&lt;&gt;"Migraine"),0.0619,0)</f>
        <v>6.1899999999999997E-2</v>
      </c>
      <c r="BX588" s="4">
        <v>254</v>
      </c>
      <c r="BY588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8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8" s="4">
        <f>Base[[#This Row],[Prévalence_prod]]*Base[[#This Row],[Présentéisme]]*Base[[#This Row],['[Prod']Jours_ouvrés]]</f>
        <v>2.8438856000000001</v>
      </c>
      <c r="CB588" s="4">
        <f>Base[[#This Row],[Prévalence_prod]]*(1-Base[[#This Row],[Risque]])*Base[[#This Row],[Présentéisme]]*Base[[#This Row],['[Prod']Jours_ouvrés]]</f>
        <v>1.5669300643992279</v>
      </c>
      <c r="CC588" s="4">
        <f>Base[[#This Row],['[Prod']'[Présentéisme']Jours_avant]]-Base[[#This Row],['[Prod']'[Présentéisme']Jours_après]]</f>
        <v>1.2769555356007722</v>
      </c>
      <c r="CD588" s="4">
        <f>Base[[#This Row],['[Prod']'[Présentéisme']Jours_gagnés]]/Base[[#This Row],['[Prod']Jours_ouvrés]]</f>
        <v>5.0273839984282375E-3</v>
      </c>
      <c r="CE588">
        <v>9.3428413505841454E-2</v>
      </c>
      <c r="CF588">
        <v>2.1038737314955848E-2</v>
      </c>
      <c r="CG588" s="4">
        <v>11</v>
      </c>
      <c r="CH588" s="4">
        <v>0.60922528771817497</v>
      </c>
      <c r="CI588" s="4">
        <v>3.8601807163334179E-3</v>
      </c>
      <c r="CJ588" s="4">
        <f>IF(Base[[#This Row],[Secteur]]&lt;&gt;"Moyenne",Base[[#This Row],['[Prod']'[Turnover']DMC_initiale]]*(1+Base[[#This Row],['[Prod']'[Turnover']Ecart_accidents]]*Base[[#This Row],['[Prod']Impact_motifs_turnover]]),CJ571*CI571+CJ572*CI572+CJ573*CI573+CJ574*CI574+CJ575*CI575+CJ576*CI576+CJ577*CI577+CJ578*CI578+CJ579*CI579+CJ580*CI580+CJ581*CI581+CJ582*CI582+CJ583*CI583+CJ584*CI584+CJ585*CI585+CJ586*CI586+CJ587*CI587)</f>
        <v>11.140990638733241</v>
      </c>
      <c r="CK588" s="4">
        <f>1/Base[[#This Row],['[Prod']'[Turnover']DMC_initiale]]</f>
        <v>9.0909090909090912E-2</v>
      </c>
      <c r="CL588" s="4">
        <f>1/Base[[#This Row],['[Prod']'[Turnover']DMC_finale]]</f>
        <v>8.9758624921859057E-2</v>
      </c>
    </row>
    <row r="589" spans="2:90" x14ac:dyDescent="0.25">
      <c r="B589" s="4" t="s">
        <v>329</v>
      </c>
      <c r="C589">
        <v>30</v>
      </c>
      <c r="D589" t="s">
        <v>85</v>
      </c>
      <c r="E589" t="s">
        <v>7</v>
      </c>
      <c r="F589" s="3">
        <v>0.44901789846988649</v>
      </c>
      <c r="G589" s="3">
        <v>0.1217</v>
      </c>
      <c r="H589" s="3">
        <v>0.1217</v>
      </c>
      <c r="I589" s="3">
        <v>9.1999999999999998E-2</v>
      </c>
      <c r="J589" s="3">
        <v>7.27956</v>
      </c>
      <c r="K589" s="3">
        <v>7.0000000000000007E-2</v>
      </c>
      <c r="L589" s="2">
        <f>Base[[#This Row],[Coût]]*Base[[#This Row],[Part_ménages_dépenses_santé]]</f>
        <v>0.50956920000000006</v>
      </c>
      <c r="M589" s="2">
        <v>1</v>
      </c>
      <c r="N589" s="6">
        <v>27700000</v>
      </c>
      <c r="O589" s="7">
        <f>Base[[#This Row],[Coût_salarié]]*10^9*Base[[#This Row],[Risque]]*Base[[#This Row],[Prévalence]]*Base[[#This Row],[Part_coûts_salarié]]/Base[[#This Row],[Population_emploi]]</f>
        <v>1.0052582177726723</v>
      </c>
      <c r="P589">
        <v>50</v>
      </c>
      <c r="Q589">
        <v>50</v>
      </c>
      <c r="R589" s="2">
        <v>9.9999999999999978E-2</v>
      </c>
      <c r="S589" s="2">
        <v>0.33340000000000003</v>
      </c>
      <c r="T589" s="4">
        <v>0.1217</v>
      </c>
      <c r="U589" s="4">
        <f>IF(Bases_annexes!$F$5=0,16.6587111018772,0.77*Bases_annexes!$F$5/(IF(OR(ISBLANK('Données_d''entrée'!$E$44),'Données_d''entrée'!$E$44=0),35,'Données_d''entrée'!$E$44)*52))</f>
        <v>16.658711101877199</v>
      </c>
      <c r="V589" s="4">
        <v>21.5</v>
      </c>
      <c r="W58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89" s="4">
        <v>234.5</v>
      </c>
      <c r="Y589" s="4">
        <f>(Base[[#This Row],['[Maladies']Coûts_évités_par_salarié]]+Base[[#This Row],['[Travail']Coûts_évités_par_salarié]])/Base[[#This Row],[Budget_santé_salarié]]</f>
        <v>0.13607988080588845</v>
      </c>
      <c r="Z589" s="4">
        <v>0.8</v>
      </c>
      <c r="AA589" s="4">
        <f>Base[[#This Row],[Coût]]*Base[[#This Row],[Part_société_dépenses_santé]]</f>
        <v>5.8236480000000004</v>
      </c>
      <c r="AB589" s="4">
        <v>67635124</v>
      </c>
      <c r="AC589" s="4">
        <v>82.297079063317852</v>
      </c>
      <c r="AD589" s="4">
        <v>0.1217</v>
      </c>
      <c r="AE589" s="4">
        <f>Base[[#This Row],['[SC']Prévalence_travail]]*Base[[#This Row],[Population_emploi]]</f>
        <v>3371090</v>
      </c>
      <c r="AF589" s="4">
        <f>Base[[#This Row],[Risque]]*Base[[#This Row],['[SC']Patients_en_emploi]]</f>
        <v>1513679.7473528497</v>
      </c>
      <c r="AG589" s="4">
        <v>0</v>
      </c>
      <c r="AH589" s="4">
        <f>IFERROR(Base[[#This Row],['[SC']Prestations]]/Base[[#This Row],['[SC']Patients_en_emploi]],0)</f>
        <v>0</v>
      </c>
      <c r="AI589" s="4">
        <v>51.7</v>
      </c>
      <c r="AJ58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89" s="4">
        <f>Base[[#This Row],['[SC']'[Travail']Coûts_évités]]/Base[[#This Row],[Population_emploi]]</f>
        <v>52.265667666268349</v>
      </c>
      <c r="AL589" s="4">
        <f>Base[[#This Row],[Coût_société]]*10^9*Base[[#This Row],[Risque]]*Base[[#This Row],[Prévalence]]*Base[[#This Row],[Part_coûts_salarié]]/Base[[#This Row],[Population_emploi]]</f>
        <v>11.488665345973399</v>
      </c>
      <c r="AM589" s="4">
        <f>IF(Base[[#This Row],[Pathologie]]&lt;&gt;"Dépendance",0,14909.24243952)</f>
        <v>0</v>
      </c>
      <c r="AN589" s="4">
        <f>IF(Base[[#This Row],[Pathologie]]&lt;&gt;"Dépendance",0,1316000)</f>
        <v>0</v>
      </c>
      <c r="AO589" s="4">
        <f>IF(Base[[#This Row],[Pathologie]]&lt;&gt;"Dépendance",0,Base[[#This Row],['[SC']Coût_personne_dépendante]]*Base[[#This Row],['[SC']Nb_personnes_dépendantes]])</f>
        <v>0</v>
      </c>
      <c r="AP589" s="4">
        <f>IF(Base[[#This Row],[Pathologie]]&lt;&gt;"Dépendance",0,Base[[#This Row],['[SC']Coût_total_dépendance]]/Base[[#This Row],[Population_totale]])</f>
        <v>0</v>
      </c>
      <c r="AQ589" s="4">
        <f>IF(Base[[#This Row],[Pathologie]]&lt;&gt;"Dépendance",0,4.5)</f>
        <v>0</v>
      </c>
      <c r="AR589" s="4">
        <v>1.0077957276768601</v>
      </c>
      <c r="AS589" s="4">
        <f>Base[[#This Row],[Espérance_vie]]+Base[[#This Row],['[SC']Hausse_esp_de_vie]]-Base[[#This Row],['[SC']Durée_moyenne_dépendance_avt]]+Base[[#This Row],[Risque]]</f>
        <v>83.753892689464607</v>
      </c>
      <c r="AT58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8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89" s="4">
        <v>62.9</v>
      </c>
      <c r="AW589" s="4">
        <f t="shared" si="18"/>
        <v>336905600000</v>
      </c>
      <c r="AX589" s="4">
        <v>15049171</v>
      </c>
      <c r="AY589" s="4">
        <f>Base[[#This Row],['[SC']Budget_total_retraites]]/Base[[#This Row],['[SC']Nombre_de_retraités]]</f>
        <v>22386.987296509556</v>
      </c>
      <c r="AZ589" s="4">
        <f>Base[[#This Row],['[SC']Budget_par_retraité]]*Base[[#This Row],['[SC']Nb_personnes_dépendantes]]</f>
        <v>0</v>
      </c>
      <c r="BA589" s="4">
        <f>Base[[#This Row],['[SC']'[Dépendance']Coût_retraite_personnes_dépendantes]]/Base[[#This Row],[Population_totale]]</f>
        <v>0</v>
      </c>
      <c r="BB58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89" s="4">
        <f>Base[[#This Row],['[SC']'[Dépendance']Gains]]-Base[[#This Row],['[SC']'[Dépendance']Coûts]]</f>
        <v>0</v>
      </c>
      <c r="BD589" s="4">
        <f>IF(Base[[#This Row],[Pathologie]]&lt;&gt;"Mort prématurée",0,Base[[#This Row],[Risque]]*Base[[#This Row],[Prévalence]]*Base[[#This Row],[Population_totale]])</f>
        <v>0</v>
      </c>
      <c r="BE589" s="4">
        <v>52.74</v>
      </c>
      <c r="BF589" s="4">
        <f>Base[[#This Row],['[SC']Âge_moyen_retraite]]-Base[[#This Row],['[SC']'[Mort_prématurée']Âge_moyen_mort précoce]]</f>
        <v>10.159999999999997</v>
      </c>
      <c r="BG589" s="4">
        <f>Base[[#This Row],[Espérance_vie]]+Base[[#This Row],['[SC']Hausse_esp_de_vie]]-Base[[#This Row],['[SC']Âge_moyen_retraite]]</f>
        <v>20.404874790994718</v>
      </c>
      <c r="BH589" s="4">
        <v>106583.42676924677</v>
      </c>
      <c r="BI589" s="4">
        <v>97601.789429271477</v>
      </c>
      <c r="BJ589" s="4">
        <v>302038.31496633729</v>
      </c>
      <c r="BK589" s="4">
        <v>117293.58934859755</v>
      </c>
      <c r="BL589" s="4">
        <v>1523999.9999999995</v>
      </c>
      <c r="BM58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89" s="4">
        <v>294804.96027377353</v>
      </c>
      <c r="BO58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89" s="4">
        <f>(Base[[#This Row],['[SC']'[Mort_prématurée']Gains]]-Base[[#This Row],['[SC']'[Mort_prématurée']Coûts]])/Base[[#This Row],[Population_totale]]</f>
        <v>0</v>
      </c>
      <c r="BQ589" s="4">
        <f>IF(Base[[#This Row],[Pathologie]]&lt;&gt;"Mort prématurée",0,Base[[#This Row],[Risque]])</f>
        <v>0</v>
      </c>
      <c r="BR589" s="4">
        <v>2680</v>
      </c>
      <c r="BS58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8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89" s="4">
        <f>Base[[#This Row],[Prévalence_prod]]*(1-Base[[#This Row],[Risque]])*Base[[#This Row],[Durée_arrêt]]*Base[[#This Row],[Population_emploi]]</f>
        <v>39934320.431913733</v>
      </c>
      <c r="BV589" s="4">
        <f>Base[[#This Row],['[Prod']'[Absentéisme']Total_jours_absence_avant]]-Base[[#This Row],['[Prod']'[Absentéisme']Total_jours_absence_après]]</f>
        <v>32544114.568086267</v>
      </c>
      <c r="BW589" s="4">
        <f>IF(AND(Base[[#This Row],[Pathologie]]&lt;&gt;"Dépendance",Base[[#This Row],[Pathologie]]&lt;&gt;"Mort prématurée",Base[[#This Row],[Pathologie]]&lt;&gt;"Migraine"),0.0619,0)</f>
        <v>6.1899999999999997E-2</v>
      </c>
      <c r="BX589" s="4">
        <v>254</v>
      </c>
      <c r="BY589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89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89" s="4">
        <f>Base[[#This Row],[Prévalence_prod]]*Base[[#This Row],[Présentéisme]]*Base[[#This Row],['[Prod']Jours_ouvrés]]</f>
        <v>2.8438856000000001</v>
      </c>
      <c r="CB589" s="4">
        <f>Base[[#This Row],[Prévalence_prod]]*(1-Base[[#This Row],[Risque]])*Base[[#This Row],[Présentéisme]]*Base[[#This Row],['[Prod']Jours_ouvrés]]</f>
        <v>1.5669300643992279</v>
      </c>
      <c r="CC589" s="4">
        <f>Base[[#This Row],['[Prod']'[Présentéisme']Jours_avant]]-Base[[#This Row],['[Prod']'[Présentéisme']Jours_après]]</f>
        <v>1.2769555356007722</v>
      </c>
      <c r="CD589" s="4">
        <f>Base[[#This Row],['[Prod']'[Présentéisme']Jours_gagnés]]/Base[[#This Row],['[Prod']Jours_ouvrés]]</f>
        <v>5.0273839984282375E-3</v>
      </c>
      <c r="CE589">
        <v>9.3428413505841454E-2</v>
      </c>
      <c r="CF589">
        <v>2.1038737314955848E-2</v>
      </c>
      <c r="CG589" s="4">
        <v>11</v>
      </c>
      <c r="CH589" s="4">
        <v>0.78414927716175975</v>
      </c>
      <c r="CI589" s="4">
        <v>0.12835819090128339</v>
      </c>
      <c r="CJ589" s="4">
        <f>IF(Base[[#This Row],[Secteur]]&lt;&gt;"Moyenne",Base[[#This Row],['[Prod']'[Turnover']DMC_initiale]]*(1+Base[[#This Row],['[Prod']'[Turnover']Ecart_accidents]]*Base[[#This Row],['[Prod']Impact_motifs_turnover]]),CJ572*CI572+CJ573*CI573+CJ574*CI574+CJ575*CI575+CJ576*CI576+CJ577*CI577+CJ578*CI578+CJ579*CI579+CJ580*CI580+CJ581*CI581+CJ582*CI582+CJ583*CI583+CJ584*CI584+CJ585*CI585+CJ586*CI586+CJ587*CI587+CJ588*CI588)</f>
        <v>11.181472617237107</v>
      </c>
      <c r="CK589" s="4">
        <f>1/Base[[#This Row],['[Prod']'[Turnover']DMC_initiale]]</f>
        <v>9.0909090909090912E-2</v>
      </c>
      <c r="CL589" s="4">
        <f>1/Base[[#This Row],['[Prod']'[Turnover']DMC_finale]]</f>
        <v>8.9433658180088235E-2</v>
      </c>
    </row>
    <row r="590" spans="2:90" x14ac:dyDescent="0.25">
      <c r="B590" s="4" t="s">
        <v>330</v>
      </c>
      <c r="C590">
        <v>30</v>
      </c>
      <c r="D590" t="s">
        <v>85</v>
      </c>
      <c r="E590" t="s">
        <v>7</v>
      </c>
      <c r="F590" s="3">
        <v>0.44901789846988649</v>
      </c>
      <c r="G590" s="3">
        <v>0.1217</v>
      </c>
      <c r="H590" s="3">
        <v>0.1217</v>
      </c>
      <c r="I590" s="3">
        <v>9.1999999999999998E-2</v>
      </c>
      <c r="J590" s="3">
        <v>7.27956</v>
      </c>
      <c r="K590" s="3">
        <v>7.0000000000000007E-2</v>
      </c>
      <c r="L590" s="2">
        <f>Base[[#This Row],[Coût]]*Base[[#This Row],[Part_ménages_dépenses_santé]]</f>
        <v>0.50956920000000006</v>
      </c>
      <c r="M590" s="2">
        <v>1</v>
      </c>
      <c r="N590" s="6">
        <v>27700000</v>
      </c>
      <c r="O590" s="7">
        <f>Base[[#This Row],[Coût_salarié]]*10^9*Base[[#This Row],[Risque]]*Base[[#This Row],[Prévalence]]*Base[[#This Row],[Part_coûts_salarié]]/Base[[#This Row],[Population_emploi]]</f>
        <v>1.0052582177726723</v>
      </c>
      <c r="P590">
        <v>50</v>
      </c>
      <c r="Q590">
        <v>50</v>
      </c>
      <c r="R590" s="2">
        <v>9.9999999999999978E-2</v>
      </c>
      <c r="S590" s="2">
        <v>0.33340000000000003</v>
      </c>
      <c r="T590" s="4">
        <v>0.1217</v>
      </c>
      <c r="U590" s="4">
        <f>IF(Bases_annexes!$F$5=0,16.6587111018772,0.77*Bases_annexes!$F$5/(IF(OR(ISBLANK('Données_d''entrée'!$E$44),'Données_d''entrée'!$E$44=0),35,'Données_d''entrée'!$E$44)*52))</f>
        <v>16.658711101877199</v>
      </c>
      <c r="V590" s="4">
        <v>21.5</v>
      </c>
      <c r="W59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90" s="4">
        <v>234.5</v>
      </c>
      <c r="Y590" s="4">
        <f>(Base[[#This Row],['[Maladies']Coûts_évités_par_salarié]]+Base[[#This Row],['[Travail']Coûts_évités_par_salarié]])/Base[[#This Row],[Budget_santé_salarié]]</f>
        <v>0.13607988080588845</v>
      </c>
      <c r="Z590" s="4">
        <v>0.8</v>
      </c>
      <c r="AA590" s="4">
        <f>Base[[#This Row],[Coût]]*Base[[#This Row],[Part_société_dépenses_santé]]</f>
        <v>5.8236480000000004</v>
      </c>
      <c r="AB590" s="4">
        <v>67635124</v>
      </c>
      <c r="AC590" s="4">
        <v>82.297079063317852</v>
      </c>
      <c r="AD590" s="4">
        <v>0.1217</v>
      </c>
      <c r="AE590" s="4">
        <f>Base[[#This Row],['[SC']Prévalence_travail]]*Base[[#This Row],[Population_emploi]]</f>
        <v>3371090</v>
      </c>
      <c r="AF590" s="4">
        <f>Base[[#This Row],[Risque]]*Base[[#This Row],['[SC']Patients_en_emploi]]</f>
        <v>1513679.7473528497</v>
      </c>
      <c r="AG590" s="4">
        <v>0</v>
      </c>
      <c r="AH590" s="4">
        <f>IFERROR(Base[[#This Row],['[SC']Prestations]]/Base[[#This Row],['[SC']Patients_en_emploi]],0)</f>
        <v>0</v>
      </c>
      <c r="AI590" s="4">
        <v>51.7</v>
      </c>
      <c r="AJ59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90" s="4">
        <f>Base[[#This Row],['[SC']'[Travail']Coûts_évités]]/Base[[#This Row],[Population_emploi]]</f>
        <v>52.265667666268349</v>
      </c>
      <c r="AL590" s="4">
        <f>Base[[#This Row],[Coût_société]]*10^9*Base[[#This Row],[Risque]]*Base[[#This Row],[Prévalence]]*Base[[#This Row],[Part_coûts_salarié]]/Base[[#This Row],[Population_emploi]]</f>
        <v>11.488665345973399</v>
      </c>
      <c r="AM590" s="4">
        <f>IF(Base[[#This Row],[Pathologie]]&lt;&gt;"Dépendance",0,14909.24243952)</f>
        <v>0</v>
      </c>
      <c r="AN590" s="4">
        <f>IF(Base[[#This Row],[Pathologie]]&lt;&gt;"Dépendance",0,1316000)</f>
        <v>0</v>
      </c>
      <c r="AO590" s="4">
        <f>IF(Base[[#This Row],[Pathologie]]&lt;&gt;"Dépendance",0,Base[[#This Row],['[SC']Coût_personne_dépendante]]*Base[[#This Row],['[SC']Nb_personnes_dépendantes]])</f>
        <v>0</v>
      </c>
      <c r="AP590" s="4">
        <f>IF(Base[[#This Row],[Pathologie]]&lt;&gt;"Dépendance",0,Base[[#This Row],['[SC']Coût_total_dépendance]]/Base[[#This Row],[Population_totale]])</f>
        <v>0</v>
      </c>
      <c r="AQ590" s="4">
        <f>IF(Base[[#This Row],[Pathologie]]&lt;&gt;"Dépendance",0,4.5)</f>
        <v>0</v>
      </c>
      <c r="AR590" s="4">
        <v>1.0077957276768601</v>
      </c>
      <c r="AS590" s="4">
        <f>Base[[#This Row],[Espérance_vie]]+Base[[#This Row],['[SC']Hausse_esp_de_vie]]-Base[[#This Row],['[SC']Durée_moyenne_dépendance_avt]]+Base[[#This Row],[Risque]]</f>
        <v>83.753892689464607</v>
      </c>
      <c r="AT59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0" s="4">
        <v>62.9</v>
      </c>
      <c r="AW590" s="4">
        <f t="shared" si="18"/>
        <v>336905600000</v>
      </c>
      <c r="AX590" s="4">
        <v>15049171</v>
      </c>
      <c r="AY590" s="4">
        <f>Base[[#This Row],['[SC']Budget_total_retraites]]/Base[[#This Row],['[SC']Nombre_de_retraités]]</f>
        <v>22386.987296509556</v>
      </c>
      <c r="AZ590" s="4">
        <f>Base[[#This Row],['[SC']Budget_par_retraité]]*Base[[#This Row],['[SC']Nb_personnes_dépendantes]]</f>
        <v>0</v>
      </c>
      <c r="BA590" s="4">
        <f>Base[[#This Row],['[SC']'[Dépendance']Coût_retraite_personnes_dépendantes]]/Base[[#This Row],[Population_totale]]</f>
        <v>0</v>
      </c>
      <c r="BB59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0" s="4">
        <f>Base[[#This Row],['[SC']'[Dépendance']Gains]]-Base[[#This Row],['[SC']'[Dépendance']Coûts]]</f>
        <v>0</v>
      </c>
      <c r="BD590" s="4">
        <f>IF(Base[[#This Row],[Pathologie]]&lt;&gt;"Mort prématurée",0,Base[[#This Row],[Risque]]*Base[[#This Row],[Prévalence]]*Base[[#This Row],[Population_totale]])</f>
        <v>0</v>
      </c>
      <c r="BE590" s="4">
        <v>52.74</v>
      </c>
      <c r="BF590" s="4">
        <f>Base[[#This Row],['[SC']Âge_moyen_retraite]]-Base[[#This Row],['[SC']'[Mort_prématurée']Âge_moyen_mort précoce]]</f>
        <v>10.159999999999997</v>
      </c>
      <c r="BG590" s="4">
        <f>Base[[#This Row],[Espérance_vie]]+Base[[#This Row],['[SC']Hausse_esp_de_vie]]-Base[[#This Row],['[SC']Âge_moyen_retraite]]</f>
        <v>20.404874790994718</v>
      </c>
      <c r="BH590" s="4">
        <v>106583.42676924677</v>
      </c>
      <c r="BI590" s="4">
        <v>97601.789429271477</v>
      </c>
      <c r="BJ590" s="4">
        <v>302038.31496633729</v>
      </c>
      <c r="BK590" s="4">
        <v>117293.58934859755</v>
      </c>
      <c r="BL590" s="4">
        <v>1523999.9999999995</v>
      </c>
      <c r="BM59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0" s="4">
        <v>294804.96027377353</v>
      </c>
      <c r="BO59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0" s="4">
        <f>(Base[[#This Row],['[SC']'[Mort_prématurée']Gains]]-Base[[#This Row],['[SC']'[Mort_prématurée']Coûts]])/Base[[#This Row],[Population_totale]]</f>
        <v>0</v>
      </c>
      <c r="BQ590" s="4">
        <f>IF(Base[[#This Row],[Pathologie]]&lt;&gt;"Mort prématurée",0,Base[[#This Row],[Risque]])</f>
        <v>0</v>
      </c>
      <c r="BR590" s="4">
        <v>2680</v>
      </c>
      <c r="BS59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9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90" s="4">
        <f>Base[[#This Row],[Prévalence_prod]]*(1-Base[[#This Row],[Risque]])*Base[[#This Row],[Durée_arrêt]]*Base[[#This Row],[Population_emploi]]</f>
        <v>39934320.431913733</v>
      </c>
      <c r="BV590" s="4">
        <f>Base[[#This Row],['[Prod']'[Absentéisme']Total_jours_absence_avant]]-Base[[#This Row],['[Prod']'[Absentéisme']Total_jours_absence_après]]</f>
        <v>32544114.568086267</v>
      </c>
      <c r="BW590" s="4">
        <f>IF(AND(Base[[#This Row],[Pathologie]]&lt;&gt;"Dépendance",Base[[#This Row],[Pathologie]]&lt;&gt;"Mort prématurée",Base[[#This Row],[Pathologie]]&lt;&gt;"Migraine"),0.0619,0)</f>
        <v>6.1899999999999997E-2</v>
      </c>
      <c r="BX590" s="4">
        <v>254</v>
      </c>
      <c r="BY590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90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90" s="4">
        <f>Base[[#This Row],[Prévalence_prod]]*Base[[#This Row],[Présentéisme]]*Base[[#This Row],['[Prod']Jours_ouvrés]]</f>
        <v>2.8438856000000001</v>
      </c>
      <c r="CB590" s="4">
        <f>Base[[#This Row],[Prévalence_prod]]*(1-Base[[#This Row],[Risque]])*Base[[#This Row],[Présentéisme]]*Base[[#This Row],['[Prod']Jours_ouvrés]]</f>
        <v>1.5669300643992279</v>
      </c>
      <c r="CC590" s="4">
        <f>Base[[#This Row],['[Prod']'[Présentéisme']Jours_avant]]-Base[[#This Row],['[Prod']'[Présentéisme']Jours_après]]</f>
        <v>1.2769555356007722</v>
      </c>
      <c r="CD590" s="4">
        <f>Base[[#This Row],['[Prod']'[Présentéisme']Jours_gagnés]]/Base[[#This Row],['[Prod']Jours_ouvrés]]</f>
        <v>5.0273839984282375E-3</v>
      </c>
      <c r="CE590">
        <v>9.3428413505841454E-2</v>
      </c>
      <c r="CF590">
        <v>2.1038737314955848E-2</v>
      </c>
      <c r="CG590" s="4">
        <v>11</v>
      </c>
      <c r="CH590" s="4">
        <v>0.99648427619813984</v>
      </c>
      <c r="CI590" s="4">
        <v>0.42377466100567313</v>
      </c>
      <c r="CJ590" s="4">
        <f>IF(Base[[#This Row],[Secteur]]&lt;&gt;"Moyenne",Base[[#This Row],['[Prod']'[Turnover']DMC_initiale]]*(1+Base[[#This Row],['[Prod']'[Turnover']Ecart_accidents]]*Base[[#This Row],['[Prod']Impact_motifs_turnover]]),CJ573*CI573+CJ574*CI574+CJ575*CI575+CJ576*CI576+CJ577*CI577+CJ578*CI578+CJ579*CI579+CJ580*CI580+CJ581*CI581+CJ582*CI582+CJ583*CI583+CJ584*CI584+CJ585*CI585+CJ586*CI586+CJ587*CI587+CJ588*CI588+CJ589*CI589)</f>
        <v>11.230612480179582</v>
      </c>
      <c r="CK590" s="4">
        <f>1/Base[[#This Row],['[Prod']'[Turnover']DMC_initiale]]</f>
        <v>9.0909090909090912E-2</v>
      </c>
      <c r="CL590" s="4">
        <f>1/Base[[#This Row],['[Prod']'[Turnover']DMC_finale]]</f>
        <v>8.9042338676083466E-2</v>
      </c>
    </row>
    <row r="591" spans="2:90" x14ac:dyDescent="0.25">
      <c r="B591" s="4" t="s">
        <v>331</v>
      </c>
      <c r="C591">
        <v>30</v>
      </c>
      <c r="D591" t="s">
        <v>85</v>
      </c>
      <c r="E591" t="s">
        <v>7</v>
      </c>
      <c r="F591" s="3">
        <v>0.44901789846988649</v>
      </c>
      <c r="G591" s="3">
        <v>0.1217</v>
      </c>
      <c r="H591" s="3">
        <v>0.1217</v>
      </c>
      <c r="I591" s="3">
        <v>9.1999999999999998E-2</v>
      </c>
      <c r="J591" s="3">
        <v>7.27956</v>
      </c>
      <c r="K591" s="3">
        <v>7.0000000000000007E-2</v>
      </c>
      <c r="L591" s="2">
        <f>Base[[#This Row],[Coût]]*Base[[#This Row],[Part_ménages_dépenses_santé]]</f>
        <v>0.50956920000000006</v>
      </c>
      <c r="M591" s="2">
        <v>1</v>
      </c>
      <c r="N591" s="6">
        <v>27700000</v>
      </c>
      <c r="O591" s="7">
        <f>Base[[#This Row],[Coût_salarié]]*10^9*Base[[#This Row],[Risque]]*Base[[#This Row],[Prévalence]]*Base[[#This Row],[Part_coûts_salarié]]/Base[[#This Row],[Population_emploi]]</f>
        <v>1.0052582177726723</v>
      </c>
      <c r="P591">
        <v>50</v>
      </c>
      <c r="Q591">
        <v>50</v>
      </c>
      <c r="R591" s="2">
        <v>9.9999999999999978E-2</v>
      </c>
      <c r="S591" s="2">
        <v>0.33340000000000003</v>
      </c>
      <c r="T591" s="4">
        <v>0.1217</v>
      </c>
      <c r="U591" s="4">
        <f>IF(Bases_annexes!$F$5=0,16.6587111018772,0.77*Bases_annexes!$F$5/(IF(OR(ISBLANK('Données_d''entrée'!$E$44),'Données_d''entrée'!$E$44=0),35,'Données_d''entrée'!$E$44)*52))</f>
        <v>16.658711101877199</v>
      </c>
      <c r="V591" s="4">
        <v>21.5</v>
      </c>
      <c r="W59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91" s="4">
        <v>234.5</v>
      </c>
      <c r="Y591" s="4">
        <f>(Base[[#This Row],['[Maladies']Coûts_évités_par_salarié]]+Base[[#This Row],['[Travail']Coûts_évités_par_salarié]])/Base[[#This Row],[Budget_santé_salarié]]</f>
        <v>0.13607988080588845</v>
      </c>
      <c r="Z591" s="4">
        <v>0.8</v>
      </c>
      <c r="AA591" s="4">
        <f>Base[[#This Row],[Coût]]*Base[[#This Row],[Part_société_dépenses_santé]]</f>
        <v>5.8236480000000004</v>
      </c>
      <c r="AB591" s="4">
        <v>67635124</v>
      </c>
      <c r="AC591" s="4">
        <v>82.297079063317852</v>
      </c>
      <c r="AD591" s="4">
        <v>0.1217</v>
      </c>
      <c r="AE591" s="4">
        <f>Base[[#This Row],['[SC']Prévalence_travail]]*Base[[#This Row],[Population_emploi]]</f>
        <v>3371090</v>
      </c>
      <c r="AF591" s="4">
        <f>Base[[#This Row],[Risque]]*Base[[#This Row],['[SC']Patients_en_emploi]]</f>
        <v>1513679.7473528497</v>
      </c>
      <c r="AG591" s="4">
        <v>0</v>
      </c>
      <c r="AH591" s="4">
        <f>IFERROR(Base[[#This Row],['[SC']Prestations]]/Base[[#This Row],['[SC']Patients_en_emploi]],0)</f>
        <v>0</v>
      </c>
      <c r="AI591" s="4">
        <v>51.7</v>
      </c>
      <c r="AJ59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91" s="4">
        <f>Base[[#This Row],['[SC']'[Travail']Coûts_évités]]/Base[[#This Row],[Population_emploi]]</f>
        <v>52.265667666268349</v>
      </c>
      <c r="AL591" s="4">
        <f>Base[[#This Row],[Coût_société]]*10^9*Base[[#This Row],[Risque]]*Base[[#This Row],[Prévalence]]*Base[[#This Row],[Part_coûts_salarié]]/Base[[#This Row],[Population_emploi]]</f>
        <v>11.488665345973399</v>
      </c>
      <c r="AM591" s="4">
        <f>IF(Base[[#This Row],[Pathologie]]&lt;&gt;"Dépendance",0,14909.24243952)</f>
        <v>0</v>
      </c>
      <c r="AN591" s="4">
        <f>IF(Base[[#This Row],[Pathologie]]&lt;&gt;"Dépendance",0,1316000)</f>
        <v>0</v>
      </c>
      <c r="AO591" s="4">
        <f>IF(Base[[#This Row],[Pathologie]]&lt;&gt;"Dépendance",0,Base[[#This Row],['[SC']Coût_personne_dépendante]]*Base[[#This Row],['[SC']Nb_personnes_dépendantes]])</f>
        <v>0</v>
      </c>
      <c r="AP591" s="4">
        <f>IF(Base[[#This Row],[Pathologie]]&lt;&gt;"Dépendance",0,Base[[#This Row],['[SC']Coût_total_dépendance]]/Base[[#This Row],[Population_totale]])</f>
        <v>0</v>
      </c>
      <c r="AQ591" s="4">
        <f>IF(Base[[#This Row],[Pathologie]]&lt;&gt;"Dépendance",0,4.5)</f>
        <v>0</v>
      </c>
      <c r="AR591" s="4">
        <v>1.0077957276768601</v>
      </c>
      <c r="AS591" s="4">
        <f>Base[[#This Row],[Espérance_vie]]+Base[[#This Row],['[SC']Hausse_esp_de_vie]]-Base[[#This Row],['[SC']Durée_moyenne_dépendance_avt]]+Base[[#This Row],[Risque]]</f>
        <v>83.753892689464607</v>
      </c>
      <c r="AT59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1" s="4">
        <v>62.9</v>
      </c>
      <c r="AW591" s="4">
        <f t="shared" si="18"/>
        <v>336905600000</v>
      </c>
      <c r="AX591" s="4">
        <v>15049171</v>
      </c>
      <c r="AY591" s="4">
        <f>Base[[#This Row],['[SC']Budget_total_retraites]]/Base[[#This Row],['[SC']Nombre_de_retraités]]</f>
        <v>22386.987296509556</v>
      </c>
      <c r="AZ591" s="4">
        <f>Base[[#This Row],['[SC']Budget_par_retraité]]*Base[[#This Row],['[SC']Nb_personnes_dépendantes]]</f>
        <v>0</v>
      </c>
      <c r="BA591" s="4">
        <f>Base[[#This Row],['[SC']'[Dépendance']Coût_retraite_personnes_dépendantes]]/Base[[#This Row],[Population_totale]]</f>
        <v>0</v>
      </c>
      <c r="BB59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1" s="4">
        <f>Base[[#This Row],['[SC']'[Dépendance']Gains]]-Base[[#This Row],['[SC']'[Dépendance']Coûts]]</f>
        <v>0</v>
      </c>
      <c r="BD591" s="4">
        <f>IF(Base[[#This Row],[Pathologie]]&lt;&gt;"Mort prématurée",0,Base[[#This Row],[Risque]]*Base[[#This Row],[Prévalence]]*Base[[#This Row],[Population_totale]])</f>
        <v>0</v>
      </c>
      <c r="BE591" s="4">
        <v>52.74</v>
      </c>
      <c r="BF591" s="4">
        <f>Base[[#This Row],['[SC']Âge_moyen_retraite]]-Base[[#This Row],['[SC']'[Mort_prématurée']Âge_moyen_mort précoce]]</f>
        <v>10.159999999999997</v>
      </c>
      <c r="BG591" s="4">
        <f>Base[[#This Row],[Espérance_vie]]+Base[[#This Row],['[SC']Hausse_esp_de_vie]]-Base[[#This Row],['[SC']Âge_moyen_retraite]]</f>
        <v>20.404874790994718</v>
      </c>
      <c r="BH591" s="4">
        <v>106583.42676924677</v>
      </c>
      <c r="BI591" s="4">
        <v>97601.789429271477</v>
      </c>
      <c r="BJ591" s="4">
        <v>302038.31496633729</v>
      </c>
      <c r="BK591" s="4">
        <v>117293.58934859755</v>
      </c>
      <c r="BL591" s="4">
        <v>1523999.9999999995</v>
      </c>
      <c r="BM59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1" s="4">
        <v>294804.96027377353</v>
      </c>
      <c r="BO59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1" s="4">
        <f>(Base[[#This Row],['[SC']'[Mort_prématurée']Gains]]-Base[[#This Row],['[SC']'[Mort_prématurée']Coûts]])/Base[[#This Row],[Population_totale]]</f>
        <v>0</v>
      </c>
      <c r="BQ591" s="4">
        <f>IF(Base[[#This Row],[Pathologie]]&lt;&gt;"Mort prématurée",0,Base[[#This Row],[Risque]])</f>
        <v>0</v>
      </c>
      <c r="BR591" s="4">
        <v>2680</v>
      </c>
      <c r="BS59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9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91" s="4">
        <f>Base[[#This Row],[Prévalence_prod]]*(1-Base[[#This Row],[Risque]])*Base[[#This Row],[Durée_arrêt]]*Base[[#This Row],[Population_emploi]]</f>
        <v>39934320.431913733</v>
      </c>
      <c r="BV591" s="4">
        <f>Base[[#This Row],['[Prod']'[Absentéisme']Total_jours_absence_avant]]-Base[[#This Row],['[Prod']'[Absentéisme']Total_jours_absence_après]]</f>
        <v>32544114.568086267</v>
      </c>
      <c r="BW591" s="4">
        <f>IF(AND(Base[[#This Row],[Pathologie]]&lt;&gt;"Dépendance",Base[[#This Row],[Pathologie]]&lt;&gt;"Mort prématurée",Base[[#This Row],[Pathologie]]&lt;&gt;"Migraine"),0.0619,0)</f>
        <v>6.1899999999999997E-2</v>
      </c>
      <c r="BX591" s="4">
        <v>254</v>
      </c>
      <c r="BY591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91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91" s="4">
        <f>Base[[#This Row],[Prévalence_prod]]*Base[[#This Row],[Présentéisme]]*Base[[#This Row],['[Prod']Jours_ouvrés]]</f>
        <v>2.8438856000000001</v>
      </c>
      <c r="CB591" s="4">
        <f>Base[[#This Row],[Prévalence_prod]]*(1-Base[[#This Row],[Risque]])*Base[[#This Row],[Présentéisme]]*Base[[#This Row],['[Prod']Jours_ouvrés]]</f>
        <v>1.5669300643992279</v>
      </c>
      <c r="CC591" s="4">
        <f>Base[[#This Row],['[Prod']'[Présentéisme']Jours_avant]]-Base[[#This Row],['[Prod']'[Présentéisme']Jours_après]]</f>
        <v>1.2769555356007722</v>
      </c>
      <c r="CD591" s="4">
        <f>Base[[#This Row],['[Prod']'[Présentéisme']Jours_gagnés]]/Base[[#This Row],['[Prod']Jours_ouvrés]]</f>
        <v>5.0273839984282375E-3</v>
      </c>
      <c r="CE591">
        <v>9.3428413505841454E-2</v>
      </c>
      <c r="CF591">
        <v>2.1038737314955848E-2</v>
      </c>
      <c r="CG591" s="4">
        <v>11</v>
      </c>
      <c r="CH591" s="4">
        <v>1.1593596509901765</v>
      </c>
      <c r="CI591" s="4">
        <v>4.0741311947357597E-2</v>
      </c>
      <c r="CJ591" s="4">
        <f>IF(Base[[#This Row],[Secteur]]&lt;&gt;"Moyenne",Base[[#This Row],['[Prod']'[Turnover']DMC_initiale]]*(1+Base[[#This Row],['[Prod']'[Turnover']Ecart_accidents]]*Base[[#This Row],['[Prod']Impact_motifs_turnover]]),CJ574*CI574+CJ575*CI575+CJ576*CI576+CJ577*CI577+CJ578*CI578+CJ579*CI579+CJ580*CI580+CJ581*CI581+CJ582*CI582+CJ583*CI583+CJ584*CI584+CJ585*CI585+CJ586*CI586+CJ587*CI587+CJ588*CI588+CJ589*CI589+CJ590*CI590)</f>
        <v>11.268306094658152</v>
      </c>
      <c r="CK591" s="4">
        <f>1/Base[[#This Row],['[Prod']'[Turnover']DMC_initiale]]</f>
        <v>9.0909090909090912E-2</v>
      </c>
      <c r="CL591" s="4">
        <f>1/Base[[#This Row],['[Prod']'[Turnover']DMC_finale]]</f>
        <v>8.8744483119256007E-2</v>
      </c>
    </row>
    <row r="592" spans="2:90" x14ac:dyDescent="0.25">
      <c r="B592" s="4" t="s">
        <v>332</v>
      </c>
      <c r="C592">
        <v>30</v>
      </c>
      <c r="D592" t="s">
        <v>85</v>
      </c>
      <c r="E592" t="s">
        <v>7</v>
      </c>
      <c r="F592" s="3">
        <v>0.44901789846988649</v>
      </c>
      <c r="G592" s="3">
        <v>0.1217</v>
      </c>
      <c r="H592" s="3">
        <v>0.1217</v>
      </c>
      <c r="I592" s="3">
        <v>9.1999999999999998E-2</v>
      </c>
      <c r="J592" s="3">
        <v>7.27956</v>
      </c>
      <c r="K592" s="3">
        <v>7.0000000000000007E-2</v>
      </c>
      <c r="L592" s="2">
        <f>Base[[#This Row],[Coût]]*Base[[#This Row],[Part_ménages_dépenses_santé]]</f>
        <v>0.50956920000000006</v>
      </c>
      <c r="M592" s="2">
        <v>1</v>
      </c>
      <c r="N592" s="6">
        <v>27700000</v>
      </c>
      <c r="O592" s="7">
        <f>Base[[#This Row],[Coût_salarié]]*10^9*Base[[#This Row],[Risque]]*Base[[#This Row],[Prévalence]]*Base[[#This Row],[Part_coûts_salarié]]/Base[[#This Row],[Population_emploi]]</f>
        <v>1.0052582177726723</v>
      </c>
      <c r="P592">
        <v>50</v>
      </c>
      <c r="Q592">
        <v>50</v>
      </c>
      <c r="R592" s="2">
        <v>9.9999999999999978E-2</v>
      </c>
      <c r="S592" s="2">
        <v>0.33340000000000003</v>
      </c>
      <c r="T592" s="4">
        <v>0.1217</v>
      </c>
      <c r="U592" s="4">
        <f>IF(Bases_annexes!$F$5=0,16.6587111018772,0.77*Bases_annexes!$F$5/(IF(OR(ISBLANK('Données_d''entrée'!$E$44),'Données_d''entrée'!$E$44=0),35,'Données_d''entrée'!$E$44)*52))</f>
        <v>16.658711101877199</v>
      </c>
      <c r="V592" s="4">
        <v>21.5</v>
      </c>
      <c r="W59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30.90547383120817</v>
      </c>
      <c r="X592" s="4">
        <v>234.5</v>
      </c>
      <c r="Y592" s="4">
        <f>(Base[[#This Row],['[Maladies']Coûts_évités_par_salarié]]+Base[[#This Row],['[Travail']Coûts_évités_par_salarié]])/Base[[#This Row],[Budget_santé_salarié]]</f>
        <v>0.13607988080588845</v>
      </c>
      <c r="Z592" s="4">
        <v>0.8</v>
      </c>
      <c r="AA592" s="4">
        <f>Base[[#This Row],[Coût]]*Base[[#This Row],[Part_société_dépenses_santé]]</f>
        <v>5.8236480000000004</v>
      </c>
      <c r="AB592" s="4">
        <v>67635124</v>
      </c>
      <c r="AC592" s="4">
        <v>82.297079063317852</v>
      </c>
      <c r="AD592" s="4">
        <v>0.1217</v>
      </c>
      <c r="AE592" s="4">
        <f>Base[[#This Row],['[SC']Prévalence_travail]]*Base[[#This Row],[Population_emploi]]</f>
        <v>3371090</v>
      </c>
      <c r="AF592" s="4">
        <f>Base[[#This Row],[Risque]]*Base[[#This Row],['[SC']Patients_en_emploi]]</f>
        <v>1513679.7473528497</v>
      </c>
      <c r="AG592" s="4">
        <v>0</v>
      </c>
      <c r="AH592" s="4">
        <f>IFERROR(Base[[#This Row],['[SC']Prestations]]/Base[[#This Row],['[SC']Patients_en_emploi]],0)</f>
        <v>0</v>
      </c>
      <c r="AI592" s="4">
        <v>51.7</v>
      </c>
      <c r="AJ59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1447758994.3556333</v>
      </c>
      <c r="AK592" s="4">
        <f>Base[[#This Row],['[SC']'[Travail']Coûts_évités]]/Base[[#This Row],[Population_emploi]]</f>
        <v>52.265667666268349</v>
      </c>
      <c r="AL592" s="4">
        <f>Base[[#This Row],[Coût_société]]*10^9*Base[[#This Row],[Risque]]*Base[[#This Row],[Prévalence]]*Base[[#This Row],[Part_coûts_salarié]]/Base[[#This Row],[Population_emploi]]</f>
        <v>11.488665345973399</v>
      </c>
      <c r="AM592" s="4">
        <f>IF(Base[[#This Row],[Pathologie]]&lt;&gt;"Dépendance",0,14909.24243952)</f>
        <v>0</v>
      </c>
      <c r="AN592" s="4">
        <f>IF(Base[[#This Row],[Pathologie]]&lt;&gt;"Dépendance",0,1316000)</f>
        <v>0</v>
      </c>
      <c r="AO592" s="4">
        <f>IF(Base[[#This Row],[Pathologie]]&lt;&gt;"Dépendance",0,Base[[#This Row],['[SC']Coût_personne_dépendante]]*Base[[#This Row],['[SC']Nb_personnes_dépendantes]])</f>
        <v>0</v>
      </c>
      <c r="AP592" s="4">
        <f>IF(Base[[#This Row],[Pathologie]]&lt;&gt;"Dépendance",0,Base[[#This Row],['[SC']Coût_total_dépendance]]/Base[[#This Row],[Population_totale]])</f>
        <v>0</v>
      </c>
      <c r="AQ592" s="4">
        <f>IF(Base[[#This Row],[Pathologie]]&lt;&gt;"Dépendance",0,4.5)</f>
        <v>0</v>
      </c>
      <c r="AR592" s="4">
        <v>1.0077957276768601</v>
      </c>
      <c r="AS592" s="4">
        <f>Base[[#This Row],[Espérance_vie]]+Base[[#This Row],['[SC']Hausse_esp_de_vie]]-Base[[#This Row],['[SC']Durée_moyenne_dépendance_avt]]+Base[[#This Row],[Risque]]</f>
        <v>83.753892689464607</v>
      </c>
      <c r="AT59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2" s="4">
        <v>62.9</v>
      </c>
      <c r="AW592" s="4">
        <f t="shared" si="18"/>
        <v>336905600000</v>
      </c>
      <c r="AX592" s="4">
        <v>15049171</v>
      </c>
      <c r="AY592" s="4">
        <f>Base[[#This Row],['[SC']Budget_total_retraites]]/Base[[#This Row],['[SC']Nombre_de_retraités]]</f>
        <v>22386.987296509556</v>
      </c>
      <c r="AZ592" s="4">
        <f>Base[[#This Row],['[SC']Budget_par_retraité]]*Base[[#This Row],['[SC']Nb_personnes_dépendantes]]</f>
        <v>0</v>
      </c>
      <c r="BA592" s="4">
        <f>Base[[#This Row],['[SC']'[Dépendance']Coût_retraite_personnes_dépendantes]]/Base[[#This Row],[Population_totale]]</f>
        <v>0</v>
      </c>
      <c r="BB59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2" s="4">
        <f>Base[[#This Row],['[SC']'[Dépendance']Gains]]-Base[[#This Row],['[SC']'[Dépendance']Coûts]]</f>
        <v>0</v>
      </c>
      <c r="BD592" s="4">
        <f>IF(Base[[#This Row],[Pathologie]]&lt;&gt;"Mort prématurée",0,Base[[#This Row],[Risque]]*Base[[#This Row],[Prévalence]]*Base[[#This Row],[Population_totale]])</f>
        <v>0</v>
      </c>
      <c r="BE592" s="4">
        <v>52.74</v>
      </c>
      <c r="BF592" s="4">
        <f>Base[[#This Row],['[SC']Âge_moyen_retraite]]-Base[[#This Row],['[SC']'[Mort_prématurée']Âge_moyen_mort précoce]]</f>
        <v>10.159999999999997</v>
      </c>
      <c r="BG592" s="4">
        <f>Base[[#This Row],[Espérance_vie]]+Base[[#This Row],['[SC']Hausse_esp_de_vie]]-Base[[#This Row],['[SC']Âge_moyen_retraite]]</f>
        <v>20.404874790994718</v>
      </c>
      <c r="BH592" s="4">
        <v>106583.42676924677</v>
      </c>
      <c r="BI592" s="4">
        <v>97601.789429271477</v>
      </c>
      <c r="BJ592" s="4">
        <v>302038.31496633729</v>
      </c>
      <c r="BK592" s="4">
        <v>117293.58934859755</v>
      </c>
      <c r="BL592" s="4">
        <v>1523999.9999999995</v>
      </c>
      <c r="BM59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2" s="4">
        <v>294804.96027377353</v>
      </c>
      <c r="BO59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2" s="4">
        <f>(Base[[#This Row],['[SC']'[Mort_prématurée']Gains]]-Base[[#This Row],['[SC']'[Mort_prématurée']Coûts]])/Base[[#This Row],[Population_totale]]</f>
        <v>0</v>
      </c>
      <c r="BQ592" s="4">
        <f>IF(Base[[#This Row],[Pathologie]]&lt;&gt;"Mort prématurée",0,Base[[#This Row],[Risque]])</f>
        <v>0</v>
      </c>
      <c r="BR592" s="4">
        <v>2680</v>
      </c>
      <c r="BS59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2.3788930228448413E-2</v>
      </c>
      <c r="BT59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72478435</v>
      </c>
      <c r="BU592" s="4">
        <f>Base[[#This Row],[Prévalence_prod]]*(1-Base[[#This Row],[Risque]])*Base[[#This Row],[Durée_arrêt]]*Base[[#This Row],[Population_emploi]]</f>
        <v>39934320.431913733</v>
      </c>
      <c r="BV592" s="4">
        <f>Base[[#This Row],['[Prod']'[Absentéisme']Total_jours_absence_avant]]-Base[[#This Row],['[Prod']'[Absentéisme']Total_jours_absence_après]]</f>
        <v>32544114.568086267</v>
      </c>
      <c r="BW592" s="4">
        <f>IF(AND(Base[[#This Row],[Pathologie]]&lt;&gt;"Dépendance",Base[[#This Row],[Pathologie]]&lt;&gt;"Mort prématurée",Base[[#This Row],[Pathologie]]&lt;&gt;"Migraine"),0.0619,0)</f>
        <v>6.1899999999999997E-2</v>
      </c>
      <c r="BX592" s="4">
        <v>254</v>
      </c>
      <c r="BY592" s="4">
        <f>Base[[#This Row],['[Prod']'[Absentéisme']Taux_initial]]*Base[[#This Row],['[Prod']Jours_ouvrés]]*Base[[#This Row],[Population_emploi]]*Base[[#This Row],['[Prod']'[Absentéisme']Total_jours_absence_avant]]/211051099.251489</f>
        <v>149563397.95897081</v>
      </c>
      <c r="BZ592" s="4">
        <f>(Base[[#This Row],['[Prod']'[Absentéisme']Jours_théoriques]]-Base[[#This Row],['[Prod']'[Absentéisme']Total_jours_absence_évités]])/(Base[[#This Row],[Population_emploi]]*Base[[#This Row],['[Prod']Jours_ouvrés]])</f>
        <v>1.6631979787783132E-2</v>
      </c>
      <c r="CA592" s="4">
        <f>Base[[#This Row],[Prévalence_prod]]*Base[[#This Row],[Présentéisme]]*Base[[#This Row],['[Prod']Jours_ouvrés]]</f>
        <v>2.8438856000000001</v>
      </c>
      <c r="CB592" s="4">
        <f>Base[[#This Row],[Prévalence_prod]]*(1-Base[[#This Row],[Risque]])*Base[[#This Row],[Présentéisme]]*Base[[#This Row],['[Prod']Jours_ouvrés]]</f>
        <v>1.5669300643992279</v>
      </c>
      <c r="CC592" s="4">
        <f>Base[[#This Row],['[Prod']'[Présentéisme']Jours_avant]]-Base[[#This Row],['[Prod']'[Présentéisme']Jours_après]]</f>
        <v>1.2769555356007722</v>
      </c>
      <c r="CD592" s="4">
        <f>Base[[#This Row],['[Prod']'[Présentéisme']Jours_gagnés]]/Base[[#This Row],['[Prod']Jours_ouvrés]]</f>
        <v>5.0273839984282375E-3</v>
      </c>
      <c r="CE592">
        <v>9.3428413505841454E-2</v>
      </c>
      <c r="CF592">
        <v>2.1038737314955848E-2</v>
      </c>
      <c r="CG592" s="4">
        <v>11</v>
      </c>
      <c r="CH592" s="4">
        <v>0.85076983926913452</v>
      </c>
      <c r="CI592" s="4">
        <v>0</v>
      </c>
      <c r="CJ592" s="4">
        <f>IF(Base[[#This Row],[Secteur]]&lt;&gt;"Moyenne",Base[[#This Row],['[Prod']'[Turnover']DMC_initiale]]*(1+Base[[#This Row],['[Prod']'[Turnover']Ecart_accidents]]*Base[[#This Row],['[Prod']Impact_motifs_turnover]]),CJ575*CI575+CJ576*CI576+CJ577*CI577+CJ578*CI578+CJ579*CI579+CJ580*CI580+CJ581*CI581+CJ582*CI582+CJ583*CI583+CJ584*CI584+CJ585*CI585+CJ586*CI586+CJ587*CI587+CJ588*CI588+CJ589*CI589+CJ590*CI590+CJ591*CI591)</f>
        <v>11.196890354802576</v>
      </c>
      <c r="CK592" s="4">
        <f>1/Base[[#This Row],['[Prod']'[Turnover']DMC_initiale]]</f>
        <v>9.0909090909090912E-2</v>
      </c>
      <c r="CL592" s="4">
        <f>1/Base[[#This Row],['[Prod']'[Turnover']DMC_finale]]</f>
        <v>8.9310511071592255E-2</v>
      </c>
    </row>
    <row r="593" spans="2:90" x14ac:dyDescent="0.25">
      <c r="B593" s="4" t="s">
        <v>315</v>
      </c>
      <c r="C593">
        <v>30</v>
      </c>
      <c r="D593" t="s">
        <v>85</v>
      </c>
      <c r="E593" t="s">
        <v>10</v>
      </c>
      <c r="F593" s="3">
        <v>0.24945438803882591</v>
      </c>
      <c r="G593" s="3">
        <v>0.17849999999999999</v>
      </c>
      <c r="H593" s="3">
        <v>8.4823104693140794E-4</v>
      </c>
      <c r="I593" s="3">
        <v>0</v>
      </c>
      <c r="J593" s="3">
        <v>1.82</v>
      </c>
      <c r="K593" s="3">
        <v>7.0000000000000007E-2</v>
      </c>
      <c r="L593" s="2">
        <f>Base[[#This Row],[Coût]]*Base[[#This Row],[Part_ménages_dépenses_santé]]</f>
        <v>0.12740000000000001</v>
      </c>
      <c r="M593" s="2">
        <v>0.82690611956969029</v>
      </c>
      <c r="N593" s="6">
        <v>27700000</v>
      </c>
      <c r="O593" s="7">
        <f>Base[[#This Row],[Coût_salarié]]*10^9*Base[[#This Row],[Risque]]*Base[[#This Row],[Prévalence]]*Base[[#This Row],[Part_coûts_salarié]]/Base[[#This Row],[Population_emploi]]</f>
        <v>0.16934611316761322</v>
      </c>
      <c r="P593">
        <v>50</v>
      </c>
      <c r="Q593">
        <v>50</v>
      </c>
      <c r="R593" s="2">
        <v>9.9999999999999978E-2</v>
      </c>
      <c r="S593" s="2">
        <v>0.33340000000000003</v>
      </c>
      <c r="T593" s="4">
        <v>8.4823104693140805E-4</v>
      </c>
      <c r="U593" s="4">
        <f>IF(Bases_annexes!$F$5=0,16.6587111018772,0.77*Bases_annexes!$F$5/(IF(OR(ISBLANK('Données_d''entrée'!$E$44),'Données_d''entrée'!$E$44=0),35,'Données_d''entrée'!$E$44)*52))</f>
        <v>16.658711101877199</v>
      </c>
      <c r="V593" s="4">
        <v>20.125</v>
      </c>
      <c r="W59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3" s="4">
        <v>234.5</v>
      </c>
      <c r="Y593" s="4">
        <f>(Base[[#This Row],['[Maladies']Coûts_évités_par_salarié]]+Base[[#This Row],['[Travail']Coûts_évités_par_salarié]])/Base[[#This Row],[Budget_santé_salarié]]</f>
        <v>1.2180116304197847E-3</v>
      </c>
      <c r="Z593" s="4">
        <v>0.8</v>
      </c>
      <c r="AA593" s="4">
        <f>Base[[#This Row],[Coût]]*Base[[#This Row],[Part_société_dépenses_santé]]</f>
        <v>1.4560000000000002</v>
      </c>
      <c r="AB593" s="4">
        <v>67635124</v>
      </c>
      <c r="AC593" s="4">
        <v>82.297079063317852</v>
      </c>
      <c r="AD593" s="4">
        <v>8.4823104693140805E-4</v>
      </c>
      <c r="AE593" s="4">
        <f>Base[[#This Row],['[SC']Prévalence_travail]]*Base[[#This Row],[Population_emploi]]</f>
        <v>23496.000000000004</v>
      </c>
      <c r="AF593" s="4">
        <f>Base[[#This Row],[Risque]]*Base[[#This Row],['[SC']Patients_en_emploi]]</f>
        <v>5861.1803013602548</v>
      </c>
      <c r="AG593" s="4">
        <v>0</v>
      </c>
      <c r="AH593" s="4">
        <f>IFERROR(Base[[#This Row],['[SC']Prestations]]/Base[[#This Row],['[SC']Patients_en_emploi]],0)</f>
        <v>0</v>
      </c>
      <c r="AI593" s="4">
        <v>51.7</v>
      </c>
      <c r="AJ59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3" s="4">
        <f>Base[[#This Row],['[SC']'[Travail']Coûts_évités]]/Base[[#This Row],[Population_emploi]]</f>
        <v>0.18733823987592307</v>
      </c>
      <c r="AL593" s="4">
        <f>Base[[#This Row],[Coût_société]]*10^9*Base[[#This Row],[Risque]]*Base[[#This Row],[Prévalence]]*Base[[#This Row],[Part_coûts_salarié]]/Base[[#This Row],[Population_emploi]]</f>
        <v>1.9353841504870084</v>
      </c>
      <c r="AM593" s="4">
        <f>IF(Base[[#This Row],[Pathologie]]&lt;&gt;"Dépendance",0,14909.24243952)</f>
        <v>0</v>
      </c>
      <c r="AN593" s="4">
        <f>IF(Base[[#This Row],[Pathologie]]&lt;&gt;"Dépendance",0,1316000)</f>
        <v>0</v>
      </c>
      <c r="AO593" s="4">
        <f>IF(Base[[#This Row],[Pathologie]]&lt;&gt;"Dépendance",0,Base[[#This Row],['[SC']Coût_personne_dépendante]]*Base[[#This Row],['[SC']Nb_personnes_dépendantes]])</f>
        <v>0</v>
      </c>
      <c r="AP593" s="4">
        <f>IF(Base[[#This Row],[Pathologie]]&lt;&gt;"Dépendance",0,Base[[#This Row],['[SC']Coût_total_dépendance]]/Base[[#This Row],[Population_totale]])</f>
        <v>0</v>
      </c>
      <c r="AQ593" s="4">
        <f>IF(Base[[#This Row],[Pathologie]]&lt;&gt;"Dépendance",0,4.5)</f>
        <v>0</v>
      </c>
      <c r="AR593" s="4">
        <v>1.0077957276768601</v>
      </c>
      <c r="AS593" s="4">
        <f>Base[[#This Row],[Espérance_vie]]+Base[[#This Row],['[SC']Hausse_esp_de_vie]]-Base[[#This Row],['[SC']Durée_moyenne_dépendance_avt]]+Base[[#This Row],[Risque]]</f>
        <v>83.554329179033545</v>
      </c>
      <c r="AT59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3" s="4">
        <v>62.9</v>
      </c>
      <c r="AW593" s="4">
        <f t="shared" si="0"/>
        <v>336905600000</v>
      </c>
      <c r="AX593" s="4">
        <v>15049171</v>
      </c>
      <c r="AY593" s="4">
        <f>Base[[#This Row],['[SC']Budget_total_retraites]]/Base[[#This Row],['[SC']Nombre_de_retraités]]</f>
        <v>22386.987296509556</v>
      </c>
      <c r="AZ593" s="4">
        <f>Base[[#This Row],['[SC']Budget_par_retraité]]*Base[[#This Row],['[SC']Nb_personnes_dépendantes]]</f>
        <v>0</v>
      </c>
      <c r="BA593" s="4">
        <f>Base[[#This Row],['[SC']'[Dépendance']Coût_retraite_personnes_dépendantes]]/Base[[#This Row],[Population_totale]]</f>
        <v>0</v>
      </c>
      <c r="BB59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3" s="4">
        <f>Base[[#This Row],['[SC']'[Dépendance']Gains]]-Base[[#This Row],['[SC']'[Dépendance']Coûts]]</f>
        <v>0</v>
      </c>
      <c r="BD593" s="4">
        <f>IF(Base[[#This Row],[Pathologie]]&lt;&gt;"Mort prématurée",0,Base[[#This Row],[Risque]]*Base[[#This Row],[Prévalence]]*Base[[#This Row],[Population_totale]])</f>
        <v>0</v>
      </c>
      <c r="BE593" s="4">
        <v>52.74</v>
      </c>
      <c r="BF593" s="4">
        <f>Base[[#This Row],['[SC']Âge_moyen_retraite]]-Base[[#This Row],['[SC']'[Mort_prématurée']Âge_moyen_mort précoce]]</f>
        <v>10.159999999999997</v>
      </c>
      <c r="BG593" s="4">
        <f>Base[[#This Row],[Espérance_vie]]+Base[[#This Row],['[SC']Hausse_esp_de_vie]]-Base[[#This Row],['[SC']Âge_moyen_retraite]]</f>
        <v>20.404874790994718</v>
      </c>
      <c r="BH593" s="4">
        <v>106583.42676924677</v>
      </c>
      <c r="BI593" s="4">
        <v>97601.789429271477</v>
      </c>
      <c r="BJ593" s="4">
        <v>302038.31496633729</v>
      </c>
      <c r="BK593" s="4">
        <v>117293.58934859755</v>
      </c>
      <c r="BL593" s="4">
        <v>1523999.9999999995</v>
      </c>
      <c r="BM59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3" s="4">
        <v>294804.96027377353</v>
      </c>
      <c r="BO59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3" s="4">
        <f>(Base[[#This Row],['[SC']'[Mort_prématurée']Gains]]-Base[[#This Row],['[SC']'[Mort_prématurée']Coûts]])/Base[[#This Row],[Population_totale]]</f>
        <v>0</v>
      </c>
      <c r="BQ593" s="4">
        <f>IF(Base[[#This Row],[Pathologie]]&lt;&gt;"Mort prématurée",0,Base[[#This Row],[Risque]])</f>
        <v>0</v>
      </c>
      <c r="BR593" s="4">
        <v>2680</v>
      </c>
      <c r="BS59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3" s="4">
        <f>Base[[#This Row],[Prévalence_prod]]*(1-Base[[#This Row],[Risque]])*Base[[#This Row],[Durée_arrêt]]*Base[[#This Row],[Population_emploi]]</f>
        <v>354900.74643512495</v>
      </c>
      <c r="BV593" s="4">
        <f>Base[[#This Row],['[Prod']'[Absentéisme']Total_jours_absence_avant]]-Base[[#This Row],['[Prod']'[Absentéisme']Total_jours_absence_après]]</f>
        <v>117956.25356487499</v>
      </c>
      <c r="BW593" s="4">
        <f>IF(AND(Base[[#This Row],[Pathologie]]&lt;&gt;"Dépendance",Base[[#This Row],[Pathologie]]&lt;&gt;"Mort prématurée",Base[[#This Row],[Pathologie]]&lt;&gt;"Migraine"),0.0619,0)</f>
        <v>6.1899999999999997E-2</v>
      </c>
      <c r="BX593" s="4">
        <v>254</v>
      </c>
      <c r="BY59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3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3" s="4">
        <f>Base[[#This Row],[Prévalence_prod]]*Base[[#This Row],[Présentéisme]]*Base[[#This Row],['[Prod']Jours_ouvrés]]</f>
        <v>0</v>
      </c>
      <c r="CB593" s="4">
        <f>Base[[#This Row],[Prévalence_prod]]*(1-Base[[#This Row],[Risque]])*Base[[#This Row],[Présentéisme]]*Base[[#This Row],['[Prod']Jours_ouvrés]]</f>
        <v>0</v>
      </c>
      <c r="CC593" s="4">
        <f>Base[[#This Row],['[Prod']'[Présentéisme']Jours_avant]]-Base[[#This Row],['[Prod']'[Présentéisme']Jours_après]]</f>
        <v>0</v>
      </c>
      <c r="CD593" s="4">
        <f>Base[[#This Row],['[Prod']'[Présentéisme']Jours_gagnés]]/Base[[#This Row],['[Prod']Jours_ouvrés]]</f>
        <v>0</v>
      </c>
      <c r="CE593">
        <v>9.3428413505841454E-2</v>
      </c>
      <c r="CF593">
        <v>2.1038737314955848E-2</v>
      </c>
      <c r="CG593" s="4">
        <v>11</v>
      </c>
      <c r="CH593" s="4">
        <v>1.3966184516047948</v>
      </c>
      <c r="CI593" s="4">
        <v>1.4392894727292521E-2</v>
      </c>
      <c r="CJ593" s="4">
        <f>IF(Base[[#This Row],[Secteur]]&lt;&gt;"Moyenne",Base[[#This Row],['[Prod']'[Turnover']DMC_initiale]]*(1+Base[[#This Row],['[Prod']'[Turnover']Ecart_accidents]]*Base[[#This Row],['[Prod']Impact_motifs_turnover]]),CJ576*CI576+CJ577*CI577+CJ578*CI578+CJ579*CI579+CJ580*CI580+CJ581*CI581+CJ582*CI582+CJ583*CI583+CJ584*CI584+CJ585*CI585+CJ586*CI586+CJ587*CI587+CJ588*CI588+CJ589*CI589+CJ590*CI590+CJ591*CI591+CJ592*CI592)</f>
        <v>11.32321397605787</v>
      </c>
      <c r="CK593" s="4">
        <f>1/Base[[#This Row],['[Prod']'[Turnover']DMC_initiale]]</f>
        <v>9.0909090909090912E-2</v>
      </c>
      <c r="CL593" s="4">
        <f>1/Base[[#This Row],['[Prod']'[Turnover']DMC_finale]]</f>
        <v>8.8314148448879345E-2</v>
      </c>
    </row>
    <row r="594" spans="2:90" x14ac:dyDescent="0.25">
      <c r="B594" s="4" t="s">
        <v>316</v>
      </c>
      <c r="C594">
        <v>30</v>
      </c>
      <c r="D594" t="s">
        <v>85</v>
      </c>
      <c r="E594" t="s">
        <v>10</v>
      </c>
      <c r="F594" s="3">
        <v>0.24945438803882591</v>
      </c>
      <c r="G594" s="3">
        <v>0.17849999999999999</v>
      </c>
      <c r="H594" s="3">
        <v>8.4823104693140794E-4</v>
      </c>
      <c r="I594" s="3">
        <v>0</v>
      </c>
      <c r="J594" s="3">
        <v>1.82</v>
      </c>
      <c r="K594" s="3">
        <v>7.0000000000000007E-2</v>
      </c>
      <c r="L594" s="2">
        <f>Base[[#This Row],[Coût]]*Base[[#This Row],[Part_ménages_dépenses_santé]]</f>
        <v>0.12740000000000001</v>
      </c>
      <c r="M594" s="2">
        <v>0.82690611956969029</v>
      </c>
      <c r="N594" s="6">
        <v>27700000</v>
      </c>
      <c r="O594" s="7">
        <f>Base[[#This Row],[Coût_salarié]]*10^9*Base[[#This Row],[Risque]]*Base[[#This Row],[Prévalence]]*Base[[#This Row],[Part_coûts_salarié]]/Base[[#This Row],[Population_emploi]]</f>
        <v>0.16934611316761322</v>
      </c>
      <c r="P594">
        <v>50</v>
      </c>
      <c r="Q594">
        <v>50</v>
      </c>
      <c r="R594" s="2">
        <v>9.9999999999999978E-2</v>
      </c>
      <c r="S594" s="2">
        <v>0.33340000000000003</v>
      </c>
      <c r="T594" s="4">
        <v>8.4823104693140805E-4</v>
      </c>
      <c r="U594" s="4">
        <f>IF(Bases_annexes!$F$5=0,16.6587111018772,0.77*Bases_annexes!$F$5/(IF(OR(ISBLANK('Données_d''entrée'!$E$44),'Données_d''entrée'!$E$44=0),35,'Données_d''entrée'!$E$44)*52))</f>
        <v>16.658711101877199</v>
      </c>
      <c r="V594" s="4">
        <v>20.125</v>
      </c>
      <c r="W59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4" s="4">
        <v>234.5</v>
      </c>
      <c r="Y594" s="4">
        <f>(Base[[#This Row],['[Maladies']Coûts_évités_par_salarié]]+Base[[#This Row],['[Travail']Coûts_évités_par_salarié]])/Base[[#This Row],[Budget_santé_salarié]]</f>
        <v>1.2180116304197847E-3</v>
      </c>
      <c r="Z594" s="4">
        <v>0.8</v>
      </c>
      <c r="AA594" s="4">
        <f>Base[[#This Row],[Coût]]*Base[[#This Row],[Part_société_dépenses_santé]]</f>
        <v>1.4560000000000002</v>
      </c>
      <c r="AB594" s="4">
        <v>67635124</v>
      </c>
      <c r="AC594" s="4">
        <v>82.297079063317852</v>
      </c>
      <c r="AD594" s="4">
        <v>8.4823104693140805E-4</v>
      </c>
      <c r="AE594" s="4">
        <f>Base[[#This Row],['[SC']Prévalence_travail]]*Base[[#This Row],[Population_emploi]]</f>
        <v>23496.000000000004</v>
      </c>
      <c r="AF594" s="4">
        <f>Base[[#This Row],[Risque]]*Base[[#This Row],['[SC']Patients_en_emploi]]</f>
        <v>5861.1803013602548</v>
      </c>
      <c r="AG594" s="4">
        <v>0</v>
      </c>
      <c r="AH594" s="4">
        <f>IFERROR(Base[[#This Row],['[SC']Prestations]]/Base[[#This Row],['[SC']Patients_en_emploi]],0)</f>
        <v>0</v>
      </c>
      <c r="AI594" s="4">
        <v>51.7</v>
      </c>
      <c r="AJ59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4" s="4">
        <f>Base[[#This Row],['[SC']'[Travail']Coûts_évités]]/Base[[#This Row],[Population_emploi]]</f>
        <v>0.18733823987592307</v>
      </c>
      <c r="AL594" s="4">
        <f>Base[[#This Row],[Coût_société]]*10^9*Base[[#This Row],[Risque]]*Base[[#This Row],[Prévalence]]*Base[[#This Row],[Part_coûts_salarié]]/Base[[#This Row],[Population_emploi]]</f>
        <v>1.9353841504870084</v>
      </c>
      <c r="AM594" s="4">
        <f>IF(Base[[#This Row],[Pathologie]]&lt;&gt;"Dépendance",0,14909.24243952)</f>
        <v>0</v>
      </c>
      <c r="AN594" s="4">
        <f>IF(Base[[#This Row],[Pathologie]]&lt;&gt;"Dépendance",0,1316000)</f>
        <v>0</v>
      </c>
      <c r="AO594" s="4">
        <f>IF(Base[[#This Row],[Pathologie]]&lt;&gt;"Dépendance",0,Base[[#This Row],['[SC']Coût_personne_dépendante]]*Base[[#This Row],['[SC']Nb_personnes_dépendantes]])</f>
        <v>0</v>
      </c>
      <c r="AP594" s="4">
        <f>IF(Base[[#This Row],[Pathologie]]&lt;&gt;"Dépendance",0,Base[[#This Row],['[SC']Coût_total_dépendance]]/Base[[#This Row],[Population_totale]])</f>
        <v>0</v>
      </c>
      <c r="AQ594" s="4">
        <f>IF(Base[[#This Row],[Pathologie]]&lt;&gt;"Dépendance",0,4.5)</f>
        <v>0</v>
      </c>
      <c r="AR594" s="4">
        <v>1.0077957276768601</v>
      </c>
      <c r="AS594" s="4">
        <f>Base[[#This Row],[Espérance_vie]]+Base[[#This Row],['[SC']Hausse_esp_de_vie]]-Base[[#This Row],['[SC']Durée_moyenne_dépendance_avt]]+Base[[#This Row],[Risque]]</f>
        <v>83.554329179033545</v>
      </c>
      <c r="AT59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4" s="4">
        <v>62.9</v>
      </c>
      <c r="AW594" s="4">
        <f t="shared" ref="AW594:AW610" si="19">336905600000</f>
        <v>336905600000</v>
      </c>
      <c r="AX594" s="4">
        <v>15049171</v>
      </c>
      <c r="AY594" s="4">
        <f>Base[[#This Row],['[SC']Budget_total_retraites]]/Base[[#This Row],['[SC']Nombre_de_retraités]]</f>
        <v>22386.987296509556</v>
      </c>
      <c r="AZ594" s="4">
        <f>Base[[#This Row],['[SC']Budget_par_retraité]]*Base[[#This Row],['[SC']Nb_personnes_dépendantes]]</f>
        <v>0</v>
      </c>
      <c r="BA594" s="4">
        <f>Base[[#This Row],['[SC']'[Dépendance']Coût_retraite_personnes_dépendantes]]/Base[[#This Row],[Population_totale]]</f>
        <v>0</v>
      </c>
      <c r="BB59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4" s="4">
        <f>Base[[#This Row],['[SC']'[Dépendance']Gains]]-Base[[#This Row],['[SC']'[Dépendance']Coûts]]</f>
        <v>0</v>
      </c>
      <c r="BD594" s="4">
        <f>IF(Base[[#This Row],[Pathologie]]&lt;&gt;"Mort prématurée",0,Base[[#This Row],[Risque]]*Base[[#This Row],[Prévalence]]*Base[[#This Row],[Population_totale]])</f>
        <v>0</v>
      </c>
      <c r="BE594" s="4">
        <v>52.74</v>
      </c>
      <c r="BF594" s="4">
        <f>Base[[#This Row],['[SC']Âge_moyen_retraite]]-Base[[#This Row],['[SC']'[Mort_prématurée']Âge_moyen_mort précoce]]</f>
        <v>10.159999999999997</v>
      </c>
      <c r="BG594" s="4">
        <f>Base[[#This Row],[Espérance_vie]]+Base[[#This Row],['[SC']Hausse_esp_de_vie]]-Base[[#This Row],['[SC']Âge_moyen_retraite]]</f>
        <v>20.404874790994718</v>
      </c>
      <c r="BH594" s="4">
        <v>106583.42676924677</v>
      </c>
      <c r="BI594" s="4">
        <v>97601.789429271477</v>
      </c>
      <c r="BJ594" s="4">
        <v>302038.31496633729</v>
      </c>
      <c r="BK594" s="4">
        <v>117293.58934859755</v>
      </c>
      <c r="BL594" s="4">
        <v>1523999.9999999995</v>
      </c>
      <c r="BM59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4" s="4">
        <v>294804.96027377353</v>
      </c>
      <c r="BO59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4" s="4">
        <f>(Base[[#This Row],['[SC']'[Mort_prématurée']Gains]]-Base[[#This Row],['[SC']'[Mort_prématurée']Coûts]])/Base[[#This Row],[Population_totale]]</f>
        <v>0</v>
      </c>
      <c r="BQ594" s="4">
        <f>IF(Base[[#This Row],[Pathologie]]&lt;&gt;"Mort prématurée",0,Base[[#This Row],[Risque]])</f>
        <v>0</v>
      </c>
      <c r="BR594" s="4">
        <v>2680</v>
      </c>
      <c r="BS59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4" s="4">
        <f>Base[[#This Row],[Prévalence_prod]]*(1-Base[[#This Row],[Risque]])*Base[[#This Row],[Durée_arrêt]]*Base[[#This Row],[Population_emploi]]</f>
        <v>354900.74643512495</v>
      </c>
      <c r="BV594" s="4">
        <f>Base[[#This Row],['[Prod']'[Absentéisme']Total_jours_absence_avant]]-Base[[#This Row],['[Prod']'[Absentéisme']Total_jours_absence_après]]</f>
        <v>117956.25356487499</v>
      </c>
      <c r="BW594" s="4">
        <f>IF(AND(Base[[#This Row],[Pathologie]]&lt;&gt;"Dépendance",Base[[#This Row],[Pathologie]]&lt;&gt;"Mort prématurée",Base[[#This Row],[Pathologie]]&lt;&gt;"Migraine"),0.0619,0)</f>
        <v>6.1899999999999997E-2</v>
      </c>
      <c r="BX594" s="4">
        <v>254</v>
      </c>
      <c r="BY59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4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4" s="4">
        <f>Base[[#This Row],[Prévalence_prod]]*Base[[#This Row],[Présentéisme]]*Base[[#This Row],['[Prod']Jours_ouvrés]]</f>
        <v>0</v>
      </c>
      <c r="CB594" s="4">
        <f>Base[[#This Row],[Prévalence_prod]]*(1-Base[[#This Row],[Risque]])*Base[[#This Row],[Présentéisme]]*Base[[#This Row],['[Prod']Jours_ouvrés]]</f>
        <v>0</v>
      </c>
      <c r="CC594" s="4">
        <f>Base[[#This Row],['[Prod']'[Présentéisme']Jours_avant]]-Base[[#This Row],['[Prod']'[Présentéisme']Jours_après]]</f>
        <v>0</v>
      </c>
      <c r="CD594" s="4">
        <f>Base[[#This Row],['[Prod']'[Présentéisme']Jours_gagnés]]/Base[[#This Row],['[Prod']Jours_ouvrés]]</f>
        <v>0</v>
      </c>
      <c r="CE594">
        <v>9.3428413505841454E-2</v>
      </c>
      <c r="CF594">
        <v>2.1038737314955848E-2</v>
      </c>
      <c r="CG594" s="4">
        <v>11</v>
      </c>
      <c r="CH594" s="4">
        <v>0.68054183762612652</v>
      </c>
      <c r="CI594" s="4">
        <v>1.2135452577082654E-2</v>
      </c>
      <c r="CJ594" s="4">
        <f>IF(Base[[#This Row],[Secteur]]&lt;&gt;"Moyenne",Base[[#This Row],['[Prod']'[Turnover']DMC_initiale]]*(1+Base[[#This Row],['[Prod']'[Turnover']Ecart_accidents]]*Base[[#This Row],['[Prod']Impact_motifs_turnover]]),CJ577*CI577+CJ578*CI578+CJ579*CI579+CJ580*CI580+CJ581*CI581+CJ582*CI582+CJ583*CI583+CJ584*CI584+CJ585*CI585+CJ586*CI586+CJ587*CI587+CJ588*CI588+CJ589*CI589+CJ590*CI590+CJ591*CI591+CJ592*CI592+CJ593*CI593)</f>
        <v>11.157495150490188</v>
      </c>
      <c r="CK594" s="4">
        <f>1/Base[[#This Row],['[Prod']'[Turnover']DMC_initiale]]</f>
        <v>9.0909090909090912E-2</v>
      </c>
      <c r="CL594" s="4">
        <f>1/Base[[#This Row],['[Prod']'[Turnover']DMC_finale]]</f>
        <v>8.9625851189015879E-2</v>
      </c>
    </row>
    <row r="595" spans="2:90" x14ac:dyDescent="0.25">
      <c r="B595" s="4" t="s">
        <v>317</v>
      </c>
      <c r="C595">
        <v>30</v>
      </c>
      <c r="D595" t="s">
        <v>85</v>
      </c>
      <c r="E595" t="s">
        <v>10</v>
      </c>
      <c r="F595" s="3">
        <v>0.24945438803882591</v>
      </c>
      <c r="G595" s="3">
        <v>0.17849999999999999</v>
      </c>
      <c r="H595" s="3">
        <v>8.4823104693140794E-4</v>
      </c>
      <c r="I595" s="3">
        <v>0</v>
      </c>
      <c r="J595" s="3">
        <v>1.82</v>
      </c>
      <c r="K595" s="3">
        <v>7.0000000000000007E-2</v>
      </c>
      <c r="L595" s="2">
        <f>Base[[#This Row],[Coût]]*Base[[#This Row],[Part_ménages_dépenses_santé]]</f>
        <v>0.12740000000000001</v>
      </c>
      <c r="M595" s="2">
        <v>0.82690611956969029</v>
      </c>
      <c r="N595" s="6">
        <v>27700000</v>
      </c>
      <c r="O595" s="7">
        <f>Base[[#This Row],[Coût_salarié]]*10^9*Base[[#This Row],[Risque]]*Base[[#This Row],[Prévalence]]*Base[[#This Row],[Part_coûts_salarié]]/Base[[#This Row],[Population_emploi]]</f>
        <v>0.16934611316761322</v>
      </c>
      <c r="P595">
        <v>50</v>
      </c>
      <c r="Q595">
        <v>50</v>
      </c>
      <c r="R595" s="2">
        <v>9.9999999999999978E-2</v>
      </c>
      <c r="S595" s="2">
        <v>0.33340000000000003</v>
      </c>
      <c r="T595" s="4">
        <v>8.4823104693140805E-4</v>
      </c>
      <c r="U595" s="4">
        <f>IF(Bases_annexes!$F$5=0,16.6587111018772,0.77*Bases_annexes!$F$5/(IF(OR(ISBLANK('Données_d''entrée'!$E$44),'Données_d''entrée'!$E$44=0),35,'Données_d''entrée'!$E$44)*52))</f>
        <v>16.658711101877199</v>
      </c>
      <c r="V595" s="4">
        <v>20.125</v>
      </c>
      <c r="W59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5" s="4">
        <v>234.5</v>
      </c>
      <c r="Y595" s="4">
        <f>(Base[[#This Row],['[Maladies']Coûts_évités_par_salarié]]+Base[[#This Row],['[Travail']Coûts_évités_par_salarié]])/Base[[#This Row],[Budget_santé_salarié]]</f>
        <v>1.2180116304197847E-3</v>
      </c>
      <c r="Z595" s="4">
        <v>0.8</v>
      </c>
      <c r="AA595" s="4">
        <f>Base[[#This Row],[Coût]]*Base[[#This Row],[Part_société_dépenses_santé]]</f>
        <v>1.4560000000000002</v>
      </c>
      <c r="AB595" s="4">
        <v>67635124</v>
      </c>
      <c r="AC595" s="4">
        <v>82.297079063317852</v>
      </c>
      <c r="AD595" s="4">
        <v>8.4823104693140805E-4</v>
      </c>
      <c r="AE595" s="4">
        <f>Base[[#This Row],['[SC']Prévalence_travail]]*Base[[#This Row],[Population_emploi]]</f>
        <v>23496.000000000004</v>
      </c>
      <c r="AF595" s="4">
        <f>Base[[#This Row],[Risque]]*Base[[#This Row],['[SC']Patients_en_emploi]]</f>
        <v>5861.1803013602548</v>
      </c>
      <c r="AG595" s="4">
        <v>0</v>
      </c>
      <c r="AH595" s="4">
        <f>IFERROR(Base[[#This Row],['[SC']Prestations]]/Base[[#This Row],['[SC']Patients_en_emploi]],0)</f>
        <v>0</v>
      </c>
      <c r="AI595" s="4">
        <v>51.7</v>
      </c>
      <c r="AJ59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5" s="4">
        <f>Base[[#This Row],['[SC']'[Travail']Coûts_évités]]/Base[[#This Row],[Population_emploi]]</f>
        <v>0.18733823987592307</v>
      </c>
      <c r="AL595" s="4">
        <f>Base[[#This Row],[Coût_société]]*10^9*Base[[#This Row],[Risque]]*Base[[#This Row],[Prévalence]]*Base[[#This Row],[Part_coûts_salarié]]/Base[[#This Row],[Population_emploi]]</f>
        <v>1.9353841504870084</v>
      </c>
      <c r="AM595" s="4">
        <f>IF(Base[[#This Row],[Pathologie]]&lt;&gt;"Dépendance",0,14909.24243952)</f>
        <v>0</v>
      </c>
      <c r="AN595" s="4">
        <f>IF(Base[[#This Row],[Pathologie]]&lt;&gt;"Dépendance",0,1316000)</f>
        <v>0</v>
      </c>
      <c r="AO595" s="4">
        <f>IF(Base[[#This Row],[Pathologie]]&lt;&gt;"Dépendance",0,Base[[#This Row],['[SC']Coût_personne_dépendante]]*Base[[#This Row],['[SC']Nb_personnes_dépendantes]])</f>
        <v>0</v>
      </c>
      <c r="AP595" s="4">
        <f>IF(Base[[#This Row],[Pathologie]]&lt;&gt;"Dépendance",0,Base[[#This Row],['[SC']Coût_total_dépendance]]/Base[[#This Row],[Population_totale]])</f>
        <v>0</v>
      </c>
      <c r="AQ595" s="4">
        <f>IF(Base[[#This Row],[Pathologie]]&lt;&gt;"Dépendance",0,4.5)</f>
        <v>0</v>
      </c>
      <c r="AR595" s="4">
        <v>1.0077957276768601</v>
      </c>
      <c r="AS595" s="4">
        <f>Base[[#This Row],[Espérance_vie]]+Base[[#This Row],['[SC']Hausse_esp_de_vie]]-Base[[#This Row],['[SC']Durée_moyenne_dépendance_avt]]+Base[[#This Row],[Risque]]</f>
        <v>83.554329179033545</v>
      </c>
      <c r="AT59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5" s="4">
        <v>62.9</v>
      </c>
      <c r="AW595" s="4">
        <f t="shared" si="19"/>
        <v>336905600000</v>
      </c>
      <c r="AX595" s="4">
        <v>15049171</v>
      </c>
      <c r="AY595" s="4">
        <f>Base[[#This Row],['[SC']Budget_total_retraites]]/Base[[#This Row],['[SC']Nombre_de_retraités]]</f>
        <v>22386.987296509556</v>
      </c>
      <c r="AZ595" s="4">
        <f>Base[[#This Row],['[SC']Budget_par_retraité]]*Base[[#This Row],['[SC']Nb_personnes_dépendantes]]</f>
        <v>0</v>
      </c>
      <c r="BA595" s="4">
        <f>Base[[#This Row],['[SC']'[Dépendance']Coût_retraite_personnes_dépendantes]]/Base[[#This Row],[Population_totale]]</f>
        <v>0</v>
      </c>
      <c r="BB59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5" s="4">
        <f>Base[[#This Row],['[SC']'[Dépendance']Gains]]-Base[[#This Row],['[SC']'[Dépendance']Coûts]]</f>
        <v>0</v>
      </c>
      <c r="BD595" s="4">
        <f>IF(Base[[#This Row],[Pathologie]]&lt;&gt;"Mort prématurée",0,Base[[#This Row],[Risque]]*Base[[#This Row],[Prévalence]]*Base[[#This Row],[Population_totale]])</f>
        <v>0</v>
      </c>
      <c r="BE595" s="4">
        <v>52.74</v>
      </c>
      <c r="BF595" s="4">
        <f>Base[[#This Row],['[SC']Âge_moyen_retraite]]-Base[[#This Row],['[SC']'[Mort_prématurée']Âge_moyen_mort précoce]]</f>
        <v>10.159999999999997</v>
      </c>
      <c r="BG595" s="4">
        <f>Base[[#This Row],[Espérance_vie]]+Base[[#This Row],['[SC']Hausse_esp_de_vie]]-Base[[#This Row],['[SC']Âge_moyen_retraite]]</f>
        <v>20.404874790994718</v>
      </c>
      <c r="BH595" s="4">
        <v>106583.42676924677</v>
      </c>
      <c r="BI595" s="4">
        <v>97601.789429271477</v>
      </c>
      <c r="BJ595" s="4">
        <v>302038.31496633729</v>
      </c>
      <c r="BK595" s="4">
        <v>117293.58934859755</v>
      </c>
      <c r="BL595" s="4">
        <v>1523999.9999999995</v>
      </c>
      <c r="BM59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5" s="4">
        <v>294804.96027377353</v>
      </c>
      <c r="BO59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5" s="4">
        <f>(Base[[#This Row],['[SC']'[Mort_prématurée']Gains]]-Base[[#This Row],['[SC']'[Mort_prématurée']Coûts]])/Base[[#This Row],[Population_totale]]</f>
        <v>0</v>
      </c>
      <c r="BQ595" s="4">
        <f>IF(Base[[#This Row],[Pathologie]]&lt;&gt;"Mort prématurée",0,Base[[#This Row],[Risque]])</f>
        <v>0</v>
      </c>
      <c r="BR595" s="4">
        <v>2680</v>
      </c>
      <c r="BS59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5" s="4">
        <f>Base[[#This Row],[Prévalence_prod]]*(1-Base[[#This Row],[Risque]])*Base[[#This Row],[Durée_arrêt]]*Base[[#This Row],[Population_emploi]]</f>
        <v>354900.74643512495</v>
      </c>
      <c r="BV595" s="4">
        <f>Base[[#This Row],['[Prod']'[Absentéisme']Total_jours_absence_avant]]-Base[[#This Row],['[Prod']'[Absentéisme']Total_jours_absence_après]]</f>
        <v>117956.25356487499</v>
      </c>
      <c r="BW595" s="4">
        <f>IF(AND(Base[[#This Row],[Pathologie]]&lt;&gt;"Dépendance",Base[[#This Row],[Pathologie]]&lt;&gt;"Mort prématurée",Base[[#This Row],[Pathologie]]&lt;&gt;"Migraine"),0.0619,0)</f>
        <v>6.1899999999999997E-2</v>
      </c>
      <c r="BX595" s="4">
        <v>254</v>
      </c>
      <c r="BY595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5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5" s="4">
        <f>Base[[#This Row],[Prévalence_prod]]*Base[[#This Row],[Présentéisme]]*Base[[#This Row],['[Prod']Jours_ouvrés]]</f>
        <v>0</v>
      </c>
      <c r="CB595" s="4">
        <f>Base[[#This Row],[Prévalence_prod]]*(1-Base[[#This Row],[Risque]])*Base[[#This Row],[Présentéisme]]*Base[[#This Row],['[Prod']Jours_ouvrés]]</f>
        <v>0</v>
      </c>
      <c r="CC595" s="4">
        <f>Base[[#This Row],['[Prod']'[Présentéisme']Jours_avant]]-Base[[#This Row],['[Prod']'[Présentéisme']Jours_après]]</f>
        <v>0</v>
      </c>
      <c r="CD595" s="4">
        <f>Base[[#This Row],['[Prod']'[Présentéisme']Jours_gagnés]]/Base[[#This Row],['[Prod']Jours_ouvrés]]</f>
        <v>0</v>
      </c>
      <c r="CE595">
        <v>9.3428413505841454E-2</v>
      </c>
      <c r="CF595">
        <v>2.1038737314955848E-2</v>
      </c>
      <c r="CG595" s="4">
        <v>11</v>
      </c>
      <c r="CH595" s="4">
        <v>0.31563677172153043</v>
      </c>
      <c r="CI595" s="4">
        <v>1.3003350630813707E-4</v>
      </c>
      <c r="CJ595" s="4">
        <f>IF(Base[[#This Row],[Secteur]]&lt;&gt;"Moyenne",Base[[#This Row],['[Prod']'[Turnover']DMC_initiale]]*(1+Base[[#This Row],['[Prod']'[Turnover']Ecart_accidents]]*Base[[#This Row],['[Prod']Impact_motifs_turnover]]),CJ578*CI578+CJ579*CI579+CJ580*CI580+CJ581*CI581+CJ582*CI582+CJ583*CI583+CJ584*CI584+CJ585*CI585+CJ586*CI586+CJ587*CI587+CJ588*CI588+CJ589*CI589+CJ590*CI590+CJ591*CI591+CJ592*CI592+CJ593*CI593+CJ594*CI594)</f>
        <v>11.073046590399091</v>
      </c>
      <c r="CK595" s="4">
        <f>1/Base[[#This Row],['[Prod']'[Turnover']DMC_initiale]]</f>
        <v>9.0909090909090912E-2</v>
      </c>
      <c r="CL595" s="4">
        <f>1/Base[[#This Row],['[Prod']'[Turnover']DMC_finale]]</f>
        <v>9.030938250246795E-2</v>
      </c>
    </row>
    <row r="596" spans="2:90" x14ac:dyDescent="0.25">
      <c r="B596" s="4" t="s">
        <v>318</v>
      </c>
      <c r="C596">
        <v>30</v>
      </c>
      <c r="D596" t="s">
        <v>85</v>
      </c>
      <c r="E596" t="s">
        <v>10</v>
      </c>
      <c r="F596" s="3">
        <v>0.24945438803882591</v>
      </c>
      <c r="G596" s="3">
        <v>0.17849999999999999</v>
      </c>
      <c r="H596" s="3">
        <v>8.4823104693140794E-4</v>
      </c>
      <c r="I596" s="3">
        <v>0</v>
      </c>
      <c r="J596" s="3">
        <v>1.82</v>
      </c>
      <c r="K596" s="3">
        <v>7.0000000000000007E-2</v>
      </c>
      <c r="L596" s="2">
        <f>Base[[#This Row],[Coût]]*Base[[#This Row],[Part_ménages_dépenses_santé]]</f>
        <v>0.12740000000000001</v>
      </c>
      <c r="M596" s="2">
        <v>0.82690611956969029</v>
      </c>
      <c r="N596" s="6">
        <v>27700000</v>
      </c>
      <c r="O596" s="7">
        <f>Base[[#This Row],[Coût_salarié]]*10^9*Base[[#This Row],[Risque]]*Base[[#This Row],[Prévalence]]*Base[[#This Row],[Part_coûts_salarié]]/Base[[#This Row],[Population_emploi]]</f>
        <v>0.16934611316761322</v>
      </c>
      <c r="P596">
        <v>50</v>
      </c>
      <c r="Q596">
        <v>50</v>
      </c>
      <c r="R596" s="2">
        <v>9.9999999999999978E-2</v>
      </c>
      <c r="S596" s="2">
        <v>0.33340000000000003</v>
      </c>
      <c r="T596" s="4">
        <v>8.4823104693140805E-4</v>
      </c>
      <c r="U596" s="4">
        <f>IF(Bases_annexes!$F$5=0,16.6587111018772,0.77*Bases_annexes!$F$5/(IF(OR(ISBLANK('Données_d''entrée'!$E$44),'Données_d''entrée'!$E$44=0),35,'Données_d''entrée'!$E$44)*52))</f>
        <v>16.658711101877199</v>
      </c>
      <c r="V596" s="4">
        <v>20.125</v>
      </c>
      <c r="W59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6" s="4">
        <v>234.5</v>
      </c>
      <c r="Y596" s="4">
        <f>(Base[[#This Row],['[Maladies']Coûts_évités_par_salarié]]+Base[[#This Row],['[Travail']Coûts_évités_par_salarié]])/Base[[#This Row],[Budget_santé_salarié]]</f>
        <v>1.2180116304197847E-3</v>
      </c>
      <c r="Z596" s="4">
        <v>0.8</v>
      </c>
      <c r="AA596" s="4">
        <f>Base[[#This Row],[Coût]]*Base[[#This Row],[Part_société_dépenses_santé]]</f>
        <v>1.4560000000000002</v>
      </c>
      <c r="AB596" s="4">
        <v>67635124</v>
      </c>
      <c r="AC596" s="4">
        <v>82.297079063317852</v>
      </c>
      <c r="AD596" s="4">
        <v>8.4823104693140805E-4</v>
      </c>
      <c r="AE596" s="4">
        <f>Base[[#This Row],['[SC']Prévalence_travail]]*Base[[#This Row],[Population_emploi]]</f>
        <v>23496.000000000004</v>
      </c>
      <c r="AF596" s="4">
        <f>Base[[#This Row],[Risque]]*Base[[#This Row],['[SC']Patients_en_emploi]]</f>
        <v>5861.1803013602548</v>
      </c>
      <c r="AG596" s="4">
        <v>0</v>
      </c>
      <c r="AH596" s="4">
        <f>IFERROR(Base[[#This Row],['[SC']Prestations]]/Base[[#This Row],['[SC']Patients_en_emploi]],0)</f>
        <v>0</v>
      </c>
      <c r="AI596" s="4">
        <v>51.7</v>
      </c>
      <c r="AJ59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6" s="4">
        <f>Base[[#This Row],['[SC']'[Travail']Coûts_évités]]/Base[[#This Row],[Population_emploi]]</f>
        <v>0.18733823987592307</v>
      </c>
      <c r="AL596" s="4">
        <f>Base[[#This Row],[Coût_société]]*10^9*Base[[#This Row],[Risque]]*Base[[#This Row],[Prévalence]]*Base[[#This Row],[Part_coûts_salarié]]/Base[[#This Row],[Population_emploi]]</f>
        <v>1.9353841504870084</v>
      </c>
      <c r="AM596" s="4">
        <f>IF(Base[[#This Row],[Pathologie]]&lt;&gt;"Dépendance",0,14909.24243952)</f>
        <v>0</v>
      </c>
      <c r="AN596" s="4">
        <f>IF(Base[[#This Row],[Pathologie]]&lt;&gt;"Dépendance",0,1316000)</f>
        <v>0</v>
      </c>
      <c r="AO596" s="4">
        <f>IF(Base[[#This Row],[Pathologie]]&lt;&gt;"Dépendance",0,Base[[#This Row],['[SC']Coût_personne_dépendante]]*Base[[#This Row],['[SC']Nb_personnes_dépendantes]])</f>
        <v>0</v>
      </c>
      <c r="AP596" s="4">
        <f>IF(Base[[#This Row],[Pathologie]]&lt;&gt;"Dépendance",0,Base[[#This Row],['[SC']Coût_total_dépendance]]/Base[[#This Row],[Population_totale]])</f>
        <v>0</v>
      </c>
      <c r="AQ596" s="4">
        <f>IF(Base[[#This Row],[Pathologie]]&lt;&gt;"Dépendance",0,4.5)</f>
        <v>0</v>
      </c>
      <c r="AR596" s="4">
        <v>1.0077957276768601</v>
      </c>
      <c r="AS596" s="4">
        <f>Base[[#This Row],[Espérance_vie]]+Base[[#This Row],['[SC']Hausse_esp_de_vie]]-Base[[#This Row],['[SC']Durée_moyenne_dépendance_avt]]+Base[[#This Row],[Risque]]</f>
        <v>83.554329179033545</v>
      </c>
      <c r="AT59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6" s="4">
        <v>62.9</v>
      </c>
      <c r="AW596" s="4">
        <f t="shared" si="19"/>
        <v>336905600000</v>
      </c>
      <c r="AX596" s="4">
        <v>15049171</v>
      </c>
      <c r="AY596" s="4">
        <f>Base[[#This Row],['[SC']Budget_total_retraites]]/Base[[#This Row],['[SC']Nombre_de_retraités]]</f>
        <v>22386.987296509556</v>
      </c>
      <c r="AZ596" s="4">
        <f>Base[[#This Row],['[SC']Budget_par_retraité]]*Base[[#This Row],['[SC']Nb_personnes_dépendantes]]</f>
        <v>0</v>
      </c>
      <c r="BA596" s="4">
        <f>Base[[#This Row],['[SC']'[Dépendance']Coût_retraite_personnes_dépendantes]]/Base[[#This Row],[Population_totale]]</f>
        <v>0</v>
      </c>
      <c r="BB59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6" s="4">
        <f>Base[[#This Row],['[SC']'[Dépendance']Gains]]-Base[[#This Row],['[SC']'[Dépendance']Coûts]]</f>
        <v>0</v>
      </c>
      <c r="BD596" s="4">
        <f>IF(Base[[#This Row],[Pathologie]]&lt;&gt;"Mort prématurée",0,Base[[#This Row],[Risque]]*Base[[#This Row],[Prévalence]]*Base[[#This Row],[Population_totale]])</f>
        <v>0</v>
      </c>
      <c r="BE596" s="4">
        <v>52.74</v>
      </c>
      <c r="BF596" s="4">
        <f>Base[[#This Row],['[SC']Âge_moyen_retraite]]-Base[[#This Row],['[SC']'[Mort_prématurée']Âge_moyen_mort précoce]]</f>
        <v>10.159999999999997</v>
      </c>
      <c r="BG596" s="4">
        <f>Base[[#This Row],[Espérance_vie]]+Base[[#This Row],['[SC']Hausse_esp_de_vie]]-Base[[#This Row],['[SC']Âge_moyen_retraite]]</f>
        <v>20.404874790994718</v>
      </c>
      <c r="BH596" s="4">
        <v>106583.42676924677</v>
      </c>
      <c r="BI596" s="4">
        <v>97601.789429271477</v>
      </c>
      <c r="BJ596" s="4">
        <v>302038.31496633729</v>
      </c>
      <c r="BK596" s="4">
        <v>117293.58934859755</v>
      </c>
      <c r="BL596" s="4">
        <v>1523999.9999999995</v>
      </c>
      <c r="BM59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6" s="4">
        <v>294804.96027377353</v>
      </c>
      <c r="BO59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6" s="4">
        <f>(Base[[#This Row],['[SC']'[Mort_prématurée']Gains]]-Base[[#This Row],['[SC']'[Mort_prématurée']Coûts]])/Base[[#This Row],[Population_totale]]</f>
        <v>0</v>
      </c>
      <c r="BQ596" s="4">
        <f>IF(Base[[#This Row],[Pathologie]]&lt;&gt;"Mort prématurée",0,Base[[#This Row],[Risque]])</f>
        <v>0</v>
      </c>
      <c r="BR596" s="4">
        <v>2680</v>
      </c>
      <c r="BS59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6" s="4">
        <f>Base[[#This Row],[Prévalence_prod]]*(1-Base[[#This Row],[Risque]])*Base[[#This Row],[Durée_arrêt]]*Base[[#This Row],[Population_emploi]]</f>
        <v>354900.74643512495</v>
      </c>
      <c r="BV596" s="4">
        <f>Base[[#This Row],['[Prod']'[Absentéisme']Total_jours_absence_avant]]-Base[[#This Row],['[Prod']'[Absentéisme']Total_jours_absence_après]]</f>
        <v>117956.25356487499</v>
      </c>
      <c r="BW596" s="4">
        <f>IF(AND(Base[[#This Row],[Pathologie]]&lt;&gt;"Dépendance",Base[[#This Row],[Pathologie]]&lt;&gt;"Mort prématurée",Base[[#This Row],[Pathologie]]&lt;&gt;"Migraine"),0.0619,0)</f>
        <v>6.1899999999999997E-2</v>
      </c>
      <c r="BX596" s="4">
        <v>254</v>
      </c>
      <c r="BY596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6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6" s="4">
        <f>Base[[#This Row],[Prévalence_prod]]*Base[[#This Row],[Présentéisme]]*Base[[#This Row],['[Prod']Jours_ouvrés]]</f>
        <v>0</v>
      </c>
      <c r="CB596" s="4">
        <f>Base[[#This Row],[Prévalence_prod]]*(1-Base[[#This Row],[Risque]])*Base[[#This Row],[Présentéisme]]*Base[[#This Row],['[Prod']Jours_ouvrés]]</f>
        <v>0</v>
      </c>
      <c r="CC596" s="4">
        <f>Base[[#This Row],['[Prod']'[Présentéisme']Jours_avant]]-Base[[#This Row],['[Prod']'[Présentéisme']Jours_après]]</f>
        <v>0</v>
      </c>
      <c r="CD596" s="4">
        <f>Base[[#This Row],['[Prod']'[Présentéisme']Jours_gagnés]]/Base[[#This Row],['[Prod']Jours_ouvrés]]</f>
        <v>0</v>
      </c>
      <c r="CE596">
        <v>9.3428413505841454E-2</v>
      </c>
      <c r="CF596">
        <v>2.1038737314955848E-2</v>
      </c>
      <c r="CG596" s="4">
        <v>11</v>
      </c>
      <c r="CH596" s="4">
        <v>1.1688035738877327</v>
      </c>
      <c r="CI596" s="4">
        <v>9.6557438521367826E-3</v>
      </c>
      <c r="CJ596" s="4">
        <f>IF(Base[[#This Row],[Secteur]]&lt;&gt;"Moyenne",Base[[#This Row],['[Prod']'[Turnover']DMC_initiale]]*(1+Base[[#This Row],['[Prod']'[Turnover']Ecart_accidents]]*Base[[#This Row],['[Prod']Impact_motifs_turnover]]),CJ579*CI579+CJ580*CI580+CJ581*CI581+CJ582*CI582+CJ583*CI583+CJ584*CI584+CJ585*CI585+CJ586*CI586+CJ587*CI587+CJ588*CI588+CJ589*CI589+CJ590*CI590+CJ591*CI591+CJ592*CI592+CJ593*CI593+CJ594*CI594+CJ595*CI595)</f>
        <v>11.270491665001861</v>
      </c>
      <c r="CK596" s="4">
        <f>1/Base[[#This Row],['[Prod']'[Turnover']DMC_initiale]]</f>
        <v>9.0909090909090912E-2</v>
      </c>
      <c r="CL596" s="4">
        <f>1/Base[[#This Row],['[Prod']'[Turnover']DMC_finale]]</f>
        <v>8.8727273815861069E-2</v>
      </c>
    </row>
    <row r="597" spans="2:90" x14ac:dyDescent="0.25">
      <c r="B597" s="4" t="s">
        <v>319</v>
      </c>
      <c r="C597">
        <v>30</v>
      </c>
      <c r="D597" t="s">
        <v>85</v>
      </c>
      <c r="E597" t="s">
        <v>10</v>
      </c>
      <c r="F597" s="3">
        <v>0.24945438803882591</v>
      </c>
      <c r="G597" s="3">
        <v>0.17849999999999999</v>
      </c>
      <c r="H597" s="3">
        <v>8.4823104693140794E-4</v>
      </c>
      <c r="I597" s="3">
        <v>0</v>
      </c>
      <c r="J597" s="3">
        <v>1.82</v>
      </c>
      <c r="K597" s="3">
        <v>7.0000000000000007E-2</v>
      </c>
      <c r="L597" s="2">
        <f>Base[[#This Row],[Coût]]*Base[[#This Row],[Part_ménages_dépenses_santé]]</f>
        <v>0.12740000000000001</v>
      </c>
      <c r="M597" s="2">
        <v>0.82690611956969029</v>
      </c>
      <c r="N597" s="6">
        <v>27700000</v>
      </c>
      <c r="O597" s="7">
        <f>Base[[#This Row],[Coût_salarié]]*10^9*Base[[#This Row],[Risque]]*Base[[#This Row],[Prévalence]]*Base[[#This Row],[Part_coûts_salarié]]/Base[[#This Row],[Population_emploi]]</f>
        <v>0.16934611316761322</v>
      </c>
      <c r="P597">
        <v>50</v>
      </c>
      <c r="Q597">
        <v>50</v>
      </c>
      <c r="R597" s="2">
        <v>9.9999999999999978E-2</v>
      </c>
      <c r="S597" s="2">
        <v>0.33340000000000003</v>
      </c>
      <c r="T597" s="4">
        <v>8.4823104693140805E-4</v>
      </c>
      <c r="U597" s="4">
        <f>IF(Bases_annexes!$F$5=0,16.6587111018772,0.77*Bases_annexes!$F$5/(IF(OR(ISBLANK('Données_d''entrée'!$E$44),'Données_d''entrée'!$E$44=0),35,'Données_d''entrée'!$E$44)*52))</f>
        <v>16.658711101877199</v>
      </c>
      <c r="V597" s="4">
        <v>20.125</v>
      </c>
      <c r="W59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7" s="4">
        <v>234.5</v>
      </c>
      <c r="Y597" s="4">
        <f>(Base[[#This Row],['[Maladies']Coûts_évités_par_salarié]]+Base[[#This Row],['[Travail']Coûts_évités_par_salarié]])/Base[[#This Row],[Budget_santé_salarié]]</f>
        <v>1.2180116304197847E-3</v>
      </c>
      <c r="Z597" s="4">
        <v>0.8</v>
      </c>
      <c r="AA597" s="4">
        <f>Base[[#This Row],[Coût]]*Base[[#This Row],[Part_société_dépenses_santé]]</f>
        <v>1.4560000000000002</v>
      </c>
      <c r="AB597" s="4">
        <v>67635124</v>
      </c>
      <c r="AC597" s="4">
        <v>82.297079063317852</v>
      </c>
      <c r="AD597" s="4">
        <v>8.4823104693140805E-4</v>
      </c>
      <c r="AE597" s="4">
        <f>Base[[#This Row],['[SC']Prévalence_travail]]*Base[[#This Row],[Population_emploi]]</f>
        <v>23496.000000000004</v>
      </c>
      <c r="AF597" s="4">
        <f>Base[[#This Row],[Risque]]*Base[[#This Row],['[SC']Patients_en_emploi]]</f>
        <v>5861.1803013602548</v>
      </c>
      <c r="AG597" s="4">
        <v>0</v>
      </c>
      <c r="AH597" s="4">
        <f>IFERROR(Base[[#This Row],['[SC']Prestations]]/Base[[#This Row],['[SC']Patients_en_emploi]],0)</f>
        <v>0</v>
      </c>
      <c r="AI597" s="4">
        <v>51.7</v>
      </c>
      <c r="AJ59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7" s="4">
        <f>Base[[#This Row],['[SC']'[Travail']Coûts_évités]]/Base[[#This Row],[Population_emploi]]</f>
        <v>0.18733823987592307</v>
      </c>
      <c r="AL597" s="4">
        <f>Base[[#This Row],[Coût_société]]*10^9*Base[[#This Row],[Risque]]*Base[[#This Row],[Prévalence]]*Base[[#This Row],[Part_coûts_salarié]]/Base[[#This Row],[Population_emploi]]</f>
        <v>1.9353841504870084</v>
      </c>
      <c r="AM597" s="4">
        <f>IF(Base[[#This Row],[Pathologie]]&lt;&gt;"Dépendance",0,14909.24243952)</f>
        <v>0</v>
      </c>
      <c r="AN597" s="4">
        <f>IF(Base[[#This Row],[Pathologie]]&lt;&gt;"Dépendance",0,1316000)</f>
        <v>0</v>
      </c>
      <c r="AO597" s="4">
        <f>IF(Base[[#This Row],[Pathologie]]&lt;&gt;"Dépendance",0,Base[[#This Row],['[SC']Coût_personne_dépendante]]*Base[[#This Row],['[SC']Nb_personnes_dépendantes]])</f>
        <v>0</v>
      </c>
      <c r="AP597" s="4">
        <f>IF(Base[[#This Row],[Pathologie]]&lt;&gt;"Dépendance",0,Base[[#This Row],['[SC']Coût_total_dépendance]]/Base[[#This Row],[Population_totale]])</f>
        <v>0</v>
      </c>
      <c r="AQ597" s="4">
        <f>IF(Base[[#This Row],[Pathologie]]&lt;&gt;"Dépendance",0,4.5)</f>
        <v>0</v>
      </c>
      <c r="AR597" s="4">
        <v>1.0077957276768601</v>
      </c>
      <c r="AS597" s="4">
        <f>Base[[#This Row],[Espérance_vie]]+Base[[#This Row],['[SC']Hausse_esp_de_vie]]-Base[[#This Row],['[SC']Durée_moyenne_dépendance_avt]]+Base[[#This Row],[Risque]]</f>
        <v>83.554329179033545</v>
      </c>
      <c r="AT59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7" s="4">
        <v>62.9</v>
      </c>
      <c r="AW597" s="4">
        <f t="shared" si="19"/>
        <v>336905600000</v>
      </c>
      <c r="AX597" s="4">
        <v>15049171</v>
      </c>
      <c r="AY597" s="4">
        <f>Base[[#This Row],['[SC']Budget_total_retraites]]/Base[[#This Row],['[SC']Nombre_de_retraités]]</f>
        <v>22386.987296509556</v>
      </c>
      <c r="AZ597" s="4">
        <f>Base[[#This Row],['[SC']Budget_par_retraité]]*Base[[#This Row],['[SC']Nb_personnes_dépendantes]]</f>
        <v>0</v>
      </c>
      <c r="BA597" s="4">
        <f>Base[[#This Row],['[SC']'[Dépendance']Coût_retraite_personnes_dépendantes]]/Base[[#This Row],[Population_totale]]</f>
        <v>0</v>
      </c>
      <c r="BB59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7" s="4">
        <f>Base[[#This Row],['[SC']'[Dépendance']Gains]]-Base[[#This Row],['[SC']'[Dépendance']Coûts]]</f>
        <v>0</v>
      </c>
      <c r="BD597" s="4">
        <f>IF(Base[[#This Row],[Pathologie]]&lt;&gt;"Mort prématurée",0,Base[[#This Row],[Risque]]*Base[[#This Row],[Prévalence]]*Base[[#This Row],[Population_totale]])</f>
        <v>0</v>
      </c>
      <c r="BE597" s="4">
        <v>52.74</v>
      </c>
      <c r="BF597" s="4">
        <f>Base[[#This Row],['[SC']Âge_moyen_retraite]]-Base[[#This Row],['[SC']'[Mort_prématurée']Âge_moyen_mort précoce]]</f>
        <v>10.159999999999997</v>
      </c>
      <c r="BG597" s="4">
        <f>Base[[#This Row],[Espérance_vie]]+Base[[#This Row],['[SC']Hausse_esp_de_vie]]-Base[[#This Row],['[SC']Âge_moyen_retraite]]</f>
        <v>20.404874790994718</v>
      </c>
      <c r="BH597" s="4">
        <v>106583.42676924677</v>
      </c>
      <c r="BI597" s="4">
        <v>97601.789429271477</v>
      </c>
      <c r="BJ597" s="4">
        <v>302038.31496633729</v>
      </c>
      <c r="BK597" s="4">
        <v>117293.58934859755</v>
      </c>
      <c r="BL597" s="4">
        <v>1523999.9999999995</v>
      </c>
      <c r="BM59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7" s="4">
        <v>294804.96027377353</v>
      </c>
      <c r="BO59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7" s="4">
        <f>(Base[[#This Row],['[SC']'[Mort_prématurée']Gains]]-Base[[#This Row],['[SC']'[Mort_prématurée']Coûts]])/Base[[#This Row],[Population_totale]]</f>
        <v>0</v>
      </c>
      <c r="BQ597" s="4">
        <f>IF(Base[[#This Row],[Pathologie]]&lt;&gt;"Mort prématurée",0,Base[[#This Row],[Risque]])</f>
        <v>0</v>
      </c>
      <c r="BR597" s="4">
        <v>2680</v>
      </c>
      <c r="BS59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7" s="4">
        <f>Base[[#This Row],[Prévalence_prod]]*(1-Base[[#This Row],[Risque]])*Base[[#This Row],[Durée_arrêt]]*Base[[#This Row],[Population_emploi]]</f>
        <v>354900.74643512495</v>
      </c>
      <c r="BV597" s="4">
        <f>Base[[#This Row],['[Prod']'[Absentéisme']Total_jours_absence_avant]]-Base[[#This Row],['[Prod']'[Absentéisme']Total_jours_absence_après]]</f>
        <v>117956.25356487499</v>
      </c>
      <c r="BW597" s="4">
        <f>IF(AND(Base[[#This Row],[Pathologie]]&lt;&gt;"Dépendance",Base[[#This Row],[Pathologie]]&lt;&gt;"Mort prématurée",Base[[#This Row],[Pathologie]]&lt;&gt;"Migraine"),0.0619,0)</f>
        <v>6.1899999999999997E-2</v>
      </c>
      <c r="BX597" s="4">
        <v>254</v>
      </c>
      <c r="BY59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7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7" s="4">
        <f>Base[[#This Row],[Prévalence_prod]]*Base[[#This Row],[Présentéisme]]*Base[[#This Row],['[Prod']Jours_ouvrés]]</f>
        <v>0</v>
      </c>
      <c r="CB597" s="4">
        <f>Base[[#This Row],[Prévalence_prod]]*(1-Base[[#This Row],[Risque]])*Base[[#This Row],[Présentéisme]]*Base[[#This Row],['[Prod']Jours_ouvrés]]</f>
        <v>0</v>
      </c>
      <c r="CC597" s="4">
        <f>Base[[#This Row],['[Prod']'[Présentéisme']Jours_avant]]-Base[[#This Row],['[Prod']'[Présentéisme']Jours_après]]</f>
        <v>0</v>
      </c>
      <c r="CD597" s="4">
        <f>Base[[#This Row],['[Prod']'[Présentéisme']Jours_gagnés]]/Base[[#This Row],['[Prod']Jours_ouvrés]]</f>
        <v>0</v>
      </c>
      <c r="CE597">
        <v>9.3428413505841454E-2</v>
      </c>
      <c r="CF597">
        <v>2.1038737314955848E-2</v>
      </c>
      <c r="CG597" s="4">
        <v>11</v>
      </c>
      <c r="CH597" s="4">
        <v>0.52204401140486179</v>
      </c>
      <c r="CI597" s="4">
        <v>1.2443904150185675E-2</v>
      </c>
      <c r="CJ597" s="4">
        <f>IF(Base[[#This Row],[Secteur]]&lt;&gt;"Moyenne",Base[[#This Row],['[Prod']'[Turnover']DMC_initiale]]*(1+Base[[#This Row],['[Prod']'[Turnover']Ecart_accidents]]*Base[[#This Row],['[Prod']Impact_motifs_turnover]]),CJ580*CI580+CJ581*CI581+CJ582*CI582+CJ583*CI583+CJ584*CI584+CJ585*CI585+CJ586*CI586+CJ587*CI587+CJ588*CI588+CJ589*CI589+CJ590*CI590+CJ591*CI591+CJ592*CI592+CJ593*CI593+CJ594*CI594+CJ595*CI595+CJ596*CI596)</f>
        <v>11.120814615050721</v>
      </c>
      <c r="CK597" s="4">
        <f>1/Base[[#This Row],['[Prod']'[Turnover']DMC_initiale]]</f>
        <v>9.0909090909090912E-2</v>
      </c>
      <c r="CL597" s="4">
        <f>1/Base[[#This Row],['[Prod']'[Turnover']DMC_finale]]</f>
        <v>8.9921470199369843E-2</v>
      </c>
    </row>
    <row r="598" spans="2:90" x14ac:dyDescent="0.25">
      <c r="B598" s="4" t="s">
        <v>320</v>
      </c>
      <c r="C598">
        <v>30</v>
      </c>
      <c r="D598" t="s">
        <v>85</v>
      </c>
      <c r="E598" t="s">
        <v>10</v>
      </c>
      <c r="F598" s="3">
        <v>0.24945438803882591</v>
      </c>
      <c r="G598" s="3">
        <v>0.17849999999999999</v>
      </c>
      <c r="H598" s="3">
        <v>8.4823104693140794E-4</v>
      </c>
      <c r="I598" s="3">
        <v>0</v>
      </c>
      <c r="J598" s="3">
        <v>1.82</v>
      </c>
      <c r="K598" s="3">
        <v>7.0000000000000007E-2</v>
      </c>
      <c r="L598" s="2">
        <f>Base[[#This Row],[Coût]]*Base[[#This Row],[Part_ménages_dépenses_santé]]</f>
        <v>0.12740000000000001</v>
      </c>
      <c r="M598" s="2">
        <v>0.82690611956969029</v>
      </c>
      <c r="N598" s="6">
        <v>27700000</v>
      </c>
      <c r="O598" s="7">
        <f>Base[[#This Row],[Coût_salarié]]*10^9*Base[[#This Row],[Risque]]*Base[[#This Row],[Prévalence]]*Base[[#This Row],[Part_coûts_salarié]]/Base[[#This Row],[Population_emploi]]</f>
        <v>0.16934611316761322</v>
      </c>
      <c r="P598">
        <v>50</v>
      </c>
      <c r="Q598">
        <v>50</v>
      </c>
      <c r="R598" s="2">
        <v>9.9999999999999978E-2</v>
      </c>
      <c r="S598" s="2">
        <v>0.33340000000000003</v>
      </c>
      <c r="T598" s="4">
        <v>8.4823104693140805E-4</v>
      </c>
      <c r="U598" s="4">
        <f>IF(Bases_annexes!$F$5=0,16.6587111018772,0.77*Bases_annexes!$F$5/(IF(OR(ISBLANK('Données_d''entrée'!$E$44),'Données_d''entrée'!$E$44=0),35,'Données_d''entrée'!$E$44)*52))</f>
        <v>16.658711101877199</v>
      </c>
      <c r="V598" s="4">
        <v>20.125</v>
      </c>
      <c r="W59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8" s="4">
        <v>234.5</v>
      </c>
      <c r="Y598" s="4">
        <f>(Base[[#This Row],['[Maladies']Coûts_évités_par_salarié]]+Base[[#This Row],['[Travail']Coûts_évités_par_salarié]])/Base[[#This Row],[Budget_santé_salarié]]</f>
        <v>1.2180116304197847E-3</v>
      </c>
      <c r="Z598" s="4">
        <v>0.8</v>
      </c>
      <c r="AA598" s="4">
        <f>Base[[#This Row],[Coût]]*Base[[#This Row],[Part_société_dépenses_santé]]</f>
        <v>1.4560000000000002</v>
      </c>
      <c r="AB598" s="4">
        <v>67635124</v>
      </c>
      <c r="AC598" s="4">
        <v>82.297079063317852</v>
      </c>
      <c r="AD598" s="4">
        <v>8.4823104693140805E-4</v>
      </c>
      <c r="AE598" s="4">
        <f>Base[[#This Row],['[SC']Prévalence_travail]]*Base[[#This Row],[Population_emploi]]</f>
        <v>23496.000000000004</v>
      </c>
      <c r="AF598" s="4">
        <f>Base[[#This Row],[Risque]]*Base[[#This Row],['[SC']Patients_en_emploi]]</f>
        <v>5861.1803013602548</v>
      </c>
      <c r="AG598" s="4">
        <v>0</v>
      </c>
      <c r="AH598" s="4">
        <f>IFERROR(Base[[#This Row],['[SC']Prestations]]/Base[[#This Row],['[SC']Patients_en_emploi]],0)</f>
        <v>0</v>
      </c>
      <c r="AI598" s="4">
        <v>51.7</v>
      </c>
      <c r="AJ59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8" s="4">
        <f>Base[[#This Row],['[SC']'[Travail']Coûts_évités]]/Base[[#This Row],[Population_emploi]]</f>
        <v>0.18733823987592307</v>
      </c>
      <c r="AL598" s="4">
        <f>Base[[#This Row],[Coût_société]]*10^9*Base[[#This Row],[Risque]]*Base[[#This Row],[Prévalence]]*Base[[#This Row],[Part_coûts_salarié]]/Base[[#This Row],[Population_emploi]]</f>
        <v>1.9353841504870084</v>
      </c>
      <c r="AM598" s="4">
        <f>IF(Base[[#This Row],[Pathologie]]&lt;&gt;"Dépendance",0,14909.24243952)</f>
        <v>0</v>
      </c>
      <c r="AN598" s="4">
        <f>IF(Base[[#This Row],[Pathologie]]&lt;&gt;"Dépendance",0,1316000)</f>
        <v>0</v>
      </c>
      <c r="AO598" s="4">
        <f>IF(Base[[#This Row],[Pathologie]]&lt;&gt;"Dépendance",0,Base[[#This Row],['[SC']Coût_personne_dépendante]]*Base[[#This Row],['[SC']Nb_personnes_dépendantes]])</f>
        <v>0</v>
      </c>
      <c r="AP598" s="4">
        <f>IF(Base[[#This Row],[Pathologie]]&lt;&gt;"Dépendance",0,Base[[#This Row],['[SC']Coût_total_dépendance]]/Base[[#This Row],[Population_totale]])</f>
        <v>0</v>
      </c>
      <c r="AQ598" s="4">
        <f>IF(Base[[#This Row],[Pathologie]]&lt;&gt;"Dépendance",0,4.5)</f>
        <v>0</v>
      </c>
      <c r="AR598" s="4">
        <v>1.0077957276768601</v>
      </c>
      <c r="AS598" s="4">
        <f>Base[[#This Row],[Espérance_vie]]+Base[[#This Row],['[SC']Hausse_esp_de_vie]]-Base[[#This Row],['[SC']Durée_moyenne_dépendance_avt]]+Base[[#This Row],[Risque]]</f>
        <v>83.554329179033545</v>
      </c>
      <c r="AT59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8" s="4">
        <v>62.9</v>
      </c>
      <c r="AW598" s="4">
        <f t="shared" si="19"/>
        <v>336905600000</v>
      </c>
      <c r="AX598" s="4">
        <v>15049171</v>
      </c>
      <c r="AY598" s="4">
        <f>Base[[#This Row],['[SC']Budget_total_retraites]]/Base[[#This Row],['[SC']Nombre_de_retraités]]</f>
        <v>22386.987296509556</v>
      </c>
      <c r="AZ598" s="4">
        <f>Base[[#This Row],['[SC']Budget_par_retraité]]*Base[[#This Row],['[SC']Nb_personnes_dépendantes]]</f>
        <v>0</v>
      </c>
      <c r="BA598" s="4">
        <f>Base[[#This Row],['[SC']'[Dépendance']Coût_retraite_personnes_dépendantes]]/Base[[#This Row],[Population_totale]]</f>
        <v>0</v>
      </c>
      <c r="BB59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8" s="4">
        <f>Base[[#This Row],['[SC']'[Dépendance']Gains]]-Base[[#This Row],['[SC']'[Dépendance']Coûts]]</f>
        <v>0</v>
      </c>
      <c r="BD598" s="4">
        <f>IF(Base[[#This Row],[Pathologie]]&lt;&gt;"Mort prématurée",0,Base[[#This Row],[Risque]]*Base[[#This Row],[Prévalence]]*Base[[#This Row],[Population_totale]])</f>
        <v>0</v>
      </c>
      <c r="BE598" s="4">
        <v>52.74</v>
      </c>
      <c r="BF598" s="4">
        <f>Base[[#This Row],['[SC']Âge_moyen_retraite]]-Base[[#This Row],['[SC']'[Mort_prématurée']Âge_moyen_mort précoce]]</f>
        <v>10.159999999999997</v>
      </c>
      <c r="BG598" s="4">
        <f>Base[[#This Row],[Espérance_vie]]+Base[[#This Row],['[SC']Hausse_esp_de_vie]]-Base[[#This Row],['[SC']Âge_moyen_retraite]]</f>
        <v>20.404874790994718</v>
      </c>
      <c r="BH598" s="4">
        <v>106583.42676924677</v>
      </c>
      <c r="BI598" s="4">
        <v>97601.789429271477</v>
      </c>
      <c r="BJ598" s="4">
        <v>302038.31496633729</v>
      </c>
      <c r="BK598" s="4">
        <v>117293.58934859755</v>
      </c>
      <c r="BL598" s="4">
        <v>1523999.9999999995</v>
      </c>
      <c r="BM59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8" s="4">
        <v>294804.96027377353</v>
      </c>
      <c r="BO59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8" s="4">
        <f>(Base[[#This Row],['[SC']'[Mort_prématurée']Gains]]-Base[[#This Row],['[SC']'[Mort_prématurée']Coûts]])/Base[[#This Row],[Population_totale]]</f>
        <v>0</v>
      </c>
      <c r="BQ598" s="4">
        <f>IF(Base[[#This Row],[Pathologie]]&lt;&gt;"Mort prématurée",0,Base[[#This Row],[Risque]])</f>
        <v>0</v>
      </c>
      <c r="BR598" s="4">
        <v>2680</v>
      </c>
      <c r="BS59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8" s="4">
        <f>Base[[#This Row],[Prévalence_prod]]*(1-Base[[#This Row],[Risque]])*Base[[#This Row],[Durée_arrêt]]*Base[[#This Row],[Population_emploi]]</f>
        <v>354900.74643512495</v>
      </c>
      <c r="BV598" s="4">
        <f>Base[[#This Row],['[Prod']'[Absentéisme']Total_jours_absence_avant]]-Base[[#This Row],['[Prod']'[Absentéisme']Total_jours_absence_après]]</f>
        <v>117956.25356487499</v>
      </c>
      <c r="BW598" s="4">
        <f>IF(AND(Base[[#This Row],[Pathologie]]&lt;&gt;"Dépendance",Base[[#This Row],[Pathologie]]&lt;&gt;"Mort prématurée",Base[[#This Row],[Pathologie]]&lt;&gt;"Migraine"),0.0619,0)</f>
        <v>6.1899999999999997E-2</v>
      </c>
      <c r="BX598" s="4">
        <v>254</v>
      </c>
      <c r="BY59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8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8" s="4">
        <f>Base[[#This Row],[Prévalence_prod]]*Base[[#This Row],[Présentéisme]]*Base[[#This Row],['[Prod']Jours_ouvrés]]</f>
        <v>0</v>
      </c>
      <c r="CB598" s="4">
        <f>Base[[#This Row],[Prévalence_prod]]*(1-Base[[#This Row],[Risque]])*Base[[#This Row],[Présentéisme]]*Base[[#This Row],['[Prod']Jours_ouvrés]]</f>
        <v>0</v>
      </c>
      <c r="CC598" s="4">
        <f>Base[[#This Row],['[Prod']'[Présentéisme']Jours_avant]]-Base[[#This Row],['[Prod']'[Présentéisme']Jours_après]]</f>
        <v>0</v>
      </c>
      <c r="CD598" s="4">
        <f>Base[[#This Row],['[Prod']'[Présentéisme']Jours_gagnés]]/Base[[#This Row],['[Prod']Jours_ouvrés]]</f>
        <v>0</v>
      </c>
      <c r="CE598">
        <v>9.3428413505841454E-2</v>
      </c>
      <c r="CF598">
        <v>2.1038737314955848E-2</v>
      </c>
      <c r="CG598" s="4">
        <v>11</v>
      </c>
      <c r="CH598" s="4">
        <v>0.49446424657188709</v>
      </c>
      <c r="CI598" s="4">
        <v>1.0795805058605798E-2</v>
      </c>
      <c r="CJ598" s="4">
        <f>IF(Base[[#This Row],[Secteur]]&lt;&gt;"Moyenne",Base[[#This Row],['[Prod']'[Turnover']DMC_initiale]]*(1+Base[[#This Row],['[Prod']'[Turnover']Ecart_accidents]]*Base[[#This Row],['[Prod']Impact_motifs_turnover]]),CJ581*CI581+CJ582*CI582+CJ583*CI583+CJ584*CI584+CJ585*CI585+CJ586*CI586+CJ587*CI587+CJ588*CI588+CJ589*CI589+CJ590*CI590+CJ591*CI591+CJ592*CI592+CJ593*CI593+CJ594*CI594+CJ595*CI595+CJ596*CI596+CJ597*CI597)</f>
        <v>11.114431937347899</v>
      </c>
      <c r="CK598" s="4">
        <f>1/Base[[#This Row],['[Prod']'[Turnover']DMC_initiale]]</f>
        <v>9.0909090909090912E-2</v>
      </c>
      <c r="CL598" s="4">
        <f>1/Base[[#This Row],['[Prod']'[Turnover']DMC_finale]]</f>
        <v>8.9973109344409538E-2</v>
      </c>
    </row>
    <row r="599" spans="2:90" x14ac:dyDescent="0.25">
      <c r="B599" s="4" t="s">
        <v>321</v>
      </c>
      <c r="C599">
        <v>30</v>
      </c>
      <c r="D599" t="s">
        <v>85</v>
      </c>
      <c r="E599" t="s">
        <v>10</v>
      </c>
      <c r="F599" s="3">
        <v>0.24945438803882591</v>
      </c>
      <c r="G599" s="3">
        <v>0.17849999999999999</v>
      </c>
      <c r="H599" s="3">
        <v>8.4823104693140794E-4</v>
      </c>
      <c r="I599" s="3">
        <v>0</v>
      </c>
      <c r="J599" s="3">
        <v>1.82</v>
      </c>
      <c r="K599" s="3">
        <v>7.0000000000000007E-2</v>
      </c>
      <c r="L599" s="2">
        <f>Base[[#This Row],[Coût]]*Base[[#This Row],[Part_ménages_dépenses_santé]]</f>
        <v>0.12740000000000001</v>
      </c>
      <c r="M599" s="2">
        <v>0.82690611956969029</v>
      </c>
      <c r="N599" s="6">
        <v>27700000</v>
      </c>
      <c r="O599" s="7">
        <f>Base[[#This Row],[Coût_salarié]]*10^9*Base[[#This Row],[Risque]]*Base[[#This Row],[Prévalence]]*Base[[#This Row],[Part_coûts_salarié]]/Base[[#This Row],[Population_emploi]]</f>
        <v>0.16934611316761322</v>
      </c>
      <c r="P599">
        <v>50</v>
      </c>
      <c r="Q599">
        <v>50</v>
      </c>
      <c r="R599" s="2">
        <v>9.9999999999999978E-2</v>
      </c>
      <c r="S599" s="2">
        <v>0.33340000000000003</v>
      </c>
      <c r="T599" s="4">
        <v>8.4823104693140805E-4</v>
      </c>
      <c r="U599" s="4">
        <f>IF(Bases_annexes!$F$5=0,16.6587111018772,0.77*Bases_annexes!$F$5/(IF(OR(ISBLANK('Données_d''entrée'!$E$44),'Données_d''entrée'!$E$44=0),35,'Données_d''entrée'!$E$44)*52))</f>
        <v>16.658711101877199</v>
      </c>
      <c r="V599" s="4">
        <v>20.125</v>
      </c>
      <c r="W59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599" s="4">
        <v>234.5</v>
      </c>
      <c r="Y599" s="4">
        <f>(Base[[#This Row],['[Maladies']Coûts_évités_par_salarié]]+Base[[#This Row],['[Travail']Coûts_évités_par_salarié]])/Base[[#This Row],[Budget_santé_salarié]]</f>
        <v>1.2180116304197847E-3</v>
      </c>
      <c r="Z599" s="4">
        <v>0.8</v>
      </c>
      <c r="AA599" s="4">
        <f>Base[[#This Row],[Coût]]*Base[[#This Row],[Part_société_dépenses_santé]]</f>
        <v>1.4560000000000002</v>
      </c>
      <c r="AB599" s="4">
        <v>67635124</v>
      </c>
      <c r="AC599" s="4">
        <v>82.297079063317852</v>
      </c>
      <c r="AD599" s="4">
        <v>8.4823104693140805E-4</v>
      </c>
      <c r="AE599" s="4">
        <f>Base[[#This Row],['[SC']Prévalence_travail]]*Base[[#This Row],[Population_emploi]]</f>
        <v>23496.000000000004</v>
      </c>
      <c r="AF599" s="4">
        <f>Base[[#This Row],[Risque]]*Base[[#This Row],['[SC']Patients_en_emploi]]</f>
        <v>5861.1803013602548</v>
      </c>
      <c r="AG599" s="4">
        <v>0</v>
      </c>
      <c r="AH599" s="4">
        <f>IFERROR(Base[[#This Row],['[SC']Prestations]]/Base[[#This Row],['[SC']Patients_en_emploi]],0)</f>
        <v>0</v>
      </c>
      <c r="AI599" s="4">
        <v>51.7</v>
      </c>
      <c r="AJ59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599" s="4">
        <f>Base[[#This Row],['[SC']'[Travail']Coûts_évités]]/Base[[#This Row],[Population_emploi]]</f>
        <v>0.18733823987592307</v>
      </c>
      <c r="AL599" s="4">
        <f>Base[[#This Row],[Coût_société]]*10^9*Base[[#This Row],[Risque]]*Base[[#This Row],[Prévalence]]*Base[[#This Row],[Part_coûts_salarié]]/Base[[#This Row],[Population_emploi]]</f>
        <v>1.9353841504870084</v>
      </c>
      <c r="AM599" s="4">
        <f>IF(Base[[#This Row],[Pathologie]]&lt;&gt;"Dépendance",0,14909.24243952)</f>
        <v>0</v>
      </c>
      <c r="AN599" s="4">
        <f>IF(Base[[#This Row],[Pathologie]]&lt;&gt;"Dépendance",0,1316000)</f>
        <v>0</v>
      </c>
      <c r="AO599" s="4">
        <f>IF(Base[[#This Row],[Pathologie]]&lt;&gt;"Dépendance",0,Base[[#This Row],['[SC']Coût_personne_dépendante]]*Base[[#This Row],['[SC']Nb_personnes_dépendantes]])</f>
        <v>0</v>
      </c>
      <c r="AP599" s="4">
        <f>IF(Base[[#This Row],[Pathologie]]&lt;&gt;"Dépendance",0,Base[[#This Row],['[SC']Coût_total_dépendance]]/Base[[#This Row],[Population_totale]])</f>
        <v>0</v>
      </c>
      <c r="AQ599" s="4">
        <f>IF(Base[[#This Row],[Pathologie]]&lt;&gt;"Dépendance",0,4.5)</f>
        <v>0</v>
      </c>
      <c r="AR599" s="4">
        <v>1.0077957276768601</v>
      </c>
      <c r="AS599" s="4">
        <f>Base[[#This Row],[Espérance_vie]]+Base[[#This Row],['[SC']Hausse_esp_de_vie]]-Base[[#This Row],['[SC']Durée_moyenne_dépendance_avt]]+Base[[#This Row],[Risque]]</f>
        <v>83.554329179033545</v>
      </c>
      <c r="AT59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59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599" s="4">
        <v>62.9</v>
      </c>
      <c r="AW599" s="4">
        <f t="shared" si="19"/>
        <v>336905600000</v>
      </c>
      <c r="AX599" s="4">
        <v>15049171</v>
      </c>
      <c r="AY599" s="4">
        <f>Base[[#This Row],['[SC']Budget_total_retraites]]/Base[[#This Row],['[SC']Nombre_de_retraités]]</f>
        <v>22386.987296509556</v>
      </c>
      <c r="AZ599" s="4">
        <f>Base[[#This Row],['[SC']Budget_par_retraité]]*Base[[#This Row],['[SC']Nb_personnes_dépendantes]]</f>
        <v>0</v>
      </c>
      <c r="BA599" s="4">
        <f>Base[[#This Row],['[SC']'[Dépendance']Coût_retraite_personnes_dépendantes]]/Base[[#This Row],[Population_totale]]</f>
        <v>0</v>
      </c>
      <c r="BB59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599" s="4">
        <f>Base[[#This Row],['[SC']'[Dépendance']Gains]]-Base[[#This Row],['[SC']'[Dépendance']Coûts]]</f>
        <v>0</v>
      </c>
      <c r="BD599" s="4">
        <f>IF(Base[[#This Row],[Pathologie]]&lt;&gt;"Mort prématurée",0,Base[[#This Row],[Risque]]*Base[[#This Row],[Prévalence]]*Base[[#This Row],[Population_totale]])</f>
        <v>0</v>
      </c>
      <c r="BE599" s="4">
        <v>52.74</v>
      </c>
      <c r="BF599" s="4">
        <f>Base[[#This Row],['[SC']Âge_moyen_retraite]]-Base[[#This Row],['[SC']'[Mort_prématurée']Âge_moyen_mort précoce]]</f>
        <v>10.159999999999997</v>
      </c>
      <c r="BG599" s="4">
        <f>Base[[#This Row],[Espérance_vie]]+Base[[#This Row],['[SC']Hausse_esp_de_vie]]-Base[[#This Row],['[SC']Âge_moyen_retraite]]</f>
        <v>20.404874790994718</v>
      </c>
      <c r="BH599" s="4">
        <v>106583.42676924677</v>
      </c>
      <c r="BI599" s="4">
        <v>97601.789429271477</v>
      </c>
      <c r="BJ599" s="4">
        <v>302038.31496633729</v>
      </c>
      <c r="BK599" s="4">
        <v>117293.58934859755</v>
      </c>
      <c r="BL599" s="4">
        <v>1523999.9999999995</v>
      </c>
      <c r="BM59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599" s="4">
        <v>294804.96027377353</v>
      </c>
      <c r="BO59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599" s="4">
        <f>(Base[[#This Row],['[SC']'[Mort_prématurée']Gains]]-Base[[#This Row],['[SC']'[Mort_prématurée']Coûts]])/Base[[#This Row],[Population_totale]]</f>
        <v>0</v>
      </c>
      <c r="BQ599" s="4">
        <f>IF(Base[[#This Row],[Pathologie]]&lt;&gt;"Mort prématurée",0,Base[[#This Row],[Risque]])</f>
        <v>0</v>
      </c>
      <c r="BR599" s="4">
        <v>2680</v>
      </c>
      <c r="BS59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59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599" s="4">
        <f>Base[[#This Row],[Prévalence_prod]]*(1-Base[[#This Row],[Risque]])*Base[[#This Row],[Durée_arrêt]]*Base[[#This Row],[Population_emploi]]</f>
        <v>354900.74643512495</v>
      </c>
      <c r="BV599" s="4">
        <f>Base[[#This Row],['[Prod']'[Absentéisme']Total_jours_absence_avant]]-Base[[#This Row],['[Prod']'[Absentéisme']Total_jours_absence_après]]</f>
        <v>117956.25356487499</v>
      </c>
      <c r="BW599" s="4">
        <f>IF(AND(Base[[#This Row],[Pathologie]]&lt;&gt;"Dépendance",Base[[#This Row],[Pathologie]]&lt;&gt;"Mort prématurée",Base[[#This Row],[Pathologie]]&lt;&gt;"Migraine"),0.0619,0)</f>
        <v>6.1899999999999997E-2</v>
      </c>
      <c r="BX599" s="4">
        <v>254</v>
      </c>
      <c r="BY599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599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599" s="4">
        <f>Base[[#This Row],[Prévalence_prod]]*Base[[#This Row],[Présentéisme]]*Base[[#This Row],['[Prod']Jours_ouvrés]]</f>
        <v>0</v>
      </c>
      <c r="CB599" s="4">
        <f>Base[[#This Row],[Prévalence_prod]]*(1-Base[[#This Row],[Risque]])*Base[[#This Row],[Présentéisme]]*Base[[#This Row],['[Prod']Jours_ouvrés]]</f>
        <v>0</v>
      </c>
      <c r="CC599" s="4">
        <f>Base[[#This Row],['[Prod']'[Présentéisme']Jours_avant]]-Base[[#This Row],['[Prod']'[Présentéisme']Jours_après]]</f>
        <v>0</v>
      </c>
      <c r="CD599" s="4">
        <f>Base[[#This Row],['[Prod']'[Présentéisme']Jours_gagnés]]/Base[[#This Row],['[Prod']Jours_ouvrés]]</f>
        <v>0</v>
      </c>
      <c r="CE599">
        <v>9.3428413505841454E-2</v>
      </c>
      <c r="CF599">
        <v>2.1038737314955848E-2</v>
      </c>
      <c r="CG599" s="4">
        <v>11</v>
      </c>
      <c r="CH599" s="4">
        <v>0.85274500894619554</v>
      </c>
      <c r="CI599" s="4">
        <v>4.2903496994109176E-2</v>
      </c>
      <c r="CJ599" s="4">
        <f>IF(Base[[#This Row],[Secteur]]&lt;&gt;"Moyenne",Base[[#This Row],['[Prod']'[Turnover']DMC_initiale]]*(1+Base[[#This Row],['[Prod']'[Turnover']Ecart_accidents]]*Base[[#This Row],['[Prod']Impact_motifs_turnover]]),CJ582*CI582+CJ583*CI583+CJ584*CI584+CJ585*CI585+CJ586*CI586+CJ587*CI587+CJ588*CI588+CJ589*CI589+CJ590*CI590+CJ591*CI591+CJ592*CI592+CJ593*CI593+CJ594*CI594+CJ595*CI595+CJ596*CI596+CJ597*CI597+CJ598*CI598)</f>
        <v>11.197347460638447</v>
      </c>
      <c r="CK599" s="4">
        <f>1/Base[[#This Row],['[Prod']'[Turnover']DMC_initiale]]</f>
        <v>9.0909090909090912E-2</v>
      </c>
      <c r="CL599" s="4">
        <f>1/Base[[#This Row],['[Prod']'[Turnover']DMC_finale]]</f>
        <v>8.930686517635153E-2</v>
      </c>
    </row>
    <row r="600" spans="2:90" x14ac:dyDescent="0.25">
      <c r="B600" s="4" t="s">
        <v>322</v>
      </c>
      <c r="C600">
        <v>30</v>
      </c>
      <c r="D600" t="s">
        <v>85</v>
      </c>
      <c r="E600" t="s">
        <v>10</v>
      </c>
      <c r="F600" s="3">
        <v>0.24945438803882591</v>
      </c>
      <c r="G600" s="3">
        <v>0.17849999999999999</v>
      </c>
      <c r="H600" s="3">
        <v>8.4823104693140794E-4</v>
      </c>
      <c r="I600" s="3">
        <v>0</v>
      </c>
      <c r="J600" s="3">
        <v>1.82</v>
      </c>
      <c r="K600" s="3">
        <v>7.0000000000000007E-2</v>
      </c>
      <c r="L600" s="2">
        <f>Base[[#This Row],[Coût]]*Base[[#This Row],[Part_ménages_dépenses_santé]]</f>
        <v>0.12740000000000001</v>
      </c>
      <c r="M600" s="2">
        <v>0.82690611956969029</v>
      </c>
      <c r="N600" s="6">
        <v>27700000</v>
      </c>
      <c r="O600" s="7">
        <f>Base[[#This Row],[Coût_salarié]]*10^9*Base[[#This Row],[Risque]]*Base[[#This Row],[Prévalence]]*Base[[#This Row],[Part_coûts_salarié]]/Base[[#This Row],[Population_emploi]]</f>
        <v>0.16934611316761322</v>
      </c>
      <c r="P600">
        <v>50</v>
      </c>
      <c r="Q600">
        <v>50</v>
      </c>
      <c r="R600" s="2">
        <v>9.9999999999999978E-2</v>
      </c>
      <c r="S600" s="2">
        <v>0.33340000000000003</v>
      </c>
      <c r="T600" s="4">
        <v>8.4823104693140805E-4</v>
      </c>
      <c r="U600" s="4">
        <f>IF(Bases_annexes!$F$5=0,16.6587111018772,0.77*Bases_annexes!$F$5/(IF(OR(ISBLANK('Données_d''entrée'!$E$44),'Données_d''entrée'!$E$44=0),35,'Données_d''entrée'!$E$44)*52))</f>
        <v>16.658711101877199</v>
      </c>
      <c r="V600" s="4">
        <v>20.125</v>
      </c>
      <c r="W60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0" s="4">
        <v>234.5</v>
      </c>
      <c r="Y600" s="4">
        <f>(Base[[#This Row],['[Maladies']Coûts_évités_par_salarié]]+Base[[#This Row],['[Travail']Coûts_évités_par_salarié]])/Base[[#This Row],[Budget_santé_salarié]]</f>
        <v>1.2180116304197847E-3</v>
      </c>
      <c r="Z600" s="4">
        <v>0.8</v>
      </c>
      <c r="AA600" s="4">
        <f>Base[[#This Row],[Coût]]*Base[[#This Row],[Part_société_dépenses_santé]]</f>
        <v>1.4560000000000002</v>
      </c>
      <c r="AB600" s="4">
        <v>67635124</v>
      </c>
      <c r="AC600" s="4">
        <v>82.297079063317852</v>
      </c>
      <c r="AD600" s="4">
        <v>8.4823104693140805E-4</v>
      </c>
      <c r="AE600" s="4">
        <f>Base[[#This Row],['[SC']Prévalence_travail]]*Base[[#This Row],[Population_emploi]]</f>
        <v>23496.000000000004</v>
      </c>
      <c r="AF600" s="4">
        <f>Base[[#This Row],[Risque]]*Base[[#This Row],['[SC']Patients_en_emploi]]</f>
        <v>5861.1803013602548</v>
      </c>
      <c r="AG600" s="4">
        <v>0</v>
      </c>
      <c r="AH600" s="4">
        <f>IFERROR(Base[[#This Row],['[SC']Prestations]]/Base[[#This Row],['[SC']Patients_en_emploi]],0)</f>
        <v>0</v>
      </c>
      <c r="AI600" s="4">
        <v>51.7</v>
      </c>
      <c r="AJ60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0" s="4">
        <f>Base[[#This Row],['[SC']'[Travail']Coûts_évités]]/Base[[#This Row],[Population_emploi]]</f>
        <v>0.18733823987592307</v>
      </c>
      <c r="AL600" s="4">
        <f>Base[[#This Row],[Coût_société]]*10^9*Base[[#This Row],[Risque]]*Base[[#This Row],[Prévalence]]*Base[[#This Row],[Part_coûts_salarié]]/Base[[#This Row],[Population_emploi]]</f>
        <v>1.9353841504870084</v>
      </c>
      <c r="AM600" s="4">
        <f>IF(Base[[#This Row],[Pathologie]]&lt;&gt;"Dépendance",0,14909.24243952)</f>
        <v>0</v>
      </c>
      <c r="AN600" s="4">
        <f>IF(Base[[#This Row],[Pathologie]]&lt;&gt;"Dépendance",0,1316000)</f>
        <v>0</v>
      </c>
      <c r="AO600" s="4">
        <f>IF(Base[[#This Row],[Pathologie]]&lt;&gt;"Dépendance",0,Base[[#This Row],['[SC']Coût_personne_dépendante]]*Base[[#This Row],['[SC']Nb_personnes_dépendantes]])</f>
        <v>0</v>
      </c>
      <c r="AP600" s="4">
        <f>IF(Base[[#This Row],[Pathologie]]&lt;&gt;"Dépendance",0,Base[[#This Row],['[SC']Coût_total_dépendance]]/Base[[#This Row],[Population_totale]])</f>
        <v>0</v>
      </c>
      <c r="AQ600" s="4">
        <f>IF(Base[[#This Row],[Pathologie]]&lt;&gt;"Dépendance",0,4.5)</f>
        <v>0</v>
      </c>
      <c r="AR600" s="4">
        <v>1.0077957276768601</v>
      </c>
      <c r="AS600" s="4">
        <f>Base[[#This Row],[Espérance_vie]]+Base[[#This Row],['[SC']Hausse_esp_de_vie]]-Base[[#This Row],['[SC']Durée_moyenne_dépendance_avt]]+Base[[#This Row],[Risque]]</f>
        <v>83.554329179033545</v>
      </c>
      <c r="AT60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0" s="4">
        <v>62.9</v>
      </c>
      <c r="AW600" s="4">
        <f t="shared" si="19"/>
        <v>336905600000</v>
      </c>
      <c r="AX600" s="4">
        <v>15049171</v>
      </c>
      <c r="AY600" s="4">
        <f>Base[[#This Row],['[SC']Budget_total_retraites]]/Base[[#This Row],['[SC']Nombre_de_retraités]]</f>
        <v>22386.987296509556</v>
      </c>
      <c r="AZ600" s="4">
        <f>Base[[#This Row],['[SC']Budget_par_retraité]]*Base[[#This Row],['[SC']Nb_personnes_dépendantes]]</f>
        <v>0</v>
      </c>
      <c r="BA600" s="4">
        <f>Base[[#This Row],['[SC']'[Dépendance']Coût_retraite_personnes_dépendantes]]/Base[[#This Row],[Population_totale]]</f>
        <v>0</v>
      </c>
      <c r="BB60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0" s="4">
        <f>Base[[#This Row],['[SC']'[Dépendance']Gains]]-Base[[#This Row],['[SC']'[Dépendance']Coûts]]</f>
        <v>0</v>
      </c>
      <c r="BD600" s="4">
        <f>IF(Base[[#This Row],[Pathologie]]&lt;&gt;"Mort prématurée",0,Base[[#This Row],[Risque]]*Base[[#This Row],[Prévalence]]*Base[[#This Row],[Population_totale]])</f>
        <v>0</v>
      </c>
      <c r="BE600" s="4">
        <v>52.74</v>
      </c>
      <c r="BF600" s="4">
        <f>Base[[#This Row],['[SC']Âge_moyen_retraite]]-Base[[#This Row],['[SC']'[Mort_prématurée']Âge_moyen_mort précoce]]</f>
        <v>10.159999999999997</v>
      </c>
      <c r="BG600" s="4">
        <f>Base[[#This Row],[Espérance_vie]]+Base[[#This Row],['[SC']Hausse_esp_de_vie]]-Base[[#This Row],['[SC']Âge_moyen_retraite]]</f>
        <v>20.404874790994718</v>
      </c>
      <c r="BH600" s="4">
        <v>106583.42676924677</v>
      </c>
      <c r="BI600" s="4">
        <v>97601.789429271477</v>
      </c>
      <c r="BJ600" s="4">
        <v>302038.31496633729</v>
      </c>
      <c r="BK600" s="4">
        <v>117293.58934859755</v>
      </c>
      <c r="BL600" s="4">
        <v>1523999.9999999995</v>
      </c>
      <c r="BM60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0" s="4">
        <v>294804.96027377353</v>
      </c>
      <c r="BO60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0" s="4">
        <f>(Base[[#This Row],['[SC']'[Mort_prématurée']Gains]]-Base[[#This Row],['[SC']'[Mort_prématurée']Coûts]])/Base[[#This Row],[Population_totale]]</f>
        <v>0</v>
      </c>
      <c r="BQ600" s="4">
        <f>IF(Base[[#This Row],[Pathologie]]&lt;&gt;"Mort prématurée",0,Base[[#This Row],[Risque]])</f>
        <v>0</v>
      </c>
      <c r="BR600" s="4">
        <v>2680</v>
      </c>
      <c r="BS60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0" s="4">
        <f>Base[[#This Row],[Prévalence_prod]]*(1-Base[[#This Row],[Risque]])*Base[[#This Row],[Durée_arrêt]]*Base[[#This Row],[Population_emploi]]</f>
        <v>354900.74643512495</v>
      </c>
      <c r="BV600" s="4">
        <f>Base[[#This Row],['[Prod']'[Absentéisme']Total_jours_absence_avant]]-Base[[#This Row],['[Prod']'[Absentéisme']Total_jours_absence_après]]</f>
        <v>117956.25356487499</v>
      </c>
      <c r="BW600" s="4">
        <f>IF(AND(Base[[#This Row],[Pathologie]]&lt;&gt;"Dépendance",Base[[#This Row],[Pathologie]]&lt;&gt;"Mort prématurée",Base[[#This Row],[Pathologie]]&lt;&gt;"Migraine"),0.0619,0)</f>
        <v>6.1899999999999997E-2</v>
      </c>
      <c r="BX600" s="4">
        <v>254</v>
      </c>
      <c r="BY600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0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0" s="4">
        <f>Base[[#This Row],[Prévalence_prod]]*Base[[#This Row],[Présentéisme]]*Base[[#This Row],['[Prod']Jours_ouvrés]]</f>
        <v>0</v>
      </c>
      <c r="CB600" s="4">
        <f>Base[[#This Row],[Prévalence_prod]]*(1-Base[[#This Row],[Risque]])*Base[[#This Row],[Présentéisme]]*Base[[#This Row],['[Prod']Jours_ouvrés]]</f>
        <v>0</v>
      </c>
      <c r="CC600" s="4">
        <f>Base[[#This Row],['[Prod']'[Présentéisme']Jours_avant]]-Base[[#This Row],['[Prod']'[Présentéisme']Jours_après]]</f>
        <v>0</v>
      </c>
      <c r="CD600" s="4">
        <f>Base[[#This Row],['[Prod']'[Présentéisme']Jours_gagnés]]/Base[[#This Row],['[Prod']Jours_ouvrés]]</f>
        <v>0</v>
      </c>
      <c r="CE600">
        <v>9.3428413505841454E-2</v>
      </c>
      <c r="CF600">
        <v>2.1038737314955848E-2</v>
      </c>
      <c r="CG600" s="4">
        <v>11</v>
      </c>
      <c r="CH600" s="4">
        <v>1.6219398392978641</v>
      </c>
      <c r="CI600" s="4">
        <v>9.628527536862988E-2</v>
      </c>
      <c r="CJ600" s="4">
        <f>IF(Base[[#This Row],[Secteur]]&lt;&gt;"Moyenne",Base[[#This Row],['[Prod']'[Turnover']DMC_initiale]]*(1+Base[[#This Row],['[Prod']'[Turnover']Ecart_accidents]]*Base[[#This Row],['[Prod']Impact_motifs_turnover]]),CJ583*CI583+CJ584*CI584+CJ585*CI585+CJ586*CI586+CJ587*CI587+CJ588*CI588+CJ589*CI589+CJ590*CI590+CJ591*CI591+CJ592*CI592+CJ593*CI593+CJ594*CI594+CJ595*CI595+CJ596*CI596+CJ597*CI597+CJ598*CI598+CJ599*CI599)</f>
        <v>11.375359228416144</v>
      </c>
      <c r="CK600" s="4">
        <f>1/Base[[#This Row],['[Prod']'[Turnover']DMC_initiale]]</f>
        <v>9.0909090909090912E-2</v>
      </c>
      <c r="CL600" s="4">
        <f>1/Base[[#This Row],['[Prod']'[Turnover']DMC_finale]]</f>
        <v>8.7909311690303041E-2</v>
      </c>
    </row>
    <row r="601" spans="2:90" x14ac:dyDescent="0.25">
      <c r="B601" s="4" t="s">
        <v>323</v>
      </c>
      <c r="C601">
        <v>30</v>
      </c>
      <c r="D601" t="s">
        <v>85</v>
      </c>
      <c r="E601" t="s">
        <v>10</v>
      </c>
      <c r="F601" s="3">
        <v>0.24945438803882591</v>
      </c>
      <c r="G601" s="3">
        <v>0.17849999999999999</v>
      </c>
      <c r="H601" s="3">
        <v>8.4823104693140794E-4</v>
      </c>
      <c r="I601" s="3">
        <v>0</v>
      </c>
      <c r="J601" s="3">
        <v>1.82</v>
      </c>
      <c r="K601" s="3">
        <v>7.0000000000000007E-2</v>
      </c>
      <c r="L601" s="2">
        <f>Base[[#This Row],[Coût]]*Base[[#This Row],[Part_ménages_dépenses_santé]]</f>
        <v>0.12740000000000001</v>
      </c>
      <c r="M601" s="2">
        <v>0.82690611956969029</v>
      </c>
      <c r="N601" s="6">
        <v>27700000</v>
      </c>
      <c r="O601" s="7">
        <f>Base[[#This Row],[Coût_salarié]]*10^9*Base[[#This Row],[Risque]]*Base[[#This Row],[Prévalence]]*Base[[#This Row],[Part_coûts_salarié]]/Base[[#This Row],[Population_emploi]]</f>
        <v>0.16934611316761322</v>
      </c>
      <c r="P601">
        <v>50</v>
      </c>
      <c r="Q601">
        <v>50</v>
      </c>
      <c r="R601" s="2">
        <v>9.9999999999999978E-2</v>
      </c>
      <c r="S601" s="2">
        <v>0.33340000000000003</v>
      </c>
      <c r="T601" s="4">
        <v>8.4823104693140805E-4</v>
      </c>
      <c r="U601" s="4">
        <f>IF(Bases_annexes!$F$5=0,16.6587111018772,0.77*Bases_annexes!$F$5/(IF(OR(ISBLANK('Données_d''entrée'!$E$44),'Données_d''entrée'!$E$44=0),35,'Données_d''entrée'!$E$44)*52))</f>
        <v>16.658711101877199</v>
      </c>
      <c r="V601" s="4">
        <v>20.125</v>
      </c>
      <c r="W60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1" s="4">
        <v>234.5</v>
      </c>
      <c r="Y601" s="4">
        <f>(Base[[#This Row],['[Maladies']Coûts_évités_par_salarié]]+Base[[#This Row],['[Travail']Coûts_évités_par_salarié]])/Base[[#This Row],[Budget_santé_salarié]]</f>
        <v>1.2180116304197847E-3</v>
      </c>
      <c r="Z601" s="4">
        <v>0.8</v>
      </c>
      <c r="AA601" s="4">
        <f>Base[[#This Row],[Coût]]*Base[[#This Row],[Part_société_dépenses_santé]]</f>
        <v>1.4560000000000002</v>
      </c>
      <c r="AB601" s="4">
        <v>67635124</v>
      </c>
      <c r="AC601" s="4">
        <v>82.297079063317852</v>
      </c>
      <c r="AD601" s="4">
        <v>8.4823104693140805E-4</v>
      </c>
      <c r="AE601" s="4">
        <f>Base[[#This Row],['[SC']Prévalence_travail]]*Base[[#This Row],[Population_emploi]]</f>
        <v>23496.000000000004</v>
      </c>
      <c r="AF601" s="4">
        <f>Base[[#This Row],[Risque]]*Base[[#This Row],['[SC']Patients_en_emploi]]</f>
        <v>5861.1803013602548</v>
      </c>
      <c r="AG601" s="4">
        <v>0</v>
      </c>
      <c r="AH601" s="4">
        <f>IFERROR(Base[[#This Row],['[SC']Prestations]]/Base[[#This Row],['[SC']Patients_en_emploi]],0)</f>
        <v>0</v>
      </c>
      <c r="AI601" s="4">
        <v>51.7</v>
      </c>
      <c r="AJ60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1" s="4">
        <f>Base[[#This Row],['[SC']'[Travail']Coûts_évités]]/Base[[#This Row],[Population_emploi]]</f>
        <v>0.18733823987592307</v>
      </c>
      <c r="AL601" s="4">
        <f>Base[[#This Row],[Coût_société]]*10^9*Base[[#This Row],[Risque]]*Base[[#This Row],[Prévalence]]*Base[[#This Row],[Part_coûts_salarié]]/Base[[#This Row],[Population_emploi]]</f>
        <v>1.9353841504870084</v>
      </c>
      <c r="AM601" s="4">
        <f>IF(Base[[#This Row],[Pathologie]]&lt;&gt;"Dépendance",0,14909.24243952)</f>
        <v>0</v>
      </c>
      <c r="AN601" s="4">
        <f>IF(Base[[#This Row],[Pathologie]]&lt;&gt;"Dépendance",0,1316000)</f>
        <v>0</v>
      </c>
      <c r="AO601" s="4">
        <f>IF(Base[[#This Row],[Pathologie]]&lt;&gt;"Dépendance",0,Base[[#This Row],['[SC']Coût_personne_dépendante]]*Base[[#This Row],['[SC']Nb_personnes_dépendantes]])</f>
        <v>0</v>
      </c>
      <c r="AP601" s="4">
        <f>IF(Base[[#This Row],[Pathologie]]&lt;&gt;"Dépendance",0,Base[[#This Row],['[SC']Coût_total_dépendance]]/Base[[#This Row],[Population_totale]])</f>
        <v>0</v>
      </c>
      <c r="AQ601" s="4">
        <f>IF(Base[[#This Row],[Pathologie]]&lt;&gt;"Dépendance",0,4.5)</f>
        <v>0</v>
      </c>
      <c r="AR601" s="4">
        <v>1.0077957276768601</v>
      </c>
      <c r="AS601" s="4">
        <f>Base[[#This Row],[Espérance_vie]]+Base[[#This Row],['[SC']Hausse_esp_de_vie]]-Base[[#This Row],['[SC']Durée_moyenne_dépendance_avt]]+Base[[#This Row],[Risque]]</f>
        <v>83.554329179033545</v>
      </c>
      <c r="AT60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1" s="4">
        <v>62.9</v>
      </c>
      <c r="AW601" s="4">
        <f t="shared" si="19"/>
        <v>336905600000</v>
      </c>
      <c r="AX601" s="4">
        <v>15049171</v>
      </c>
      <c r="AY601" s="4">
        <f>Base[[#This Row],['[SC']Budget_total_retraites]]/Base[[#This Row],['[SC']Nombre_de_retraités]]</f>
        <v>22386.987296509556</v>
      </c>
      <c r="AZ601" s="4">
        <f>Base[[#This Row],['[SC']Budget_par_retraité]]*Base[[#This Row],['[SC']Nb_personnes_dépendantes]]</f>
        <v>0</v>
      </c>
      <c r="BA601" s="4">
        <f>Base[[#This Row],['[SC']'[Dépendance']Coût_retraite_personnes_dépendantes]]/Base[[#This Row],[Population_totale]]</f>
        <v>0</v>
      </c>
      <c r="BB60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1" s="4">
        <f>Base[[#This Row],['[SC']'[Dépendance']Gains]]-Base[[#This Row],['[SC']'[Dépendance']Coûts]]</f>
        <v>0</v>
      </c>
      <c r="BD601" s="4">
        <f>IF(Base[[#This Row],[Pathologie]]&lt;&gt;"Mort prématurée",0,Base[[#This Row],[Risque]]*Base[[#This Row],[Prévalence]]*Base[[#This Row],[Population_totale]])</f>
        <v>0</v>
      </c>
      <c r="BE601" s="4">
        <v>52.74</v>
      </c>
      <c r="BF601" s="4">
        <f>Base[[#This Row],['[SC']Âge_moyen_retraite]]-Base[[#This Row],['[SC']'[Mort_prématurée']Âge_moyen_mort précoce]]</f>
        <v>10.159999999999997</v>
      </c>
      <c r="BG601" s="4">
        <f>Base[[#This Row],[Espérance_vie]]+Base[[#This Row],['[SC']Hausse_esp_de_vie]]-Base[[#This Row],['[SC']Âge_moyen_retraite]]</f>
        <v>20.404874790994718</v>
      </c>
      <c r="BH601" s="4">
        <v>106583.42676924677</v>
      </c>
      <c r="BI601" s="4">
        <v>97601.789429271477</v>
      </c>
      <c r="BJ601" s="4">
        <v>302038.31496633729</v>
      </c>
      <c r="BK601" s="4">
        <v>117293.58934859755</v>
      </c>
      <c r="BL601" s="4">
        <v>1523999.9999999995</v>
      </c>
      <c r="BM60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1" s="4">
        <v>294804.96027377353</v>
      </c>
      <c r="BO60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1" s="4">
        <f>(Base[[#This Row],['[SC']'[Mort_prématurée']Gains]]-Base[[#This Row],['[SC']'[Mort_prématurée']Coûts]])/Base[[#This Row],[Population_totale]]</f>
        <v>0</v>
      </c>
      <c r="BQ601" s="4">
        <f>IF(Base[[#This Row],[Pathologie]]&lt;&gt;"Mort prématurée",0,Base[[#This Row],[Risque]])</f>
        <v>0</v>
      </c>
      <c r="BR601" s="4">
        <v>2680</v>
      </c>
      <c r="BS60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1" s="4">
        <f>Base[[#This Row],[Prévalence_prod]]*(1-Base[[#This Row],[Risque]])*Base[[#This Row],[Durée_arrêt]]*Base[[#This Row],[Population_emploi]]</f>
        <v>354900.74643512495</v>
      </c>
      <c r="BV601" s="4">
        <f>Base[[#This Row],['[Prod']'[Absentéisme']Total_jours_absence_avant]]-Base[[#This Row],['[Prod']'[Absentéisme']Total_jours_absence_après]]</f>
        <v>117956.25356487499</v>
      </c>
      <c r="BW601" s="4">
        <f>IF(AND(Base[[#This Row],[Pathologie]]&lt;&gt;"Dépendance",Base[[#This Row],[Pathologie]]&lt;&gt;"Mort prématurée",Base[[#This Row],[Pathologie]]&lt;&gt;"Migraine"),0.0619,0)</f>
        <v>6.1899999999999997E-2</v>
      </c>
      <c r="BX601" s="4">
        <v>254</v>
      </c>
      <c r="BY601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1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1" s="4">
        <f>Base[[#This Row],[Prévalence_prod]]*Base[[#This Row],[Présentéisme]]*Base[[#This Row],['[Prod']Jours_ouvrés]]</f>
        <v>0</v>
      </c>
      <c r="CB601" s="4">
        <f>Base[[#This Row],[Prévalence_prod]]*(1-Base[[#This Row],[Risque]])*Base[[#This Row],[Présentéisme]]*Base[[#This Row],['[Prod']Jours_ouvrés]]</f>
        <v>0</v>
      </c>
      <c r="CC601" s="4">
        <f>Base[[#This Row],['[Prod']'[Présentéisme']Jours_avant]]-Base[[#This Row],['[Prod']'[Présentéisme']Jours_après]]</f>
        <v>0</v>
      </c>
      <c r="CD601" s="4">
        <f>Base[[#This Row],['[Prod']'[Présentéisme']Jours_gagnés]]/Base[[#This Row],['[Prod']Jours_ouvrés]]</f>
        <v>0</v>
      </c>
      <c r="CE601">
        <v>9.3428413505841454E-2</v>
      </c>
      <c r="CF601">
        <v>2.1038737314955848E-2</v>
      </c>
      <c r="CG601" s="4">
        <v>11</v>
      </c>
      <c r="CH601" s="4">
        <v>0.96913802401210614</v>
      </c>
      <c r="CI601" s="4">
        <v>0.10293966445307301</v>
      </c>
      <c r="CJ601" s="4">
        <f>IF(Base[[#This Row],[Secteur]]&lt;&gt;"Moyenne",Base[[#This Row],['[Prod']'[Turnover']DMC_initiale]]*(1+Base[[#This Row],['[Prod']'[Turnover']Ecart_accidents]]*Base[[#This Row],['[Prod']Impact_motifs_turnover]]),CJ584*CI584+CJ585*CI585+CJ586*CI586+CJ587*CI587+CJ588*CI588+CJ589*CI589+CJ590*CI590+CJ591*CI591+CJ592*CI592+CJ593*CI593+CJ594*CI594+CJ595*CI595+CJ596*CI596+CJ597*CI597+CJ598*CI598+CJ599*CI599+CJ600*CI600)</f>
        <v>11.224283843400386</v>
      </c>
      <c r="CK601" s="4">
        <f>1/Base[[#This Row],['[Prod']'[Turnover']DMC_initiale]]</f>
        <v>9.0909090909090912E-2</v>
      </c>
      <c r="CL601" s="4">
        <f>1/Base[[#This Row],['[Prod']'[Turnover']DMC_finale]]</f>
        <v>8.9092543805186858E-2</v>
      </c>
    </row>
    <row r="602" spans="2:90" x14ac:dyDescent="0.25">
      <c r="B602" s="4" t="s">
        <v>324</v>
      </c>
      <c r="C602">
        <v>30</v>
      </c>
      <c r="D602" t="s">
        <v>85</v>
      </c>
      <c r="E602" t="s">
        <v>10</v>
      </c>
      <c r="F602" s="3">
        <v>0.24945438803882591</v>
      </c>
      <c r="G602" s="3">
        <v>0.17849999999999999</v>
      </c>
      <c r="H602" s="3">
        <v>8.4823104693140794E-4</v>
      </c>
      <c r="I602" s="3">
        <v>0</v>
      </c>
      <c r="J602" s="3">
        <v>1.82</v>
      </c>
      <c r="K602" s="3">
        <v>7.0000000000000007E-2</v>
      </c>
      <c r="L602" s="2">
        <f>Base[[#This Row],[Coût]]*Base[[#This Row],[Part_ménages_dépenses_santé]]</f>
        <v>0.12740000000000001</v>
      </c>
      <c r="M602" s="2">
        <v>0.82690611956969029</v>
      </c>
      <c r="N602" s="6">
        <v>27700000</v>
      </c>
      <c r="O602" s="7">
        <f>Base[[#This Row],[Coût_salarié]]*10^9*Base[[#This Row],[Risque]]*Base[[#This Row],[Prévalence]]*Base[[#This Row],[Part_coûts_salarié]]/Base[[#This Row],[Population_emploi]]</f>
        <v>0.16934611316761322</v>
      </c>
      <c r="P602">
        <v>50</v>
      </c>
      <c r="Q602">
        <v>50</v>
      </c>
      <c r="R602" s="2">
        <v>9.9999999999999978E-2</v>
      </c>
      <c r="S602" s="2">
        <v>0.33340000000000003</v>
      </c>
      <c r="T602" s="4">
        <v>8.4823104693140805E-4</v>
      </c>
      <c r="U602" s="4">
        <f>IF(Bases_annexes!$F$5=0,16.6587111018772,0.77*Bases_annexes!$F$5/(IF(OR(ISBLANK('Données_d''entrée'!$E$44),'Données_d''entrée'!$E$44=0),35,'Données_d''entrée'!$E$44)*52))</f>
        <v>16.658711101877199</v>
      </c>
      <c r="V602" s="4">
        <v>20.125</v>
      </c>
      <c r="W60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2" s="4">
        <v>234.5</v>
      </c>
      <c r="Y602" s="4">
        <f>(Base[[#This Row],['[Maladies']Coûts_évités_par_salarié]]+Base[[#This Row],['[Travail']Coûts_évités_par_salarié]])/Base[[#This Row],[Budget_santé_salarié]]</f>
        <v>1.2180116304197847E-3</v>
      </c>
      <c r="Z602" s="4">
        <v>0.8</v>
      </c>
      <c r="AA602" s="4">
        <f>Base[[#This Row],[Coût]]*Base[[#This Row],[Part_société_dépenses_santé]]</f>
        <v>1.4560000000000002</v>
      </c>
      <c r="AB602" s="4">
        <v>67635124</v>
      </c>
      <c r="AC602" s="4">
        <v>82.297079063317852</v>
      </c>
      <c r="AD602" s="4">
        <v>8.4823104693140805E-4</v>
      </c>
      <c r="AE602" s="4">
        <f>Base[[#This Row],['[SC']Prévalence_travail]]*Base[[#This Row],[Population_emploi]]</f>
        <v>23496.000000000004</v>
      </c>
      <c r="AF602" s="4">
        <f>Base[[#This Row],[Risque]]*Base[[#This Row],['[SC']Patients_en_emploi]]</f>
        <v>5861.1803013602548</v>
      </c>
      <c r="AG602" s="4">
        <v>0</v>
      </c>
      <c r="AH602" s="4">
        <f>IFERROR(Base[[#This Row],['[SC']Prestations]]/Base[[#This Row],['[SC']Patients_en_emploi]],0)</f>
        <v>0</v>
      </c>
      <c r="AI602" s="4">
        <v>51.7</v>
      </c>
      <c r="AJ60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2" s="4">
        <f>Base[[#This Row],['[SC']'[Travail']Coûts_évités]]/Base[[#This Row],[Population_emploi]]</f>
        <v>0.18733823987592307</v>
      </c>
      <c r="AL602" s="4">
        <f>Base[[#This Row],[Coût_société]]*10^9*Base[[#This Row],[Risque]]*Base[[#This Row],[Prévalence]]*Base[[#This Row],[Part_coûts_salarié]]/Base[[#This Row],[Population_emploi]]</f>
        <v>1.9353841504870084</v>
      </c>
      <c r="AM602" s="4">
        <f>IF(Base[[#This Row],[Pathologie]]&lt;&gt;"Dépendance",0,14909.24243952)</f>
        <v>0</v>
      </c>
      <c r="AN602" s="4">
        <f>IF(Base[[#This Row],[Pathologie]]&lt;&gt;"Dépendance",0,1316000)</f>
        <v>0</v>
      </c>
      <c r="AO602" s="4">
        <f>IF(Base[[#This Row],[Pathologie]]&lt;&gt;"Dépendance",0,Base[[#This Row],['[SC']Coût_personne_dépendante]]*Base[[#This Row],['[SC']Nb_personnes_dépendantes]])</f>
        <v>0</v>
      </c>
      <c r="AP602" s="4">
        <f>IF(Base[[#This Row],[Pathologie]]&lt;&gt;"Dépendance",0,Base[[#This Row],['[SC']Coût_total_dépendance]]/Base[[#This Row],[Population_totale]])</f>
        <v>0</v>
      </c>
      <c r="AQ602" s="4">
        <f>IF(Base[[#This Row],[Pathologie]]&lt;&gt;"Dépendance",0,4.5)</f>
        <v>0</v>
      </c>
      <c r="AR602" s="4">
        <v>1.0077957276768601</v>
      </c>
      <c r="AS602" s="4">
        <f>Base[[#This Row],[Espérance_vie]]+Base[[#This Row],['[SC']Hausse_esp_de_vie]]-Base[[#This Row],['[SC']Durée_moyenne_dépendance_avt]]+Base[[#This Row],[Risque]]</f>
        <v>83.554329179033545</v>
      </c>
      <c r="AT60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2" s="4">
        <v>62.9</v>
      </c>
      <c r="AW602" s="4">
        <f t="shared" si="19"/>
        <v>336905600000</v>
      </c>
      <c r="AX602" s="4">
        <v>15049171</v>
      </c>
      <c r="AY602" s="4">
        <f>Base[[#This Row],['[SC']Budget_total_retraites]]/Base[[#This Row],['[SC']Nombre_de_retraités]]</f>
        <v>22386.987296509556</v>
      </c>
      <c r="AZ602" s="4">
        <f>Base[[#This Row],['[SC']Budget_par_retraité]]*Base[[#This Row],['[SC']Nb_personnes_dépendantes]]</f>
        <v>0</v>
      </c>
      <c r="BA602" s="4">
        <f>Base[[#This Row],['[SC']'[Dépendance']Coût_retraite_personnes_dépendantes]]/Base[[#This Row],[Population_totale]]</f>
        <v>0</v>
      </c>
      <c r="BB60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2" s="4">
        <f>Base[[#This Row],['[SC']'[Dépendance']Gains]]-Base[[#This Row],['[SC']'[Dépendance']Coûts]]</f>
        <v>0</v>
      </c>
      <c r="BD602" s="4">
        <f>IF(Base[[#This Row],[Pathologie]]&lt;&gt;"Mort prématurée",0,Base[[#This Row],[Risque]]*Base[[#This Row],[Prévalence]]*Base[[#This Row],[Population_totale]])</f>
        <v>0</v>
      </c>
      <c r="BE602" s="4">
        <v>52.74</v>
      </c>
      <c r="BF602" s="4">
        <f>Base[[#This Row],['[SC']Âge_moyen_retraite]]-Base[[#This Row],['[SC']'[Mort_prématurée']Âge_moyen_mort précoce]]</f>
        <v>10.159999999999997</v>
      </c>
      <c r="BG602" s="4">
        <f>Base[[#This Row],[Espérance_vie]]+Base[[#This Row],['[SC']Hausse_esp_de_vie]]-Base[[#This Row],['[SC']Âge_moyen_retraite]]</f>
        <v>20.404874790994718</v>
      </c>
      <c r="BH602" s="4">
        <v>106583.42676924677</v>
      </c>
      <c r="BI602" s="4">
        <v>97601.789429271477</v>
      </c>
      <c r="BJ602" s="4">
        <v>302038.31496633729</v>
      </c>
      <c r="BK602" s="4">
        <v>117293.58934859755</v>
      </c>
      <c r="BL602" s="4">
        <v>1523999.9999999995</v>
      </c>
      <c r="BM60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2" s="4">
        <v>294804.96027377353</v>
      </c>
      <c r="BO60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2" s="4">
        <f>(Base[[#This Row],['[SC']'[Mort_prématurée']Gains]]-Base[[#This Row],['[SC']'[Mort_prématurée']Coûts]])/Base[[#This Row],[Population_totale]]</f>
        <v>0</v>
      </c>
      <c r="BQ602" s="4">
        <f>IF(Base[[#This Row],[Pathologie]]&lt;&gt;"Mort prématurée",0,Base[[#This Row],[Risque]])</f>
        <v>0</v>
      </c>
      <c r="BR602" s="4">
        <v>2680</v>
      </c>
      <c r="BS60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2" s="4">
        <f>Base[[#This Row],[Prévalence_prod]]*(1-Base[[#This Row],[Risque]])*Base[[#This Row],[Durée_arrêt]]*Base[[#This Row],[Population_emploi]]</f>
        <v>354900.74643512495</v>
      </c>
      <c r="BV602" s="4">
        <f>Base[[#This Row],['[Prod']'[Absentéisme']Total_jours_absence_avant]]-Base[[#This Row],['[Prod']'[Absentéisme']Total_jours_absence_après]]</f>
        <v>117956.25356487499</v>
      </c>
      <c r="BW602" s="4">
        <f>IF(AND(Base[[#This Row],[Pathologie]]&lt;&gt;"Dépendance",Base[[#This Row],[Pathologie]]&lt;&gt;"Mort prématurée",Base[[#This Row],[Pathologie]]&lt;&gt;"Migraine"),0.0619,0)</f>
        <v>6.1899999999999997E-2</v>
      </c>
      <c r="BX602" s="4">
        <v>254</v>
      </c>
      <c r="BY602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2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2" s="4">
        <f>Base[[#This Row],[Prévalence_prod]]*Base[[#This Row],[Présentéisme]]*Base[[#This Row],['[Prod']Jours_ouvrés]]</f>
        <v>0</v>
      </c>
      <c r="CB602" s="4">
        <f>Base[[#This Row],[Prévalence_prod]]*(1-Base[[#This Row],[Risque]])*Base[[#This Row],[Présentéisme]]*Base[[#This Row],['[Prod']Jours_ouvrés]]</f>
        <v>0</v>
      </c>
      <c r="CC602" s="4">
        <f>Base[[#This Row],['[Prod']'[Présentéisme']Jours_avant]]-Base[[#This Row],['[Prod']'[Présentéisme']Jours_après]]</f>
        <v>0</v>
      </c>
      <c r="CD602" s="4">
        <f>Base[[#This Row],['[Prod']'[Présentéisme']Jours_gagnés]]/Base[[#This Row],['[Prod']Jours_ouvrés]]</f>
        <v>0</v>
      </c>
      <c r="CE602">
        <v>9.3428413505841454E-2</v>
      </c>
      <c r="CF602">
        <v>2.1038737314955848E-2</v>
      </c>
      <c r="CG602" s="4">
        <v>11</v>
      </c>
      <c r="CH602" s="4">
        <v>1.3987208237662601</v>
      </c>
      <c r="CI602" s="4">
        <v>2.1768516166491274E-2</v>
      </c>
      <c r="CJ602" s="4">
        <f>IF(Base[[#This Row],[Secteur]]&lt;&gt;"Moyenne",Base[[#This Row],['[Prod']'[Turnover']DMC_initiale]]*(1+Base[[#This Row],['[Prod']'[Turnover']Ecart_accidents]]*Base[[#This Row],['[Prod']Impact_motifs_turnover]]),CJ585*CI585+CJ586*CI586+CJ587*CI587+CJ588*CI588+CJ589*CI589+CJ590*CI590+CJ591*CI591+CJ592*CI592+CJ593*CI593+CJ594*CI594+CJ595*CI595+CJ596*CI596+CJ597*CI597+CJ598*CI598+CJ599*CI599+CJ600*CI600+CJ601*CI601)</f>
        <v>11.323700519869947</v>
      </c>
      <c r="CK602" s="4">
        <f>1/Base[[#This Row],['[Prod']'[Turnover']DMC_initiale]]</f>
        <v>9.0909090909090912E-2</v>
      </c>
      <c r="CL602" s="4">
        <f>1/Base[[#This Row],['[Prod']'[Turnover']DMC_finale]]</f>
        <v>8.8310353867561045E-2</v>
      </c>
    </row>
    <row r="603" spans="2:90" x14ac:dyDescent="0.25">
      <c r="B603" s="4" t="s">
        <v>325</v>
      </c>
      <c r="C603">
        <v>30</v>
      </c>
      <c r="D603" t="s">
        <v>85</v>
      </c>
      <c r="E603" t="s">
        <v>10</v>
      </c>
      <c r="F603" s="3">
        <v>0.24945438803882591</v>
      </c>
      <c r="G603" s="3">
        <v>0.17849999999999999</v>
      </c>
      <c r="H603" s="3">
        <v>8.4823104693140794E-4</v>
      </c>
      <c r="I603" s="3">
        <v>0</v>
      </c>
      <c r="J603" s="3">
        <v>1.82</v>
      </c>
      <c r="K603" s="3">
        <v>7.0000000000000007E-2</v>
      </c>
      <c r="L603" s="2">
        <f>Base[[#This Row],[Coût]]*Base[[#This Row],[Part_ménages_dépenses_santé]]</f>
        <v>0.12740000000000001</v>
      </c>
      <c r="M603" s="2">
        <v>0.82690611956969029</v>
      </c>
      <c r="N603" s="6">
        <v>27700000</v>
      </c>
      <c r="O603" s="7">
        <f>Base[[#This Row],[Coût_salarié]]*10^9*Base[[#This Row],[Risque]]*Base[[#This Row],[Prévalence]]*Base[[#This Row],[Part_coûts_salarié]]/Base[[#This Row],[Population_emploi]]</f>
        <v>0.16934611316761322</v>
      </c>
      <c r="P603">
        <v>50</v>
      </c>
      <c r="Q603">
        <v>50</v>
      </c>
      <c r="R603" s="2">
        <v>9.9999999999999978E-2</v>
      </c>
      <c r="S603" s="2">
        <v>0.33340000000000003</v>
      </c>
      <c r="T603" s="4">
        <v>8.4823104693140805E-4</v>
      </c>
      <c r="U603" s="4">
        <f>IF(Bases_annexes!$F$5=0,16.6587111018772,0.77*Bases_annexes!$F$5/(IF(OR(ISBLANK('Données_d''entrée'!$E$44),'Données_d''entrée'!$E$44=0),35,'Données_d''entrée'!$E$44)*52))</f>
        <v>16.658711101877199</v>
      </c>
      <c r="V603" s="4">
        <v>20.125</v>
      </c>
      <c r="W60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3" s="4">
        <v>234.5</v>
      </c>
      <c r="Y603" s="4">
        <f>(Base[[#This Row],['[Maladies']Coûts_évités_par_salarié]]+Base[[#This Row],['[Travail']Coûts_évités_par_salarié]])/Base[[#This Row],[Budget_santé_salarié]]</f>
        <v>1.2180116304197847E-3</v>
      </c>
      <c r="Z603" s="4">
        <v>0.8</v>
      </c>
      <c r="AA603" s="4">
        <f>Base[[#This Row],[Coût]]*Base[[#This Row],[Part_société_dépenses_santé]]</f>
        <v>1.4560000000000002</v>
      </c>
      <c r="AB603" s="4">
        <v>67635124</v>
      </c>
      <c r="AC603" s="4">
        <v>82.297079063317852</v>
      </c>
      <c r="AD603" s="4">
        <v>8.4823104693140805E-4</v>
      </c>
      <c r="AE603" s="4">
        <f>Base[[#This Row],['[SC']Prévalence_travail]]*Base[[#This Row],[Population_emploi]]</f>
        <v>23496.000000000004</v>
      </c>
      <c r="AF603" s="4">
        <f>Base[[#This Row],[Risque]]*Base[[#This Row],['[SC']Patients_en_emploi]]</f>
        <v>5861.1803013602548</v>
      </c>
      <c r="AG603" s="4">
        <v>0</v>
      </c>
      <c r="AH603" s="4">
        <f>IFERROR(Base[[#This Row],['[SC']Prestations]]/Base[[#This Row],['[SC']Patients_en_emploi]],0)</f>
        <v>0</v>
      </c>
      <c r="AI603" s="4">
        <v>51.7</v>
      </c>
      <c r="AJ60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3" s="4">
        <f>Base[[#This Row],['[SC']'[Travail']Coûts_évités]]/Base[[#This Row],[Population_emploi]]</f>
        <v>0.18733823987592307</v>
      </c>
      <c r="AL603" s="4">
        <f>Base[[#This Row],[Coût_société]]*10^9*Base[[#This Row],[Risque]]*Base[[#This Row],[Prévalence]]*Base[[#This Row],[Part_coûts_salarié]]/Base[[#This Row],[Population_emploi]]</f>
        <v>1.9353841504870084</v>
      </c>
      <c r="AM603" s="4">
        <f>IF(Base[[#This Row],[Pathologie]]&lt;&gt;"Dépendance",0,14909.24243952)</f>
        <v>0</v>
      </c>
      <c r="AN603" s="4">
        <f>IF(Base[[#This Row],[Pathologie]]&lt;&gt;"Dépendance",0,1316000)</f>
        <v>0</v>
      </c>
      <c r="AO603" s="4">
        <f>IF(Base[[#This Row],[Pathologie]]&lt;&gt;"Dépendance",0,Base[[#This Row],['[SC']Coût_personne_dépendante]]*Base[[#This Row],['[SC']Nb_personnes_dépendantes]])</f>
        <v>0</v>
      </c>
      <c r="AP603" s="4">
        <f>IF(Base[[#This Row],[Pathologie]]&lt;&gt;"Dépendance",0,Base[[#This Row],['[SC']Coût_total_dépendance]]/Base[[#This Row],[Population_totale]])</f>
        <v>0</v>
      </c>
      <c r="AQ603" s="4">
        <f>IF(Base[[#This Row],[Pathologie]]&lt;&gt;"Dépendance",0,4.5)</f>
        <v>0</v>
      </c>
      <c r="AR603" s="4">
        <v>1.0077957276768601</v>
      </c>
      <c r="AS603" s="4">
        <f>Base[[#This Row],[Espérance_vie]]+Base[[#This Row],['[SC']Hausse_esp_de_vie]]-Base[[#This Row],['[SC']Durée_moyenne_dépendance_avt]]+Base[[#This Row],[Risque]]</f>
        <v>83.554329179033545</v>
      </c>
      <c r="AT60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3" s="4">
        <v>62.9</v>
      </c>
      <c r="AW603" s="4">
        <f t="shared" si="19"/>
        <v>336905600000</v>
      </c>
      <c r="AX603" s="4">
        <v>15049171</v>
      </c>
      <c r="AY603" s="4">
        <f>Base[[#This Row],['[SC']Budget_total_retraites]]/Base[[#This Row],['[SC']Nombre_de_retraités]]</f>
        <v>22386.987296509556</v>
      </c>
      <c r="AZ603" s="4">
        <f>Base[[#This Row],['[SC']Budget_par_retraité]]*Base[[#This Row],['[SC']Nb_personnes_dépendantes]]</f>
        <v>0</v>
      </c>
      <c r="BA603" s="4">
        <f>Base[[#This Row],['[SC']'[Dépendance']Coût_retraite_personnes_dépendantes]]/Base[[#This Row],[Population_totale]]</f>
        <v>0</v>
      </c>
      <c r="BB60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3" s="4">
        <f>Base[[#This Row],['[SC']'[Dépendance']Gains]]-Base[[#This Row],['[SC']'[Dépendance']Coûts]]</f>
        <v>0</v>
      </c>
      <c r="BD603" s="4">
        <f>IF(Base[[#This Row],[Pathologie]]&lt;&gt;"Mort prématurée",0,Base[[#This Row],[Risque]]*Base[[#This Row],[Prévalence]]*Base[[#This Row],[Population_totale]])</f>
        <v>0</v>
      </c>
      <c r="BE603" s="4">
        <v>52.74</v>
      </c>
      <c r="BF603" s="4">
        <f>Base[[#This Row],['[SC']Âge_moyen_retraite]]-Base[[#This Row],['[SC']'[Mort_prématurée']Âge_moyen_mort précoce]]</f>
        <v>10.159999999999997</v>
      </c>
      <c r="BG603" s="4">
        <f>Base[[#This Row],[Espérance_vie]]+Base[[#This Row],['[SC']Hausse_esp_de_vie]]-Base[[#This Row],['[SC']Âge_moyen_retraite]]</f>
        <v>20.404874790994718</v>
      </c>
      <c r="BH603" s="4">
        <v>106583.42676924677</v>
      </c>
      <c r="BI603" s="4">
        <v>97601.789429271477</v>
      </c>
      <c r="BJ603" s="4">
        <v>302038.31496633729</v>
      </c>
      <c r="BK603" s="4">
        <v>117293.58934859755</v>
      </c>
      <c r="BL603" s="4">
        <v>1523999.9999999995</v>
      </c>
      <c r="BM60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3" s="4">
        <v>294804.96027377353</v>
      </c>
      <c r="BO60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3" s="4">
        <f>(Base[[#This Row],['[SC']'[Mort_prématurée']Gains]]-Base[[#This Row],['[SC']'[Mort_prématurée']Coûts]])/Base[[#This Row],[Population_totale]]</f>
        <v>0</v>
      </c>
      <c r="BQ603" s="4">
        <f>IF(Base[[#This Row],[Pathologie]]&lt;&gt;"Mort prématurée",0,Base[[#This Row],[Risque]])</f>
        <v>0</v>
      </c>
      <c r="BR603" s="4">
        <v>2680</v>
      </c>
      <c r="BS60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3" s="4">
        <f>Base[[#This Row],[Prévalence_prod]]*(1-Base[[#This Row],[Risque]])*Base[[#This Row],[Durée_arrêt]]*Base[[#This Row],[Population_emploi]]</f>
        <v>354900.74643512495</v>
      </c>
      <c r="BV603" s="4">
        <f>Base[[#This Row],['[Prod']'[Absentéisme']Total_jours_absence_avant]]-Base[[#This Row],['[Prod']'[Absentéisme']Total_jours_absence_après]]</f>
        <v>117956.25356487499</v>
      </c>
      <c r="BW603" s="4">
        <f>IF(AND(Base[[#This Row],[Pathologie]]&lt;&gt;"Dépendance",Base[[#This Row],[Pathologie]]&lt;&gt;"Mort prématurée",Base[[#This Row],[Pathologie]]&lt;&gt;"Migraine"),0.0619,0)</f>
        <v>6.1899999999999997E-2</v>
      </c>
      <c r="BX603" s="4">
        <v>254</v>
      </c>
      <c r="BY603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3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3" s="4">
        <f>Base[[#This Row],[Prévalence_prod]]*Base[[#This Row],[Présentéisme]]*Base[[#This Row],['[Prod']Jours_ouvrés]]</f>
        <v>0</v>
      </c>
      <c r="CB603" s="4">
        <f>Base[[#This Row],[Prévalence_prod]]*(1-Base[[#This Row],[Risque]])*Base[[#This Row],[Présentéisme]]*Base[[#This Row],['[Prod']Jours_ouvrés]]</f>
        <v>0</v>
      </c>
      <c r="CC603" s="4">
        <f>Base[[#This Row],['[Prod']'[Présentéisme']Jours_avant]]-Base[[#This Row],['[Prod']'[Présentéisme']Jours_après]]</f>
        <v>0</v>
      </c>
      <c r="CD603" s="4">
        <f>Base[[#This Row],['[Prod']'[Présentéisme']Jours_gagnés]]/Base[[#This Row],['[Prod']Jours_ouvrés]]</f>
        <v>0</v>
      </c>
      <c r="CE603">
        <v>9.3428413505841454E-2</v>
      </c>
      <c r="CF603">
        <v>2.1038737314955848E-2</v>
      </c>
      <c r="CG603" s="4">
        <v>11</v>
      </c>
      <c r="CH603" s="4">
        <v>1.1624525375985588</v>
      </c>
      <c r="CI603" s="4">
        <v>3.7953151649308701E-2</v>
      </c>
      <c r="CJ603" s="4">
        <f>IF(Base[[#This Row],[Secteur]]&lt;&gt;"Moyenne",Base[[#This Row],['[Prod']'[Turnover']DMC_initiale]]*(1+Base[[#This Row],['[Prod']'[Turnover']Ecart_accidents]]*Base[[#This Row],['[Prod']Impact_motifs_turnover]]),CJ586*CI586+CJ587*CI587+CJ588*CI588+CJ589*CI589+CJ590*CI590+CJ591*CI591+CJ592*CI592+CJ593*CI593+CJ594*CI594+CJ595*CI595+CJ596*CI596+CJ597*CI597+CJ598*CI598+CJ599*CI599+CJ600*CI600+CJ601*CI601+CJ602*CI602)</f>
        <v>11.269021869376038</v>
      </c>
      <c r="CK603" s="4">
        <f>1/Base[[#This Row],['[Prod']'[Turnover']DMC_initiale]]</f>
        <v>9.0909090909090912E-2</v>
      </c>
      <c r="CL603" s="4">
        <f>1/Base[[#This Row],['[Prod']'[Turnover']DMC_finale]]</f>
        <v>8.8738846333907204E-2</v>
      </c>
    </row>
    <row r="604" spans="2:90" x14ac:dyDescent="0.25">
      <c r="B604" s="4" t="s">
        <v>326</v>
      </c>
      <c r="C604">
        <v>30</v>
      </c>
      <c r="D604" t="s">
        <v>85</v>
      </c>
      <c r="E604" t="s">
        <v>10</v>
      </c>
      <c r="F604" s="3">
        <v>0.24945438803882591</v>
      </c>
      <c r="G604" s="3">
        <v>0.17849999999999999</v>
      </c>
      <c r="H604" s="3">
        <v>8.4823104693140794E-4</v>
      </c>
      <c r="I604" s="3">
        <v>0</v>
      </c>
      <c r="J604" s="3">
        <v>1.82</v>
      </c>
      <c r="K604" s="3">
        <v>7.0000000000000007E-2</v>
      </c>
      <c r="L604" s="2">
        <f>Base[[#This Row],[Coût]]*Base[[#This Row],[Part_ménages_dépenses_santé]]</f>
        <v>0.12740000000000001</v>
      </c>
      <c r="M604" s="2">
        <v>0.82690611956969029</v>
      </c>
      <c r="N604" s="6">
        <v>27700000</v>
      </c>
      <c r="O604" s="7">
        <f>Base[[#This Row],[Coût_salarié]]*10^9*Base[[#This Row],[Risque]]*Base[[#This Row],[Prévalence]]*Base[[#This Row],[Part_coûts_salarié]]/Base[[#This Row],[Population_emploi]]</f>
        <v>0.16934611316761322</v>
      </c>
      <c r="P604">
        <v>50</v>
      </c>
      <c r="Q604">
        <v>50</v>
      </c>
      <c r="R604" s="2">
        <v>9.9999999999999978E-2</v>
      </c>
      <c r="S604" s="2">
        <v>0.33340000000000003</v>
      </c>
      <c r="T604" s="4">
        <v>8.4823104693140805E-4</v>
      </c>
      <c r="U604" s="4">
        <f>IF(Bases_annexes!$F$5=0,16.6587111018772,0.77*Bases_annexes!$F$5/(IF(OR(ISBLANK('Données_d''entrée'!$E$44),'Données_d''entrée'!$E$44=0),35,'Données_d''entrée'!$E$44)*52))</f>
        <v>16.658711101877199</v>
      </c>
      <c r="V604" s="4">
        <v>20.125</v>
      </c>
      <c r="W60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4" s="4">
        <v>234.5</v>
      </c>
      <c r="Y604" s="4">
        <f>(Base[[#This Row],['[Maladies']Coûts_évités_par_salarié]]+Base[[#This Row],['[Travail']Coûts_évités_par_salarié]])/Base[[#This Row],[Budget_santé_salarié]]</f>
        <v>1.2180116304197847E-3</v>
      </c>
      <c r="Z604" s="4">
        <v>0.8</v>
      </c>
      <c r="AA604" s="4">
        <f>Base[[#This Row],[Coût]]*Base[[#This Row],[Part_société_dépenses_santé]]</f>
        <v>1.4560000000000002</v>
      </c>
      <c r="AB604" s="4">
        <v>67635124</v>
      </c>
      <c r="AC604" s="4">
        <v>82.297079063317852</v>
      </c>
      <c r="AD604" s="4">
        <v>8.4823104693140805E-4</v>
      </c>
      <c r="AE604" s="4">
        <f>Base[[#This Row],['[SC']Prévalence_travail]]*Base[[#This Row],[Population_emploi]]</f>
        <v>23496.000000000004</v>
      </c>
      <c r="AF604" s="4">
        <f>Base[[#This Row],[Risque]]*Base[[#This Row],['[SC']Patients_en_emploi]]</f>
        <v>5861.1803013602548</v>
      </c>
      <c r="AG604" s="4">
        <v>0</v>
      </c>
      <c r="AH604" s="4">
        <f>IFERROR(Base[[#This Row],['[SC']Prestations]]/Base[[#This Row],['[SC']Patients_en_emploi]],0)</f>
        <v>0</v>
      </c>
      <c r="AI604" s="4">
        <v>51.7</v>
      </c>
      <c r="AJ60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4" s="4">
        <f>Base[[#This Row],['[SC']'[Travail']Coûts_évités]]/Base[[#This Row],[Population_emploi]]</f>
        <v>0.18733823987592307</v>
      </c>
      <c r="AL604" s="4">
        <f>Base[[#This Row],[Coût_société]]*10^9*Base[[#This Row],[Risque]]*Base[[#This Row],[Prévalence]]*Base[[#This Row],[Part_coûts_salarié]]/Base[[#This Row],[Population_emploi]]</f>
        <v>1.9353841504870084</v>
      </c>
      <c r="AM604" s="4">
        <f>IF(Base[[#This Row],[Pathologie]]&lt;&gt;"Dépendance",0,14909.24243952)</f>
        <v>0</v>
      </c>
      <c r="AN604" s="4">
        <f>IF(Base[[#This Row],[Pathologie]]&lt;&gt;"Dépendance",0,1316000)</f>
        <v>0</v>
      </c>
      <c r="AO604" s="4">
        <f>IF(Base[[#This Row],[Pathologie]]&lt;&gt;"Dépendance",0,Base[[#This Row],['[SC']Coût_personne_dépendante]]*Base[[#This Row],['[SC']Nb_personnes_dépendantes]])</f>
        <v>0</v>
      </c>
      <c r="AP604" s="4">
        <f>IF(Base[[#This Row],[Pathologie]]&lt;&gt;"Dépendance",0,Base[[#This Row],['[SC']Coût_total_dépendance]]/Base[[#This Row],[Population_totale]])</f>
        <v>0</v>
      </c>
      <c r="AQ604" s="4">
        <f>IF(Base[[#This Row],[Pathologie]]&lt;&gt;"Dépendance",0,4.5)</f>
        <v>0</v>
      </c>
      <c r="AR604" s="4">
        <v>1.0077957276768601</v>
      </c>
      <c r="AS604" s="4">
        <f>Base[[#This Row],[Espérance_vie]]+Base[[#This Row],['[SC']Hausse_esp_de_vie]]-Base[[#This Row],['[SC']Durée_moyenne_dépendance_avt]]+Base[[#This Row],[Risque]]</f>
        <v>83.554329179033545</v>
      </c>
      <c r="AT60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4" s="4">
        <v>62.9</v>
      </c>
      <c r="AW604" s="4">
        <f t="shared" si="19"/>
        <v>336905600000</v>
      </c>
      <c r="AX604" s="4">
        <v>15049171</v>
      </c>
      <c r="AY604" s="4">
        <f>Base[[#This Row],['[SC']Budget_total_retraites]]/Base[[#This Row],['[SC']Nombre_de_retraités]]</f>
        <v>22386.987296509556</v>
      </c>
      <c r="AZ604" s="4">
        <f>Base[[#This Row],['[SC']Budget_par_retraité]]*Base[[#This Row],['[SC']Nb_personnes_dépendantes]]</f>
        <v>0</v>
      </c>
      <c r="BA604" s="4">
        <f>Base[[#This Row],['[SC']'[Dépendance']Coût_retraite_personnes_dépendantes]]/Base[[#This Row],[Population_totale]]</f>
        <v>0</v>
      </c>
      <c r="BB60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4" s="4">
        <f>Base[[#This Row],['[SC']'[Dépendance']Gains]]-Base[[#This Row],['[SC']'[Dépendance']Coûts]]</f>
        <v>0</v>
      </c>
      <c r="BD604" s="4">
        <f>IF(Base[[#This Row],[Pathologie]]&lt;&gt;"Mort prématurée",0,Base[[#This Row],[Risque]]*Base[[#This Row],[Prévalence]]*Base[[#This Row],[Population_totale]])</f>
        <v>0</v>
      </c>
      <c r="BE604" s="4">
        <v>52.74</v>
      </c>
      <c r="BF604" s="4">
        <f>Base[[#This Row],['[SC']Âge_moyen_retraite]]-Base[[#This Row],['[SC']'[Mort_prématurée']Âge_moyen_mort précoce]]</f>
        <v>10.159999999999997</v>
      </c>
      <c r="BG604" s="4">
        <f>Base[[#This Row],[Espérance_vie]]+Base[[#This Row],['[SC']Hausse_esp_de_vie]]-Base[[#This Row],['[SC']Âge_moyen_retraite]]</f>
        <v>20.404874790994718</v>
      </c>
      <c r="BH604" s="4">
        <v>106583.42676924677</v>
      </c>
      <c r="BI604" s="4">
        <v>97601.789429271477</v>
      </c>
      <c r="BJ604" s="4">
        <v>302038.31496633729</v>
      </c>
      <c r="BK604" s="4">
        <v>117293.58934859755</v>
      </c>
      <c r="BL604" s="4">
        <v>1523999.9999999995</v>
      </c>
      <c r="BM60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4" s="4">
        <v>294804.96027377353</v>
      </c>
      <c r="BO60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4" s="4">
        <f>(Base[[#This Row],['[SC']'[Mort_prématurée']Gains]]-Base[[#This Row],['[SC']'[Mort_prématurée']Coûts]])/Base[[#This Row],[Population_totale]]</f>
        <v>0</v>
      </c>
      <c r="BQ604" s="4">
        <f>IF(Base[[#This Row],[Pathologie]]&lt;&gt;"Mort prématurée",0,Base[[#This Row],[Risque]])</f>
        <v>0</v>
      </c>
      <c r="BR604" s="4">
        <v>2680</v>
      </c>
      <c r="BS60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4" s="4">
        <f>Base[[#This Row],[Prévalence_prod]]*(1-Base[[#This Row],[Risque]])*Base[[#This Row],[Durée_arrêt]]*Base[[#This Row],[Population_emploi]]</f>
        <v>354900.74643512495</v>
      </c>
      <c r="BV604" s="4">
        <f>Base[[#This Row],['[Prod']'[Absentéisme']Total_jours_absence_avant]]-Base[[#This Row],['[Prod']'[Absentéisme']Total_jours_absence_après]]</f>
        <v>117956.25356487499</v>
      </c>
      <c r="BW604" s="4">
        <f>IF(AND(Base[[#This Row],[Pathologie]]&lt;&gt;"Dépendance",Base[[#This Row],[Pathologie]]&lt;&gt;"Mort prématurée",Base[[#This Row],[Pathologie]]&lt;&gt;"Migraine"),0.0619,0)</f>
        <v>6.1899999999999997E-2</v>
      </c>
      <c r="BX604" s="4">
        <v>254</v>
      </c>
      <c r="BY604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4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4" s="4">
        <f>Base[[#This Row],[Prévalence_prod]]*Base[[#This Row],[Présentéisme]]*Base[[#This Row],['[Prod']Jours_ouvrés]]</f>
        <v>0</v>
      </c>
      <c r="CB604" s="4">
        <f>Base[[#This Row],[Prévalence_prod]]*(1-Base[[#This Row],[Risque]])*Base[[#This Row],[Présentéisme]]*Base[[#This Row],['[Prod']Jours_ouvrés]]</f>
        <v>0</v>
      </c>
      <c r="CC604" s="4">
        <f>Base[[#This Row],['[Prod']'[Présentéisme']Jours_avant]]-Base[[#This Row],['[Prod']'[Présentéisme']Jours_après]]</f>
        <v>0</v>
      </c>
      <c r="CD604" s="4">
        <f>Base[[#This Row],['[Prod']'[Présentéisme']Jours_gagnés]]/Base[[#This Row],['[Prod']Jours_ouvrés]]</f>
        <v>0</v>
      </c>
      <c r="CE604">
        <v>9.3428413505841454E-2</v>
      </c>
      <c r="CF604">
        <v>2.1038737314955848E-2</v>
      </c>
      <c r="CG604" s="4">
        <v>11</v>
      </c>
      <c r="CH604" s="4">
        <v>0.19346787829229528</v>
      </c>
      <c r="CI604" s="4">
        <v>2.8126549817953091E-2</v>
      </c>
      <c r="CJ604" s="4">
        <f>IF(Base[[#This Row],[Secteur]]&lt;&gt;"Moyenne",Base[[#This Row],['[Prod']'[Turnover']DMC_initiale]]*(1+Base[[#This Row],['[Prod']'[Turnover']Ecart_accidents]]*Base[[#This Row],['[Prod']Impact_motifs_turnover]]),CJ587*CI587+CJ588*CI588+CJ589*CI589+CJ590*CI590+CJ591*CI591+CJ592*CI592+CJ593*CI593+CJ594*CI594+CJ595*CI595+CJ596*CI596+CJ597*CI597+CJ598*CI598+CJ599*CI599+CJ600*CI600+CJ601*CI601+CJ602*CI602+CJ603*CI603)</f>
        <v>11.044773518573008</v>
      </c>
      <c r="CK604" s="4">
        <f>1/Base[[#This Row],['[Prod']'[Turnover']DMC_initiale]]</f>
        <v>9.0909090909090912E-2</v>
      </c>
      <c r="CL604" s="4">
        <f>1/Base[[#This Row],['[Prod']'[Turnover']DMC_finale]]</f>
        <v>9.0540561861082031E-2</v>
      </c>
    </row>
    <row r="605" spans="2:90" x14ac:dyDescent="0.25">
      <c r="B605" s="4" t="s">
        <v>327</v>
      </c>
      <c r="C605">
        <v>30</v>
      </c>
      <c r="D605" t="s">
        <v>85</v>
      </c>
      <c r="E605" t="s">
        <v>10</v>
      </c>
      <c r="F605" s="3">
        <v>0.24945438803882591</v>
      </c>
      <c r="G605" s="3">
        <v>0.17849999999999999</v>
      </c>
      <c r="H605" s="3">
        <v>8.4823104693140794E-4</v>
      </c>
      <c r="I605" s="3">
        <v>0</v>
      </c>
      <c r="J605" s="3">
        <v>1.82</v>
      </c>
      <c r="K605" s="3">
        <v>7.0000000000000007E-2</v>
      </c>
      <c r="L605" s="2">
        <f>Base[[#This Row],[Coût]]*Base[[#This Row],[Part_ménages_dépenses_santé]]</f>
        <v>0.12740000000000001</v>
      </c>
      <c r="M605" s="2">
        <v>0.82690611956969029</v>
      </c>
      <c r="N605" s="6">
        <v>27700000</v>
      </c>
      <c r="O605" s="7">
        <f>Base[[#This Row],[Coût_salarié]]*10^9*Base[[#This Row],[Risque]]*Base[[#This Row],[Prévalence]]*Base[[#This Row],[Part_coûts_salarié]]/Base[[#This Row],[Population_emploi]]</f>
        <v>0.16934611316761322</v>
      </c>
      <c r="P605">
        <v>50</v>
      </c>
      <c r="Q605">
        <v>50</v>
      </c>
      <c r="R605" s="2">
        <v>9.9999999999999978E-2</v>
      </c>
      <c r="S605" s="2">
        <v>0.33340000000000003</v>
      </c>
      <c r="T605" s="4">
        <v>8.4823104693140805E-4</v>
      </c>
      <c r="U605" s="4">
        <f>IF(Bases_annexes!$F$5=0,16.6587111018772,0.77*Bases_annexes!$F$5/(IF(OR(ISBLANK('Données_d''entrée'!$E$44),'Données_d''entrée'!$E$44=0),35,'Données_d''entrée'!$E$44)*52))</f>
        <v>16.658711101877199</v>
      </c>
      <c r="V605" s="4">
        <v>20.125</v>
      </c>
      <c r="W60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5" s="4">
        <v>234.5</v>
      </c>
      <c r="Y605" s="4">
        <f>(Base[[#This Row],['[Maladies']Coûts_évités_par_salarié]]+Base[[#This Row],['[Travail']Coûts_évités_par_salarié]])/Base[[#This Row],[Budget_santé_salarié]]</f>
        <v>1.2180116304197847E-3</v>
      </c>
      <c r="Z605" s="4">
        <v>0.8</v>
      </c>
      <c r="AA605" s="4">
        <f>Base[[#This Row],[Coût]]*Base[[#This Row],[Part_société_dépenses_santé]]</f>
        <v>1.4560000000000002</v>
      </c>
      <c r="AB605" s="4">
        <v>67635124</v>
      </c>
      <c r="AC605" s="4">
        <v>82.297079063317852</v>
      </c>
      <c r="AD605" s="4">
        <v>8.4823104693140805E-4</v>
      </c>
      <c r="AE605" s="4">
        <f>Base[[#This Row],['[SC']Prévalence_travail]]*Base[[#This Row],[Population_emploi]]</f>
        <v>23496.000000000004</v>
      </c>
      <c r="AF605" s="4">
        <f>Base[[#This Row],[Risque]]*Base[[#This Row],['[SC']Patients_en_emploi]]</f>
        <v>5861.1803013602548</v>
      </c>
      <c r="AG605" s="4">
        <v>0</v>
      </c>
      <c r="AH605" s="4">
        <f>IFERROR(Base[[#This Row],['[SC']Prestations]]/Base[[#This Row],['[SC']Patients_en_emploi]],0)</f>
        <v>0</v>
      </c>
      <c r="AI605" s="4">
        <v>51.7</v>
      </c>
      <c r="AJ60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5" s="4">
        <f>Base[[#This Row],['[SC']'[Travail']Coûts_évités]]/Base[[#This Row],[Population_emploi]]</f>
        <v>0.18733823987592307</v>
      </c>
      <c r="AL605" s="4">
        <f>Base[[#This Row],[Coût_société]]*10^9*Base[[#This Row],[Risque]]*Base[[#This Row],[Prévalence]]*Base[[#This Row],[Part_coûts_salarié]]/Base[[#This Row],[Population_emploi]]</f>
        <v>1.9353841504870084</v>
      </c>
      <c r="AM605" s="4">
        <f>IF(Base[[#This Row],[Pathologie]]&lt;&gt;"Dépendance",0,14909.24243952)</f>
        <v>0</v>
      </c>
      <c r="AN605" s="4">
        <f>IF(Base[[#This Row],[Pathologie]]&lt;&gt;"Dépendance",0,1316000)</f>
        <v>0</v>
      </c>
      <c r="AO605" s="4">
        <f>IF(Base[[#This Row],[Pathologie]]&lt;&gt;"Dépendance",0,Base[[#This Row],['[SC']Coût_personne_dépendante]]*Base[[#This Row],['[SC']Nb_personnes_dépendantes]])</f>
        <v>0</v>
      </c>
      <c r="AP605" s="4">
        <f>IF(Base[[#This Row],[Pathologie]]&lt;&gt;"Dépendance",0,Base[[#This Row],['[SC']Coût_total_dépendance]]/Base[[#This Row],[Population_totale]])</f>
        <v>0</v>
      </c>
      <c r="AQ605" s="4">
        <f>IF(Base[[#This Row],[Pathologie]]&lt;&gt;"Dépendance",0,4.5)</f>
        <v>0</v>
      </c>
      <c r="AR605" s="4">
        <v>1.0077957276768601</v>
      </c>
      <c r="AS605" s="4">
        <f>Base[[#This Row],[Espérance_vie]]+Base[[#This Row],['[SC']Hausse_esp_de_vie]]-Base[[#This Row],['[SC']Durée_moyenne_dépendance_avt]]+Base[[#This Row],[Risque]]</f>
        <v>83.554329179033545</v>
      </c>
      <c r="AT60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5" s="4">
        <v>62.9</v>
      </c>
      <c r="AW605" s="4">
        <f t="shared" si="19"/>
        <v>336905600000</v>
      </c>
      <c r="AX605" s="4">
        <v>15049171</v>
      </c>
      <c r="AY605" s="4">
        <f>Base[[#This Row],['[SC']Budget_total_retraites]]/Base[[#This Row],['[SC']Nombre_de_retraités]]</f>
        <v>22386.987296509556</v>
      </c>
      <c r="AZ605" s="4">
        <f>Base[[#This Row],['[SC']Budget_par_retraité]]*Base[[#This Row],['[SC']Nb_personnes_dépendantes]]</f>
        <v>0</v>
      </c>
      <c r="BA605" s="4">
        <f>Base[[#This Row],['[SC']'[Dépendance']Coût_retraite_personnes_dépendantes]]/Base[[#This Row],[Population_totale]]</f>
        <v>0</v>
      </c>
      <c r="BB60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5" s="4">
        <f>Base[[#This Row],['[SC']'[Dépendance']Gains]]-Base[[#This Row],['[SC']'[Dépendance']Coûts]]</f>
        <v>0</v>
      </c>
      <c r="BD605" s="4">
        <f>IF(Base[[#This Row],[Pathologie]]&lt;&gt;"Mort prématurée",0,Base[[#This Row],[Risque]]*Base[[#This Row],[Prévalence]]*Base[[#This Row],[Population_totale]])</f>
        <v>0</v>
      </c>
      <c r="BE605" s="4">
        <v>52.74</v>
      </c>
      <c r="BF605" s="4">
        <f>Base[[#This Row],['[SC']Âge_moyen_retraite]]-Base[[#This Row],['[SC']'[Mort_prématurée']Âge_moyen_mort précoce]]</f>
        <v>10.159999999999997</v>
      </c>
      <c r="BG605" s="4">
        <f>Base[[#This Row],[Espérance_vie]]+Base[[#This Row],['[SC']Hausse_esp_de_vie]]-Base[[#This Row],['[SC']Âge_moyen_retraite]]</f>
        <v>20.404874790994718</v>
      </c>
      <c r="BH605" s="4">
        <v>106583.42676924677</v>
      </c>
      <c r="BI605" s="4">
        <v>97601.789429271477</v>
      </c>
      <c r="BJ605" s="4">
        <v>302038.31496633729</v>
      </c>
      <c r="BK605" s="4">
        <v>117293.58934859755</v>
      </c>
      <c r="BL605" s="4">
        <v>1523999.9999999995</v>
      </c>
      <c r="BM60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5" s="4">
        <v>294804.96027377353</v>
      </c>
      <c r="BO60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5" s="4">
        <f>(Base[[#This Row],['[SC']'[Mort_prématurée']Gains]]-Base[[#This Row],['[SC']'[Mort_prématurée']Coûts]])/Base[[#This Row],[Population_totale]]</f>
        <v>0</v>
      </c>
      <c r="BQ605" s="4">
        <f>IF(Base[[#This Row],[Pathologie]]&lt;&gt;"Mort prématurée",0,Base[[#This Row],[Risque]])</f>
        <v>0</v>
      </c>
      <c r="BR605" s="4">
        <v>2680</v>
      </c>
      <c r="BS60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5" s="4">
        <f>Base[[#This Row],[Prévalence_prod]]*(1-Base[[#This Row],[Risque]])*Base[[#This Row],[Durée_arrêt]]*Base[[#This Row],[Population_emploi]]</f>
        <v>354900.74643512495</v>
      </c>
      <c r="BV605" s="4">
        <f>Base[[#This Row],['[Prod']'[Absentéisme']Total_jours_absence_avant]]-Base[[#This Row],['[Prod']'[Absentéisme']Total_jours_absence_après]]</f>
        <v>117956.25356487499</v>
      </c>
      <c r="BW605" s="4">
        <f>IF(AND(Base[[#This Row],[Pathologie]]&lt;&gt;"Dépendance",Base[[#This Row],[Pathologie]]&lt;&gt;"Mort prématurée",Base[[#This Row],[Pathologie]]&lt;&gt;"Migraine"),0.0619,0)</f>
        <v>6.1899999999999997E-2</v>
      </c>
      <c r="BX605" s="4">
        <v>254</v>
      </c>
      <c r="BY605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5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5" s="4">
        <f>Base[[#This Row],[Prévalence_prod]]*Base[[#This Row],[Présentéisme]]*Base[[#This Row],['[Prod']Jours_ouvrés]]</f>
        <v>0</v>
      </c>
      <c r="CB605" s="4">
        <f>Base[[#This Row],[Prévalence_prod]]*(1-Base[[#This Row],[Risque]])*Base[[#This Row],[Présentéisme]]*Base[[#This Row],['[Prod']Jours_ouvrés]]</f>
        <v>0</v>
      </c>
      <c r="CC605" s="4">
        <f>Base[[#This Row],['[Prod']'[Présentéisme']Jours_avant]]-Base[[#This Row],['[Prod']'[Présentéisme']Jours_après]]</f>
        <v>0</v>
      </c>
      <c r="CD605" s="4">
        <f>Base[[#This Row],['[Prod']'[Présentéisme']Jours_gagnés]]/Base[[#This Row],['[Prod']Jours_ouvrés]]</f>
        <v>0</v>
      </c>
      <c r="CE605">
        <v>9.3428413505841454E-2</v>
      </c>
      <c r="CF605">
        <v>2.1038737314955848E-2</v>
      </c>
      <c r="CG605" s="4">
        <v>11</v>
      </c>
      <c r="CH605" s="4">
        <v>0.13729577077682142</v>
      </c>
      <c r="CI605" s="4">
        <v>1.373516710817578E-2</v>
      </c>
      <c r="CJ605" s="4">
        <f>IF(Base[[#This Row],[Secteur]]&lt;&gt;"Moyenne",Base[[#This Row],['[Prod']'[Turnover']DMC_initiale]]*(1+Base[[#This Row],['[Prod']'[Turnover']Ecart_accidents]]*Base[[#This Row],['[Prod']Impact_motifs_turnover]]),CJ588*CI588+CJ589*CI589+CJ590*CI590+CJ591*CI591+CJ592*CI592+CJ593*CI593+CJ594*CI594+CJ595*CI595+CJ596*CI596+CJ597*CI597+CJ598*CI598+CJ599*CI599+CJ600*CI600+CJ601*CI601+CJ602*CI602+CJ603*CI603+CJ604*CI604)</f>
        <v>11.031773826214106</v>
      </c>
      <c r="CK605" s="4">
        <f>1/Base[[#This Row],['[Prod']'[Turnover']DMC_initiale]]</f>
        <v>9.0909090909090912E-2</v>
      </c>
      <c r="CL605" s="4">
        <f>1/Base[[#This Row],['[Prod']'[Turnover']DMC_finale]]</f>
        <v>9.0647253628764871E-2</v>
      </c>
    </row>
    <row r="606" spans="2:90" x14ac:dyDescent="0.25">
      <c r="B606" s="4" t="s">
        <v>328</v>
      </c>
      <c r="C606">
        <v>30</v>
      </c>
      <c r="D606" t="s">
        <v>85</v>
      </c>
      <c r="E606" t="s">
        <v>10</v>
      </c>
      <c r="F606" s="3">
        <v>0.24945438803882591</v>
      </c>
      <c r="G606" s="3">
        <v>0.17849999999999999</v>
      </c>
      <c r="H606" s="3">
        <v>8.4823104693140794E-4</v>
      </c>
      <c r="I606" s="3">
        <v>0</v>
      </c>
      <c r="J606" s="3">
        <v>1.82</v>
      </c>
      <c r="K606" s="3">
        <v>7.0000000000000007E-2</v>
      </c>
      <c r="L606" s="2">
        <f>Base[[#This Row],[Coût]]*Base[[#This Row],[Part_ménages_dépenses_santé]]</f>
        <v>0.12740000000000001</v>
      </c>
      <c r="M606" s="2">
        <v>0.82690611956969029</v>
      </c>
      <c r="N606" s="6">
        <v>27700000</v>
      </c>
      <c r="O606" s="7">
        <f>Base[[#This Row],[Coût_salarié]]*10^9*Base[[#This Row],[Risque]]*Base[[#This Row],[Prévalence]]*Base[[#This Row],[Part_coûts_salarié]]/Base[[#This Row],[Population_emploi]]</f>
        <v>0.16934611316761322</v>
      </c>
      <c r="P606">
        <v>50</v>
      </c>
      <c r="Q606">
        <v>50</v>
      </c>
      <c r="R606" s="2">
        <v>9.9999999999999978E-2</v>
      </c>
      <c r="S606" s="2">
        <v>0.33340000000000003</v>
      </c>
      <c r="T606" s="4">
        <v>8.4823104693140805E-4</v>
      </c>
      <c r="U606" s="4">
        <f>IF(Bases_annexes!$F$5=0,16.6587111018772,0.77*Bases_annexes!$F$5/(IF(OR(ISBLANK('Données_d''entrée'!$E$44),'Données_d''entrée'!$E$44=0),35,'Données_d''entrée'!$E$44)*52))</f>
        <v>16.658711101877199</v>
      </c>
      <c r="V606" s="4">
        <v>20.125</v>
      </c>
      <c r="W60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6" s="4">
        <v>234.5</v>
      </c>
      <c r="Y606" s="4">
        <f>(Base[[#This Row],['[Maladies']Coûts_évités_par_salarié]]+Base[[#This Row],['[Travail']Coûts_évités_par_salarié]])/Base[[#This Row],[Budget_santé_salarié]]</f>
        <v>1.2180116304197847E-3</v>
      </c>
      <c r="Z606" s="4">
        <v>0.8</v>
      </c>
      <c r="AA606" s="4">
        <f>Base[[#This Row],[Coût]]*Base[[#This Row],[Part_société_dépenses_santé]]</f>
        <v>1.4560000000000002</v>
      </c>
      <c r="AB606" s="4">
        <v>67635124</v>
      </c>
      <c r="AC606" s="4">
        <v>82.297079063317852</v>
      </c>
      <c r="AD606" s="4">
        <v>8.4823104693140805E-4</v>
      </c>
      <c r="AE606" s="4">
        <f>Base[[#This Row],['[SC']Prévalence_travail]]*Base[[#This Row],[Population_emploi]]</f>
        <v>23496.000000000004</v>
      </c>
      <c r="AF606" s="4">
        <f>Base[[#This Row],[Risque]]*Base[[#This Row],['[SC']Patients_en_emploi]]</f>
        <v>5861.1803013602548</v>
      </c>
      <c r="AG606" s="4">
        <v>0</v>
      </c>
      <c r="AH606" s="4">
        <f>IFERROR(Base[[#This Row],['[SC']Prestations]]/Base[[#This Row],['[SC']Patients_en_emploi]],0)</f>
        <v>0</v>
      </c>
      <c r="AI606" s="4">
        <v>51.7</v>
      </c>
      <c r="AJ60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6" s="4">
        <f>Base[[#This Row],['[SC']'[Travail']Coûts_évités]]/Base[[#This Row],[Population_emploi]]</f>
        <v>0.18733823987592307</v>
      </c>
      <c r="AL606" s="4">
        <f>Base[[#This Row],[Coût_société]]*10^9*Base[[#This Row],[Risque]]*Base[[#This Row],[Prévalence]]*Base[[#This Row],[Part_coûts_salarié]]/Base[[#This Row],[Population_emploi]]</f>
        <v>1.9353841504870084</v>
      </c>
      <c r="AM606" s="4">
        <f>IF(Base[[#This Row],[Pathologie]]&lt;&gt;"Dépendance",0,14909.24243952)</f>
        <v>0</v>
      </c>
      <c r="AN606" s="4">
        <f>IF(Base[[#This Row],[Pathologie]]&lt;&gt;"Dépendance",0,1316000)</f>
        <v>0</v>
      </c>
      <c r="AO606" s="4">
        <f>IF(Base[[#This Row],[Pathologie]]&lt;&gt;"Dépendance",0,Base[[#This Row],['[SC']Coût_personne_dépendante]]*Base[[#This Row],['[SC']Nb_personnes_dépendantes]])</f>
        <v>0</v>
      </c>
      <c r="AP606" s="4">
        <f>IF(Base[[#This Row],[Pathologie]]&lt;&gt;"Dépendance",0,Base[[#This Row],['[SC']Coût_total_dépendance]]/Base[[#This Row],[Population_totale]])</f>
        <v>0</v>
      </c>
      <c r="AQ606" s="4">
        <f>IF(Base[[#This Row],[Pathologie]]&lt;&gt;"Dépendance",0,4.5)</f>
        <v>0</v>
      </c>
      <c r="AR606" s="4">
        <v>1.0077957276768601</v>
      </c>
      <c r="AS606" s="4">
        <f>Base[[#This Row],[Espérance_vie]]+Base[[#This Row],['[SC']Hausse_esp_de_vie]]-Base[[#This Row],['[SC']Durée_moyenne_dépendance_avt]]+Base[[#This Row],[Risque]]</f>
        <v>83.554329179033545</v>
      </c>
      <c r="AT60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6" s="4">
        <v>62.9</v>
      </c>
      <c r="AW606" s="4">
        <f t="shared" si="19"/>
        <v>336905600000</v>
      </c>
      <c r="AX606" s="4">
        <v>15049171</v>
      </c>
      <c r="AY606" s="4">
        <f>Base[[#This Row],['[SC']Budget_total_retraites]]/Base[[#This Row],['[SC']Nombre_de_retraités]]</f>
        <v>22386.987296509556</v>
      </c>
      <c r="AZ606" s="4">
        <f>Base[[#This Row],['[SC']Budget_par_retraité]]*Base[[#This Row],['[SC']Nb_personnes_dépendantes]]</f>
        <v>0</v>
      </c>
      <c r="BA606" s="4">
        <f>Base[[#This Row],['[SC']'[Dépendance']Coût_retraite_personnes_dépendantes]]/Base[[#This Row],[Population_totale]]</f>
        <v>0</v>
      </c>
      <c r="BB60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6" s="4">
        <f>Base[[#This Row],['[SC']'[Dépendance']Gains]]-Base[[#This Row],['[SC']'[Dépendance']Coûts]]</f>
        <v>0</v>
      </c>
      <c r="BD606" s="4">
        <f>IF(Base[[#This Row],[Pathologie]]&lt;&gt;"Mort prématurée",0,Base[[#This Row],[Risque]]*Base[[#This Row],[Prévalence]]*Base[[#This Row],[Population_totale]])</f>
        <v>0</v>
      </c>
      <c r="BE606" s="4">
        <v>52.74</v>
      </c>
      <c r="BF606" s="4">
        <f>Base[[#This Row],['[SC']Âge_moyen_retraite]]-Base[[#This Row],['[SC']'[Mort_prématurée']Âge_moyen_mort précoce]]</f>
        <v>10.159999999999997</v>
      </c>
      <c r="BG606" s="4">
        <f>Base[[#This Row],[Espérance_vie]]+Base[[#This Row],['[SC']Hausse_esp_de_vie]]-Base[[#This Row],['[SC']Âge_moyen_retraite]]</f>
        <v>20.404874790994718</v>
      </c>
      <c r="BH606" s="4">
        <v>106583.42676924677</v>
      </c>
      <c r="BI606" s="4">
        <v>97601.789429271477</v>
      </c>
      <c r="BJ606" s="4">
        <v>302038.31496633729</v>
      </c>
      <c r="BK606" s="4">
        <v>117293.58934859755</v>
      </c>
      <c r="BL606" s="4">
        <v>1523999.9999999995</v>
      </c>
      <c r="BM60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6" s="4">
        <v>294804.96027377353</v>
      </c>
      <c r="BO60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6" s="4">
        <f>(Base[[#This Row],['[SC']'[Mort_prématurée']Gains]]-Base[[#This Row],['[SC']'[Mort_prématurée']Coûts]])/Base[[#This Row],[Population_totale]]</f>
        <v>0</v>
      </c>
      <c r="BQ606" s="4">
        <f>IF(Base[[#This Row],[Pathologie]]&lt;&gt;"Mort prématurée",0,Base[[#This Row],[Risque]])</f>
        <v>0</v>
      </c>
      <c r="BR606" s="4">
        <v>2680</v>
      </c>
      <c r="BS60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6" s="4">
        <f>Base[[#This Row],[Prévalence_prod]]*(1-Base[[#This Row],[Risque]])*Base[[#This Row],[Durée_arrêt]]*Base[[#This Row],[Population_emploi]]</f>
        <v>354900.74643512495</v>
      </c>
      <c r="BV606" s="4">
        <f>Base[[#This Row],['[Prod']'[Absentéisme']Total_jours_absence_avant]]-Base[[#This Row],['[Prod']'[Absentéisme']Total_jours_absence_après]]</f>
        <v>117956.25356487499</v>
      </c>
      <c r="BW606" s="4">
        <f>IF(AND(Base[[#This Row],[Pathologie]]&lt;&gt;"Dépendance",Base[[#This Row],[Pathologie]]&lt;&gt;"Mort prématurée",Base[[#This Row],[Pathologie]]&lt;&gt;"Migraine"),0.0619,0)</f>
        <v>6.1899999999999997E-2</v>
      </c>
      <c r="BX606" s="4">
        <v>254</v>
      </c>
      <c r="BY606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6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6" s="4">
        <f>Base[[#This Row],[Prévalence_prod]]*Base[[#This Row],[Présentéisme]]*Base[[#This Row],['[Prod']Jours_ouvrés]]</f>
        <v>0</v>
      </c>
      <c r="CB606" s="4">
        <f>Base[[#This Row],[Prévalence_prod]]*(1-Base[[#This Row],[Risque]])*Base[[#This Row],[Présentéisme]]*Base[[#This Row],['[Prod']Jours_ouvrés]]</f>
        <v>0</v>
      </c>
      <c r="CC606" s="4">
        <f>Base[[#This Row],['[Prod']'[Présentéisme']Jours_avant]]-Base[[#This Row],['[Prod']'[Présentéisme']Jours_après]]</f>
        <v>0</v>
      </c>
      <c r="CD606" s="4">
        <f>Base[[#This Row],['[Prod']'[Présentéisme']Jours_gagnés]]/Base[[#This Row],['[Prod']Jours_ouvrés]]</f>
        <v>0</v>
      </c>
      <c r="CE606">
        <v>9.3428413505841454E-2</v>
      </c>
      <c r="CF606">
        <v>2.1038737314955848E-2</v>
      </c>
      <c r="CG606" s="4">
        <v>11</v>
      </c>
      <c r="CH606" s="4">
        <v>0.60922528771817497</v>
      </c>
      <c r="CI606" s="4">
        <v>3.8601807163334179E-3</v>
      </c>
      <c r="CJ606" s="4">
        <f>IF(Base[[#This Row],[Secteur]]&lt;&gt;"Moyenne",Base[[#This Row],['[Prod']'[Turnover']DMC_initiale]]*(1+Base[[#This Row],['[Prod']'[Turnover']Ecart_accidents]]*Base[[#This Row],['[Prod']Impact_motifs_turnover]]),CJ589*CI589+CJ590*CI590+CJ591*CI591+CJ592*CI592+CJ593*CI593+CJ594*CI594+CJ595*CI595+CJ596*CI596+CJ597*CI597+CJ598*CI598+CJ599*CI599+CJ600*CI600+CJ601*CI601+CJ602*CI602+CJ603*CI603+CJ604*CI604+CJ605*CI605)</f>
        <v>11.140990638733241</v>
      </c>
      <c r="CK606" s="4">
        <f>1/Base[[#This Row],['[Prod']'[Turnover']DMC_initiale]]</f>
        <v>9.0909090909090912E-2</v>
      </c>
      <c r="CL606" s="4">
        <f>1/Base[[#This Row],['[Prod']'[Turnover']DMC_finale]]</f>
        <v>8.9758624921859057E-2</v>
      </c>
    </row>
    <row r="607" spans="2:90" x14ac:dyDescent="0.25">
      <c r="B607" s="4" t="s">
        <v>329</v>
      </c>
      <c r="C607">
        <v>30</v>
      </c>
      <c r="D607" t="s">
        <v>85</v>
      </c>
      <c r="E607" t="s">
        <v>10</v>
      </c>
      <c r="F607" s="3">
        <v>0.24945438803882591</v>
      </c>
      <c r="G607" s="3">
        <v>0.17849999999999999</v>
      </c>
      <c r="H607" s="3">
        <v>8.4823104693140794E-4</v>
      </c>
      <c r="I607" s="3">
        <v>0</v>
      </c>
      <c r="J607" s="3">
        <v>1.82</v>
      </c>
      <c r="K607" s="3">
        <v>7.0000000000000007E-2</v>
      </c>
      <c r="L607" s="2">
        <f>Base[[#This Row],[Coût]]*Base[[#This Row],[Part_ménages_dépenses_santé]]</f>
        <v>0.12740000000000001</v>
      </c>
      <c r="M607" s="2">
        <v>0.82690611956969029</v>
      </c>
      <c r="N607" s="6">
        <v>27700000</v>
      </c>
      <c r="O607" s="7">
        <f>Base[[#This Row],[Coût_salarié]]*10^9*Base[[#This Row],[Risque]]*Base[[#This Row],[Prévalence]]*Base[[#This Row],[Part_coûts_salarié]]/Base[[#This Row],[Population_emploi]]</f>
        <v>0.16934611316761322</v>
      </c>
      <c r="P607">
        <v>50</v>
      </c>
      <c r="Q607">
        <v>50</v>
      </c>
      <c r="R607" s="2">
        <v>9.9999999999999978E-2</v>
      </c>
      <c r="S607" s="2">
        <v>0.33340000000000003</v>
      </c>
      <c r="T607" s="4">
        <v>8.4823104693140805E-4</v>
      </c>
      <c r="U607" s="4">
        <f>IF(Bases_annexes!$F$5=0,16.6587111018772,0.77*Bases_annexes!$F$5/(IF(OR(ISBLANK('Données_d''entrée'!$E$44),'Données_d''entrée'!$E$44=0),35,'Données_d''entrée'!$E$44)*52))</f>
        <v>16.658711101877199</v>
      </c>
      <c r="V607" s="4">
        <v>20.125</v>
      </c>
      <c r="W60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7" s="4">
        <v>234.5</v>
      </c>
      <c r="Y607" s="4">
        <f>(Base[[#This Row],['[Maladies']Coûts_évités_par_salarié]]+Base[[#This Row],['[Travail']Coûts_évités_par_salarié]])/Base[[#This Row],[Budget_santé_salarié]]</f>
        <v>1.2180116304197847E-3</v>
      </c>
      <c r="Z607" s="4">
        <v>0.8</v>
      </c>
      <c r="AA607" s="4">
        <f>Base[[#This Row],[Coût]]*Base[[#This Row],[Part_société_dépenses_santé]]</f>
        <v>1.4560000000000002</v>
      </c>
      <c r="AB607" s="4">
        <v>67635124</v>
      </c>
      <c r="AC607" s="4">
        <v>82.297079063317852</v>
      </c>
      <c r="AD607" s="4">
        <v>8.4823104693140805E-4</v>
      </c>
      <c r="AE607" s="4">
        <f>Base[[#This Row],['[SC']Prévalence_travail]]*Base[[#This Row],[Population_emploi]]</f>
        <v>23496.000000000004</v>
      </c>
      <c r="AF607" s="4">
        <f>Base[[#This Row],[Risque]]*Base[[#This Row],['[SC']Patients_en_emploi]]</f>
        <v>5861.1803013602548</v>
      </c>
      <c r="AG607" s="4">
        <v>0</v>
      </c>
      <c r="AH607" s="4">
        <f>IFERROR(Base[[#This Row],['[SC']Prestations]]/Base[[#This Row],['[SC']Patients_en_emploi]],0)</f>
        <v>0</v>
      </c>
      <c r="AI607" s="4">
        <v>51.7</v>
      </c>
      <c r="AJ60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7" s="4">
        <f>Base[[#This Row],['[SC']'[Travail']Coûts_évités]]/Base[[#This Row],[Population_emploi]]</f>
        <v>0.18733823987592307</v>
      </c>
      <c r="AL607" s="4">
        <f>Base[[#This Row],[Coût_société]]*10^9*Base[[#This Row],[Risque]]*Base[[#This Row],[Prévalence]]*Base[[#This Row],[Part_coûts_salarié]]/Base[[#This Row],[Population_emploi]]</f>
        <v>1.9353841504870084</v>
      </c>
      <c r="AM607" s="4">
        <f>IF(Base[[#This Row],[Pathologie]]&lt;&gt;"Dépendance",0,14909.24243952)</f>
        <v>0</v>
      </c>
      <c r="AN607" s="4">
        <f>IF(Base[[#This Row],[Pathologie]]&lt;&gt;"Dépendance",0,1316000)</f>
        <v>0</v>
      </c>
      <c r="AO607" s="4">
        <f>IF(Base[[#This Row],[Pathologie]]&lt;&gt;"Dépendance",0,Base[[#This Row],['[SC']Coût_personne_dépendante]]*Base[[#This Row],['[SC']Nb_personnes_dépendantes]])</f>
        <v>0</v>
      </c>
      <c r="AP607" s="4">
        <f>IF(Base[[#This Row],[Pathologie]]&lt;&gt;"Dépendance",0,Base[[#This Row],['[SC']Coût_total_dépendance]]/Base[[#This Row],[Population_totale]])</f>
        <v>0</v>
      </c>
      <c r="AQ607" s="4">
        <f>IF(Base[[#This Row],[Pathologie]]&lt;&gt;"Dépendance",0,4.5)</f>
        <v>0</v>
      </c>
      <c r="AR607" s="4">
        <v>1.0077957276768601</v>
      </c>
      <c r="AS607" s="4">
        <f>Base[[#This Row],[Espérance_vie]]+Base[[#This Row],['[SC']Hausse_esp_de_vie]]-Base[[#This Row],['[SC']Durée_moyenne_dépendance_avt]]+Base[[#This Row],[Risque]]</f>
        <v>83.554329179033545</v>
      </c>
      <c r="AT60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7" s="4">
        <v>62.9</v>
      </c>
      <c r="AW607" s="4">
        <f t="shared" si="19"/>
        <v>336905600000</v>
      </c>
      <c r="AX607" s="4">
        <v>15049171</v>
      </c>
      <c r="AY607" s="4">
        <f>Base[[#This Row],['[SC']Budget_total_retraites]]/Base[[#This Row],['[SC']Nombre_de_retraités]]</f>
        <v>22386.987296509556</v>
      </c>
      <c r="AZ607" s="4">
        <f>Base[[#This Row],['[SC']Budget_par_retraité]]*Base[[#This Row],['[SC']Nb_personnes_dépendantes]]</f>
        <v>0</v>
      </c>
      <c r="BA607" s="4">
        <f>Base[[#This Row],['[SC']'[Dépendance']Coût_retraite_personnes_dépendantes]]/Base[[#This Row],[Population_totale]]</f>
        <v>0</v>
      </c>
      <c r="BB60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7" s="4">
        <f>Base[[#This Row],['[SC']'[Dépendance']Gains]]-Base[[#This Row],['[SC']'[Dépendance']Coûts]]</f>
        <v>0</v>
      </c>
      <c r="BD607" s="4">
        <f>IF(Base[[#This Row],[Pathologie]]&lt;&gt;"Mort prématurée",0,Base[[#This Row],[Risque]]*Base[[#This Row],[Prévalence]]*Base[[#This Row],[Population_totale]])</f>
        <v>0</v>
      </c>
      <c r="BE607" s="4">
        <v>52.74</v>
      </c>
      <c r="BF607" s="4">
        <f>Base[[#This Row],['[SC']Âge_moyen_retraite]]-Base[[#This Row],['[SC']'[Mort_prématurée']Âge_moyen_mort précoce]]</f>
        <v>10.159999999999997</v>
      </c>
      <c r="BG607" s="4">
        <f>Base[[#This Row],[Espérance_vie]]+Base[[#This Row],['[SC']Hausse_esp_de_vie]]-Base[[#This Row],['[SC']Âge_moyen_retraite]]</f>
        <v>20.404874790994718</v>
      </c>
      <c r="BH607" s="4">
        <v>106583.42676924677</v>
      </c>
      <c r="BI607" s="4">
        <v>97601.789429271477</v>
      </c>
      <c r="BJ607" s="4">
        <v>302038.31496633729</v>
      </c>
      <c r="BK607" s="4">
        <v>117293.58934859755</v>
      </c>
      <c r="BL607" s="4">
        <v>1523999.9999999995</v>
      </c>
      <c r="BM60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7" s="4">
        <v>294804.96027377353</v>
      </c>
      <c r="BO60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7" s="4">
        <f>(Base[[#This Row],['[SC']'[Mort_prématurée']Gains]]-Base[[#This Row],['[SC']'[Mort_prématurée']Coûts]])/Base[[#This Row],[Population_totale]]</f>
        <v>0</v>
      </c>
      <c r="BQ607" s="4">
        <f>IF(Base[[#This Row],[Pathologie]]&lt;&gt;"Mort prématurée",0,Base[[#This Row],[Risque]])</f>
        <v>0</v>
      </c>
      <c r="BR607" s="4">
        <v>2680</v>
      </c>
      <c r="BS60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7" s="4">
        <f>Base[[#This Row],[Prévalence_prod]]*(1-Base[[#This Row],[Risque]])*Base[[#This Row],[Durée_arrêt]]*Base[[#This Row],[Population_emploi]]</f>
        <v>354900.74643512495</v>
      </c>
      <c r="BV607" s="4">
        <f>Base[[#This Row],['[Prod']'[Absentéisme']Total_jours_absence_avant]]-Base[[#This Row],['[Prod']'[Absentéisme']Total_jours_absence_après]]</f>
        <v>117956.25356487499</v>
      </c>
      <c r="BW607" s="4">
        <f>IF(AND(Base[[#This Row],[Pathologie]]&lt;&gt;"Dépendance",Base[[#This Row],[Pathologie]]&lt;&gt;"Mort prématurée",Base[[#This Row],[Pathologie]]&lt;&gt;"Migraine"),0.0619,0)</f>
        <v>6.1899999999999997E-2</v>
      </c>
      <c r="BX607" s="4">
        <v>254</v>
      </c>
      <c r="BY607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7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7" s="4">
        <f>Base[[#This Row],[Prévalence_prod]]*Base[[#This Row],[Présentéisme]]*Base[[#This Row],['[Prod']Jours_ouvrés]]</f>
        <v>0</v>
      </c>
      <c r="CB607" s="4">
        <f>Base[[#This Row],[Prévalence_prod]]*(1-Base[[#This Row],[Risque]])*Base[[#This Row],[Présentéisme]]*Base[[#This Row],['[Prod']Jours_ouvrés]]</f>
        <v>0</v>
      </c>
      <c r="CC607" s="4">
        <f>Base[[#This Row],['[Prod']'[Présentéisme']Jours_avant]]-Base[[#This Row],['[Prod']'[Présentéisme']Jours_après]]</f>
        <v>0</v>
      </c>
      <c r="CD607" s="4">
        <f>Base[[#This Row],['[Prod']'[Présentéisme']Jours_gagnés]]/Base[[#This Row],['[Prod']Jours_ouvrés]]</f>
        <v>0</v>
      </c>
      <c r="CE607">
        <v>9.3428413505841454E-2</v>
      </c>
      <c r="CF607">
        <v>2.1038737314955848E-2</v>
      </c>
      <c r="CG607" s="4">
        <v>11</v>
      </c>
      <c r="CH607" s="4">
        <v>0.78414927716175975</v>
      </c>
      <c r="CI607" s="4">
        <v>0.12835819090128339</v>
      </c>
      <c r="CJ607" s="4">
        <f>IF(Base[[#This Row],[Secteur]]&lt;&gt;"Moyenne",Base[[#This Row],['[Prod']'[Turnover']DMC_initiale]]*(1+Base[[#This Row],['[Prod']'[Turnover']Ecart_accidents]]*Base[[#This Row],['[Prod']Impact_motifs_turnover]]),CJ590*CI590+CJ591*CI591+CJ592*CI592+CJ593*CI593+CJ594*CI594+CJ595*CI595+CJ596*CI596+CJ597*CI597+CJ598*CI598+CJ599*CI599+CJ600*CI600+CJ601*CI601+CJ602*CI602+CJ603*CI603+CJ604*CI604+CJ605*CI605+CJ606*CI606)</f>
        <v>11.181472617237107</v>
      </c>
      <c r="CK607" s="4">
        <f>1/Base[[#This Row],['[Prod']'[Turnover']DMC_initiale]]</f>
        <v>9.0909090909090912E-2</v>
      </c>
      <c r="CL607" s="4">
        <f>1/Base[[#This Row],['[Prod']'[Turnover']DMC_finale]]</f>
        <v>8.9433658180088235E-2</v>
      </c>
    </row>
    <row r="608" spans="2:90" x14ac:dyDescent="0.25">
      <c r="B608" s="4" t="s">
        <v>330</v>
      </c>
      <c r="C608">
        <v>30</v>
      </c>
      <c r="D608" t="s">
        <v>85</v>
      </c>
      <c r="E608" t="s">
        <v>10</v>
      </c>
      <c r="F608" s="3">
        <v>0.24945438803882591</v>
      </c>
      <c r="G608" s="3">
        <v>0.17849999999999999</v>
      </c>
      <c r="H608" s="3">
        <v>8.4823104693140794E-4</v>
      </c>
      <c r="I608" s="3">
        <v>0</v>
      </c>
      <c r="J608" s="3">
        <v>1.82</v>
      </c>
      <c r="K608" s="3">
        <v>7.0000000000000007E-2</v>
      </c>
      <c r="L608" s="2">
        <f>Base[[#This Row],[Coût]]*Base[[#This Row],[Part_ménages_dépenses_santé]]</f>
        <v>0.12740000000000001</v>
      </c>
      <c r="M608" s="2">
        <v>0.82690611956969029</v>
      </c>
      <c r="N608" s="6">
        <v>27700000</v>
      </c>
      <c r="O608" s="7">
        <f>Base[[#This Row],[Coût_salarié]]*10^9*Base[[#This Row],[Risque]]*Base[[#This Row],[Prévalence]]*Base[[#This Row],[Part_coûts_salarié]]/Base[[#This Row],[Population_emploi]]</f>
        <v>0.16934611316761322</v>
      </c>
      <c r="P608">
        <v>50</v>
      </c>
      <c r="Q608">
        <v>50</v>
      </c>
      <c r="R608" s="2">
        <v>9.9999999999999978E-2</v>
      </c>
      <c r="S608" s="2">
        <v>0.33340000000000003</v>
      </c>
      <c r="T608" s="4">
        <v>8.4823104693140805E-4</v>
      </c>
      <c r="U608" s="4">
        <f>IF(Bases_annexes!$F$5=0,16.6587111018772,0.77*Bases_annexes!$F$5/(IF(OR(ISBLANK('Données_d''entrée'!$E$44),'Données_d''entrée'!$E$44=0),35,'Données_d''entrée'!$E$44)*52))</f>
        <v>16.658711101877199</v>
      </c>
      <c r="V608" s="4">
        <v>20.125</v>
      </c>
      <c r="W60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8" s="4">
        <v>234.5</v>
      </c>
      <c r="Y608" s="4">
        <f>(Base[[#This Row],['[Maladies']Coûts_évités_par_salarié]]+Base[[#This Row],['[Travail']Coûts_évités_par_salarié]])/Base[[#This Row],[Budget_santé_salarié]]</f>
        <v>1.2180116304197847E-3</v>
      </c>
      <c r="Z608" s="4">
        <v>0.8</v>
      </c>
      <c r="AA608" s="4">
        <f>Base[[#This Row],[Coût]]*Base[[#This Row],[Part_société_dépenses_santé]]</f>
        <v>1.4560000000000002</v>
      </c>
      <c r="AB608" s="4">
        <v>67635124</v>
      </c>
      <c r="AC608" s="4">
        <v>82.297079063317852</v>
      </c>
      <c r="AD608" s="4">
        <v>8.4823104693140805E-4</v>
      </c>
      <c r="AE608" s="4">
        <f>Base[[#This Row],['[SC']Prévalence_travail]]*Base[[#This Row],[Population_emploi]]</f>
        <v>23496.000000000004</v>
      </c>
      <c r="AF608" s="4">
        <f>Base[[#This Row],[Risque]]*Base[[#This Row],['[SC']Patients_en_emploi]]</f>
        <v>5861.1803013602548</v>
      </c>
      <c r="AG608" s="4">
        <v>0</v>
      </c>
      <c r="AH608" s="4">
        <f>IFERROR(Base[[#This Row],['[SC']Prestations]]/Base[[#This Row],['[SC']Patients_en_emploi]],0)</f>
        <v>0</v>
      </c>
      <c r="AI608" s="4">
        <v>51.7</v>
      </c>
      <c r="AJ60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8" s="4">
        <f>Base[[#This Row],['[SC']'[Travail']Coûts_évités]]/Base[[#This Row],[Population_emploi]]</f>
        <v>0.18733823987592307</v>
      </c>
      <c r="AL608" s="4">
        <f>Base[[#This Row],[Coût_société]]*10^9*Base[[#This Row],[Risque]]*Base[[#This Row],[Prévalence]]*Base[[#This Row],[Part_coûts_salarié]]/Base[[#This Row],[Population_emploi]]</f>
        <v>1.9353841504870084</v>
      </c>
      <c r="AM608" s="4">
        <f>IF(Base[[#This Row],[Pathologie]]&lt;&gt;"Dépendance",0,14909.24243952)</f>
        <v>0</v>
      </c>
      <c r="AN608" s="4">
        <f>IF(Base[[#This Row],[Pathologie]]&lt;&gt;"Dépendance",0,1316000)</f>
        <v>0</v>
      </c>
      <c r="AO608" s="4">
        <f>IF(Base[[#This Row],[Pathologie]]&lt;&gt;"Dépendance",0,Base[[#This Row],['[SC']Coût_personne_dépendante]]*Base[[#This Row],['[SC']Nb_personnes_dépendantes]])</f>
        <v>0</v>
      </c>
      <c r="AP608" s="4">
        <f>IF(Base[[#This Row],[Pathologie]]&lt;&gt;"Dépendance",0,Base[[#This Row],['[SC']Coût_total_dépendance]]/Base[[#This Row],[Population_totale]])</f>
        <v>0</v>
      </c>
      <c r="AQ608" s="4">
        <f>IF(Base[[#This Row],[Pathologie]]&lt;&gt;"Dépendance",0,4.5)</f>
        <v>0</v>
      </c>
      <c r="AR608" s="4">
        <v>1.0077957276768601</v>
      </c>
      <c r="AS608" s="4">
        <f>Base[[#This Row],[Espérance_vie]]+Base[[#This Row],['[SC']Hausse_esp_de_vie]]-Base[[#This Row],['[SC']Durée_moyenne_dépendance_avt]]+Base[[#This Row],[Risque]]</f>
        <v>83.554329179033545</v>
      </c>
      <c r="AT60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8" s="4">
        <v>62.9</v>
      </c>
      <c r="AW608" s="4">
        <f t="shared" si="19"/>
        <v>336905600000</v>
      </c>
      <c r="AX608" s="4">
        <v>15049171</v>
      </c>
      <c r="AY608" s="4">
        <f>Base[[#This Row],['[SC']Budget_total_retraites]]/Base[[#This Row],['[SC']Nombre_de_retraités]]</f>
        <v>22386.987296509556</v>
      </c>
      <c r="AZ608" s="4">
        <f>Base[[#This Row],['[SC']Budget_par_retraité]]*Base[[#This Row],['[SC']Nb_personnes_dépendantes]]</f>
        <v>0</v>
      </c>
      <c r="BA608" s="4">
        <f>Base[[#This Row],['[SC']'[Dépendance']Coût_retraite_personnes_dépendantes]]/Base[[#This Row],[Population_totale]]</f>
        <v>0</v>
      </c>
      <c r="BB60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8" s="4">
        <f>Base[[#This Row],['[SC']'[Dépendance']Gains]]-Base[[#This Row],['[SC']'[Dépendance']Coûts]]</f>
        <v>0</v>
      </c>
      <c r="BD608" s="4">
        <f>IF(Base[[#This Row],[Pathologie]]&lt;&gt;"Mort prématurée",0,Base[[#This Row],[Risque]]*Base[[#This Row],[Prévalence]]*Base[[#This Row],[Population_totale]])</f>
        <v>0</v>
      </c>
      <c r="BE608" s="4">
        <v>52.74</v>
      </c>
      <c r="BF608" s="4">
        <f>Base[[#This Row],['[SC']Âge_moyen_retraite]]-Base[[#This Row],['[SC']'[Mort_prématurée']Âge_moyen_mort précoce]]</f>
        <v>10.159999999999997</v>
      </c>
      <c r="BG608" s="4">
        <f>Base[[#This Row],[Espérance_vie]]+Base[[#This Row],['[SC']Hausse_esp_de_vie]]-Base[[#This Row],['[SC']Âge_moyen_retraite]]</f>
        <v>20.404874790994718</v>
      </c>
      <c r="BH608" s="4">
        <v>106583.42676924677</v>
      </c>
      <c r="BI608" s="4">
        <v>97601.789429271477</v>
      </c>
      <c r="BJ608" s="4">
        <v>302038.31496633729</v>
      </c>
      <c r="BK608" s="4">
        <v>117293.58934859755</v>
      </c>
      <c r="BL608" s="4">
        <v>1523999.9999999995</v>
      </c>
      <c r="BM60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8" s="4">
        <v>294804.96027377353</v>
      </c>
      <c r="BO60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8" s="4">
        <f>(Base[[#This Row],['[SC']'[Mort_prématurée']Gains]]-Base[[#This Row],['[SC']'[Mort_prématurée']Coûts]])/Base[[#This Row],[Population_totale]]</f>
        <v>0</v>
      </c>
      <c r="BQ608" s="4">
        <f>IF(Base[[#This Row],[Pathologie]]&lt;&gt;"Mort prématurée",0,Base[[#This Row],[Risque]])</f>
        <v>0</v>
      </c>
      <c r="BR608" s="4">
        <v>2680</v>
      </c>
      <c r="BS60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8" s="4">
        <f>Base[[#This Row],[Prévalence_prod]]*(1-Base[[#This Row],[Risque]])*Base[[#This Row],[Durée_arrêt]]*Base[[#This Row],[Population_emploi]]</f>
        <v>354900.74643512495</v>
      </c>
      <c r="BV608" s="4">
        <f>Base[[#This Row],['[Prod']'[Absentéisme']Total_jours_absence_avant]]-Base[[#This Row],['[Prod']'[Absentéisme']Total_jours_absence_après]]</f>
        <v>117956.25356487499</v>
      </c>
      <c r="BW608" s="4">
        <f>IF(AND(Base[[#This Row],[Pathologie]]&lt;&gt;"Dépendance",Base[[#This Row],[Pathologie]]&lt;&gt;"Mort prématurée",Base[[#This Row],[Pathologie]]&lt;&gt;"Migraine"),0.0619,0)</f>
        <v>6.1899999999999997E-2</v>
      </c>
      <c r="BX608" s="4">
        <v>254</v>
      </c>
      <c r="BY608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8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8" s="4">
        <f>Base[[#This Row],[Prévalence_prod]]*Base[[#This Row],[Présentéisme]]*Base[[#This Row],['[Prod']Jours_ouvrés]]</f>
        <v>0</v>
      </c>
      <c r="CB608" s="4">
        <f>Base[[#This Row],[Prévalence_prod]]*(1-Base[[#This Row],[Risque]])*Base[[#This Row],[Présentéisme]]*Base[[#This Row],['[Prod']Jours_ouvrés]]</f>
        <v>0</v>
      </c>
      <c r="CC608" s="4">
        <f>Base[[#This Row],['[Prod']'[Présentéisme']Jours_avant]]-Base[[#This Row],['[Prod']'[Présentéisme']Jours_après]]</f>
        <v>0</v>
      </c>
      <c r="CD608" s="4">
        <f>Base[[#This Row],['[Prod']'[Présentéisme']Jours_gagnés]]/Base[[#This Row],['[Prod']Jours_ouvrés]]</f>
        <v>0</v>
      </c>
      <c r="CE608">
        <v>9.3428413505841454E-2</v>
      </c>
      <c r="CF608">
        <v>2.1038737314955848E-2</v>
      </c>
      <c r="CG608" s="4">
        <v>11</v>
      </c>
      <c r="CH608" s="4">
        <v>0.99648427619813984</v>
      </c>
      <c r="CI608" s="4">
        <v>0.42377466100567313</v>
      </c>
      <c r="CJ608" s="4">
        <f>IF(Base[[#This Row],[Secteur]]&lt;&gt;"Moyenne",Base[[#This Row],['[Prod']'[Turnover']DMC_initiale]]*(1+Base[[#This Row],['[Prod']'[Turnover']Ecart_accidents]]*Base[[#This Row],['[Prod']Impact_motifs_turnover]]),CJ591*CI591+CJ592*CI592+CJ593*CI593+CJ594*CI594+CJ595*CI595+CJ596*CI596+CJ597*CI597+CJ598*CI598+CJ599*CI599+CJ600*CI600+CJ601*CI601+CJ602*CI602+CJ603*CI603+CJ604*CI604+CJ605*CI605+CJ606*CI606+CJ607*CI607)</f>
        <v>11.230612480179582</v>
      </c>
      <c r="CK608" s="4">
        <f>1/Base[[#This Row],['[Prod']'[Turnover']DMC_initiale]]</f>
        <v>9.0909090909090912E-2</v>
      </c>
      <c r="CL608" s="4">
        <f>1/Base[[#This Row],['[Prod']'[Turnover']DMC_finale]]</f>
        <v>8.9042338676083466E-2</v>
      </c>
    </row>
    <row r="609" spans="2:90" x14ac:dyDescent="0.25">
      <c r="B609" s="4" t="s">
        <v>331</v>
      </c>
      <c r="C609">
        <v>30</v>
      </c>
      <c r="D609" t="s">
        <v>85</v>
      </c>
      <c r="E609" t="s">
        <v>10</v>
      </c>
      <c r="F609" s="3">
        <v>0.24945438803882591</v>
      </c>
      <c r="G609" s="3">
        <v>0.17849999999999999</v>
      </c>
      <c r="H609" s="3">
        <v>8.4823104693140794E-4</v>
      </c>
      <c r="I609" s="3">
        <v>0</v>
      </c>
      <c r="J609" s="3">
        <v>1.82</v>
      </c>
      <c r="K609" s="3">
        <v>7.0000000000000007E-2</v>
      </c>
      <c r="L609" s="2">
        <f>Base[[#This Row],[Coût]]*Base[[#This Row],[Part_ménages_dépenses_santé]]</f>
        <v>0.12740000000000001</v>
      </c>
      <c r="M609" s="2">
        <v>0.82690611956969029</v>
      </c>
      <c r="N609" s="6">
        <v>27700000</v>
      </c>
      <c r="O609" s="7">
        <f>Base[[#This Row],[Coût_salarié]]*10^9*Base[[#This Row],[Risque]]*Base[[#This Row],[Prévalence]]*Base[[#This Row],[Part_coûts_salarié]]/Base[[#This Row],[Population_emploi]]</f>
        <v>0.16934611316761322</v>
      </c>
      <c r="P609">
        <v>50</v>
      </c>
      <c r="Q609">
        <v>50</v>
      </c>
      <c r="R609" s="2">
        <v>9.9999999999999978E-2</v>
      </c>
      <c r="S609" s="2">
        <v>0.33340000000000003</v>
      </c>
      <c r="T609" s="4">
        <v>8.4823104693140805E-4</v>
      </c>
      <c r="U609" s="4">
        <f>IF(Bases_annexes!$F$5=0,16.6587111018772,0.77*Bases_annexes!$F$5/(IF(OR(ISBLANK('Données_d''entrée'!$E$44),'Données_d''entrée'!$E$44=0),35,'Données_d''entrée'!$E$44)*52))</f>
        <v>16.658711101877199</v>
      </c>
      <c r="V609" s="4">
        <v>20.125</v>
      </c>
      <c r="W60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09" s="4">
        <v>234.5</v>
      </c>
      <c r="Y609" s="4">
        <f>(Base[[#This Row],['[Maladies']Coûts_évités_par_salarié]]+Base[[#This Row],['[Travail']Coûts_évités_par_salarié]])/Base[[#This Row],[Budget_santé_salarié]]</f>
        <v>1.2180116304197847E-3</v>
      </c>
      <c r="Z609" s="4">
        <v>0.8</v>
      </c>
      <c r="AA609" s="4">
        <f>Base[[#This Row],[Coût]]*Base[[#This Row],[Part_société_dépenses_santé]]</f>
        <v>1.4560000000000002</v>
      </c>
      <c r="AB609" s="4">
        <v>67635124</v>
      </c>
      <c r="AC609" s="4">
        <v>82.297079063317852</v>
      </c>
      <c r="AD609" s="4">
        <v>8.4823104693140805E-4</v>
      </c>
      <c r="AE609" s="4">
        <f>Base[[#This Row],['[SC']Prévalence_travail]]*Base[[#This Row],[Population_emploi]]</f>
        <v>23496.000000000004</v>
      </c>
      <c r="AF609" s="4">
        <f>Base[[#This Row],[Risque]]*Base[[#This Row],['[SC']Patients_en_emploi]]</f>
        <v>5861.1803013602548</v>
      </c>
      <c r="AG609" s="4">
        <v>0</v>
      </c>
      <c r="AH609" s="4">
        <f>IFERROR(Base[[#This Row],['[SC']Prestations]]/Base[[#This Row],['[SC']Patients_en_emploi]],0)</f>
        <v>0</v>
      </c>
      <c r="AI609" s="4">
        <v>51.7</v>
      </c>
      <c r="AJ60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09" s="4">
        <f>Base[[#This Row],['[SC']'[Travail']Coûts_évités]]/Base[[#This Row],[Population_emploi]]</f>
        <v>0.18733823987592307</v>
      </c>
      <c r="AL609" s="4">
        <f>Base[[#This Row],[Coût_société]]*10^9*Base[[#This Row],[Risque]]*Base[[#This Row],[Prévalence]]*Base[[#This Row],[Part_coûts_salarié]]/Base[[#This Row],[Population_emploi]]</f>
        <v>1.9353841504870084</v>
      </c>
      <c r="AM609" s="4">
        <f>IF(Base[[#This Row],[Pathologie]]&lt;&gt;"Dépendance",0,14909.24243952)</f>
        <v>0</v>
      </c>
      <c r="AN609" s="4">
        <f>IF(Base[[#This Row],[Pathologie]]&lt;&gt;"Dépendance",0,1316000)</f>
        <v>0</v>
      </c>
      <c r="AO609" s="4">
        <f>IF(Base[[#This Row],[Pathologie]]&lt;&gt;"Dépendance",0,Base[[#This Row],['[SC']Coût_personne_dépendante]]*Base[[#This Row],['[SC']Nb_personnes_dépendantes]])</f>
        <v>0</v>
      </c>
      <c r="AP609" s="4">
        <f>IF(Base[[#This Row],[Pathologie]]&lt;&gt;"Dépendance",0,Base[[#This Row],['[SC']Coût_total_dépendance]]/Base[[#This Row],[Population_totale]])</f>
        <v>0</v>
      </c>
      <c r="AQ609" s="4">
        <f>IF(Base[[#This Row],[Pathologie]]&lt;&gt;"Dépendance",0,4.5)</f>
        <v>0</v>
      </c>
      <c r="AR609" s="4">
        <v>1.0077957276768601</v>
      </c>
      <c r="AS609" s="4">
        <f>Base[[#This Row],[Espérance_vie]]+Base[[#This Row],['[SC']Hausse_esp_de_vie]]-Base[[#This Row],['[SC']Durée_moyenne_dépendance_avt]]+Base[[#This Row],[Risque]]</f>
        <v>83.554329179033545</v>
      </c>
      <c r="AT60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0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09" s="4">
        <v>62.9</v>
      </c>
      <c r="AW609" s="4">
        <f t="shared" si="19"/>
        <v>336905600000</v>
      </c>
      <c r="AX609" s="4">
        <v>15049171</v>
      </c>
      <c r="AY609" s="4">
        <f>Base[[#This Row],['[SC']Budget_total_retraites]]/Base[[#This Row],['[SC']Nombre_de_retraités]]</f>
        <v>22386.987296509556</v>
      </c>
      <c r="AZ609" s="4">
        <f>Base[[#This Row],['[SC']Budget_par_retraité]]*Base[[#This Row],['[SC']Nb_personnes_dépendantes]]</f>
        <v>0</v>
      </c>
      <c r="BA609" s="4">
        <f>Base[[#This Row],['[SC']'[Dépendance']Coût_retraite_personnes_dépendantes]]/Base[[#This Row],[Population_totale]]</f>
        <v>0</v>
      </c>
      <c r="BB60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09" s="4">
        <f>Base[[#This Row],['[SC']'[Dépendance']Gains]]-Base[[#This Row],['[SC']'[Dépendance']Coûts]]</f>
        <v>0</v>
      </c>
      <c r="BD609" s="4">
        <f>IF(Base[[#This Row],[Pathologie]]&lt;&gt;"Mort prématurée",0,Base[[#This Row],[Risque]]*Base[[#This Row],[Prévalence]]*Base[[#This Row],[Population_totale]])</f>
        <v>0</v>
      </c>
      <c r="BE609" s="4">
        <v>52.74</v>
      </c>
      <c r="BF609" s="4">
        <f>Base[[#This Row],['[SC']Âge_moyen_retraite]]-Base[[#This Row],['[SC']'[Mort_prématurée']Âge_moyen_mort précoce]]</f>
        <v>10.159999999999997</v>
      </c>
      <c r="BG609" s="4">
        <f>Base[[#This Row],[Espérance_vie]]+Base[[#This Row],['[SC']Hausse_esp_de_vie]]-Base[[#This Row],['[SC']Âge_moyen_retraite]]</f>
        <v>20.404874790994718</v>
      </c>
      <c r="BH609" s="4">
        <v>106583.42676924677</v>
      </c>
      <c r="BI609" s="4">
        <v>97601.789429271477</v>
      </c>
      <c r="BJ609" s="4">
        <v>302038.31496633729</v>
      </c>
      <c r="BK609" s="4">
        <v>117293.58934859755</v>
      </c>
      <c r="BL609" s="4">
        <v>1523999.9999999995</v>
      </c>
      <c r="BM60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09" s="4">
        <v>294804.96027377353</v>
      </c>
      <c r="BO60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09" s="4">
        <f>(Base[[#This Row],['[SC']'[Mort_prématurée']Gains]]-Base[[#This Row],['[SC']'[Mort_prématurée']Coûts]])/Base[[#This Row],[Population_totale]]</f>
        <v>0</v>
      </c>
      <c r="BQ609" s="4">
        <f>IF(Base[[#This Row],[Pathologie]]&lt;&gt;"Mort prématurée",0,Base[[#This Row],[Risque]])</f>
        <v>0</v>
      </c>
      <c r="BR609" s="4">
        <v>2680</v>
      </c>
      <c r="BS60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0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09" s="4">
        <f>Base[[#This Row],[Prévalence_prod]]*(1-Base[[#This Row],[Risque]])*Base[[#This Row],[Durée_arrêt]]*Base[[#This Row],[Population_emploi]]</f>
        <v>354900.74643512495</v>
      </c>
      <c r="BV609" s="4">
        <f>Base[[#This Row],['[Prod']'[Absentéisme']Total_jours_absence_avant]]-Base[[#This Row],['[Prod']'[Absentéisme']Total_jours_absence_après]]</f>
        <v>117956.25356487499</v>
      </c>
      <c r="BW609" s="4">
        <f>IF(AND(Base[[#This Row],[Pathologie]]&lt;&gt;"Dépendance",Base[[#This Row],[Pathologie]]&lt;&gt;"Mort prématurée",Base[[#This Row],[Pathologie]]&lt;&gt;"Migraine"),0.0619,0)</f>
        <v>6.1899999999999997E-2</v>
      </c>
      <c r="BX609" s="4">
        <v>254</v>
      </c>
      <c r="BY609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09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09" s="4">
        <f>Base[[#This Row],[Prévalence_prod]]*Base[[#This Row],[Présentéisme]]*Base[[#This Row],['[Prod']Jours_ouvrés]]</f>
        <v>0</v>
      </c>
      <c r="CB609" s="4">
        <f>Base[[#This Row],[Prévalence_prod]]*(1-Base[[#This Row],[Risque]])*Base[[#This Row],[Présentéisme]]*Base[[#This Row],['[Prod']Jours_ouvrés]]</f>
        <v>0</v>
      </c>
      <c r="CC609" s="4">
        <f>Base[[#This Row],['[Prod']'[Présentéisme']Jours_avant]]-Base[[#This Row],['[Prod']'[Présentéisme']Jours_après]]</f>
        <v>0</v>
      </c>
      <c r="CD609" s="4">
        <f>Base[[#This Row],['[Prod']'[Présentéisme']Jours_gagnés]]/Base[[#This Row],['[Prod']Jours_ouvrés]]</f>
        <v>0</v>
      </c>
      <c r="CE609">
        <v>9.3428413505841454E-2</v>
      </c>
      <c r="CF609">
        <v>2.1038737314955848E-2</v>
      </c>
      <c r="CG609" s="4">
        <v>11</v>
      </c>
      <c r="CH609" s="4">
        <v>1.1593596509901765</v>
      </c>
      <c r="CI609" s="4">
        <v>4.0741311947357597E-2</v>
      </c>
      <c r="CJ609" s="4">
        <f>IF(Base[[#This Row],[Secteur]]&lt;&gt;"Moyenne",Base[[#This Row],['[Prod']'[Turnover']DMC_initiale]]*(1+Base[[#This Row],['[Prod']'[Turnover']Ecart_accidents]]*Base[[#This Row],['[Prod']Impact_motifs_turnover]]),CJ592*CI592+CJ593*CI593+CJ594*CI594+CJ595*CI595+CJ596*CI596+CJ597*CI597+CJ598*CI598+CJ599*CI599+CJ600*CI600+CJ601*CI601+CJ602*CI602+CJ603*CI603+CJ604*CI604+CJ605*CI605+CJ606*CI606+CJ607*CI607+CJ608*CI608)</f>
        <v>11.268306094658152</v>
      </c>
      <c r="CK609" s="4">
        <f>1/Base[[#This Row],['[Prod']'[Turnover']DMC_initiale]]</f>
        <v>9.0909090909090912E-2</v>
      </c>
      <c r="CL609" s="4">
        <f>1/Base[[#This Row],['[Prod']'[Turnover']DMC_finale]]</f>
        <v>8.8744483119256007E-2</v>
      </c>
    </row>
    <row r="610" spans="2:90" x14ac:dyDescent="0.25">
      <c r="B610" s="4" t="s">
        <v>332</v>
      </c>
      <c r="C610">
        <v>30</v>
      </c>
      <c r="D610" t="s">
        <v>85</v>
      </c>
      <c r="E610" t="s">
        <v>10</v>
      </c>
      <c r="F610" s="3">
        <v>0.24945438803882591</v>
      </c>
      <c r="G610" s="3">
        <v>0.17849999999999999</v>
      </c>
      <c r="H610" s="3">
        <v>8.4823104693140794E-4</v>
      </c>
      <c r="I610" s="3">
        <v>0</v>
      </c>
      <c r="J610" s="3">
        <v>1.82</v>
      </c>
      <c r="K610" s="3">
        <v>7.0000000000000007E-2</v>
      </c>
      <c r="L610" s="2">
        <f>Base[[#This Row],[Coût]]*Base[[#This Row],[Part_ménages_dépenses_santé]]</f>
        <v>0.12740000000000001</v>
      </c>
      <c r="M610" s="2">
        <v>0.82690611956969029</v>
      </c>
      <c r="N610" s="6">
        <v>27700000</v>
      </c>
      <c r="O610" s="7">
        <f>Base[[#This Row],[Coût_salarié]]*10^9*Base[[#This Row],[Risque]]*Base[[#This Row],[Prévalence]]*Base[[#This Row],[Part_coûts_salarié]]/Base[[#This Row],[Population_emploi]]</f>
        <v>0.16934611316761322</v>
      </c>
      <c r="P610">
        <v>50</v>
      </c>
      <c r="Q610">
        <v>50</v>
      </c>
      <c r="R610" s="2">
        <v>9.9999999999999978E-2</v>
      </c>
      <c r="S610" s="2">
        <v>0.33340000000000003</v>
      </c>
      <c r="T610" s="4">
        <v>8.4823104693140805E-4</v>
      </c>
      <c r="U610" s="4">
        <f>IF(Bases_annexes!$F$5=0,16.6587111018772,0.77*Bases_annexes!$F$5/(IF(OR(ISBLANK('Données_d''entrée'!$E$44),'Données_d''entrée'!$E$44=0),35,'Données_d''entrée'!$E$44)*52))</f>
        <v>16.658711101877199</v>
      </c>
      <c r="V610" s="4">
        <v>20.125</v>
      </c>
      <c r="W61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0.11627761416582626</v>
      </c>
      <c r="X610" s="4">
        <v>234.5</v>
      </c>
      <c r="Y610" s="4">
        <f>(Base[[#This Row],['[Maladies']Coûts_évités_par_salarié]]+Base[[#This Row],['[Travail']Coûts_évités_par_salarié]])/Base[[#This Row],[Budget_santé_salarié]]</f>
        <v>1.2180116304197847E-3</v>
      </c>
      <c r="Z610" s="4">
        <v>0.8</v>
      </c>
      <c r="AA610" s="4">
        <f>Base[[#This Row],[Coût]]*Base[[#This Row],[Part_société_dépenses_santé]]</f>
        <v>1.4560000000000002</v>
      </c>
      <c r="AB610" s="4">
        <v>67635124</v>
      </c>
      <c r="AC610" s="4">
        <v>82.297079063317852</v>
      </c>
      <c r="AD610" s="4">
        <v>8.4823104693140805E-4</v>
      </c>
      <c r="AE610" s="4">
        <f>Base[[#This Row],['[SC']Prévalence_travail]]*Base[[#This Row],[Population_emploi]]</f>
        <v>23496.000000000004</v>
      </c>
      <c r="AF610" s="4">
        <f>Base[[#This Row],[Risque]]*Base[[#This Row],['[SC']Patients_en_emploi]]</f>
        <v>5861.1803013602548</v>
      </c>
      <c r="AG610" s="4">
        <v>0</v>
      </c>
      <c r="AH610" s="4">
        <f>IFERROR(Base[[#This Row],['[SC']Prestations]]/Base[[#This Row],['[SC']Patients_en_emploi]],0)</f>
        <v>0</v>
      </c>
      <c r="AI610" s="4">
        <v>51.7</v>
      </c>
      <c r="AJ61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5189269.2445630692</v>
      </c>
      <c r="AK610" s="4">
        <f>Base[[#This Row],['[SC']'[Travail']Coûts_évités]]/Base[[#This Row],[Population_emploi]]</f>
        <v>0.18733823987592307</v>
      </c>
      <c r="AL610" s="4">
        <f>Base[[#This Row],[Coût_société]]*10^9*Base[[#This Row],[Risque]]*Base[[#This Row],[Prévalence]]*Base[[#This Row],[Part_coûts_salarié]]/Base[[#This Row],[Population_emploi]]</f>
        <v>1.9353841504870084</v>
      </c>
      <c r="AM610" s="4">
        <f>IF(Base[[#This Row],[Pathologie]]&lt;&gt;"Dépendance",0,14909.24243952)</f>
        <v>0</v>
      </c>
      <c r="AN610" s="4">
        <f>IF(Base[[#This Row],[Pathologie]]&lt;&gt;"Dépendance",0,1316000)</f>
        <v>0</v>
      </c>
      <c r="AO610" s="4">
        <f>IF(Base[[#This Row],[Pathologie]]&lt;&gt;"Dépendance",0,Base[[#This Row],['[SC']Coût_personne_dépendante]]*Base[[#This Row],['[SC']Nb_personnes_dépendantes]])</f>
        <v>0</v>
      </c>
      <c r="AP610" s="4">
        <f>IF(Base[[#This Row],[Pathologie]]&lt;&gt;"Dépendance",0,Base[[#This Row],['[SC']Coût_total_dépendance]]/Base[[#This Row],[Population_totale]])</f>
        <v>0</v>
      </c>
      <c r="AQ610" s="4">
        <f>IF(Base[[#This Row],[Pathologie]]&lt;&gt;"Dépendance",0,4.5)</f>
        <v>0</v>
      </c>
      <c r="AR610" s="4">
        <v>1.0077957276768601</v>
      </c>
      <c r="AS610" s="4">
        <f>Base[[#This Row],[Espérance_vie]]+Base[[#This Row],['[SC']Hausse_esp_de_vie]]-Base[[#This Row],['[SC']Durée_moyenne_dépendance_avt]]+Base[[#This Row],[Risque]]</f>
        <v>83.554329179033545</v>
      </c>
      <c r="AT61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0" s="4">
        <v>62.9</v>
      </c>
      <c r="AW610" s="4">
        <f t="shared" si="19"/>
        <v>336905600000</v>
      </c>
      <c r="AX610" s="4">
        <v>15049171</v>
      </c>
      <c r="AY610" s="4">
        <f>Base[[#This Row],['[SC']Budget_total_retraites]]/Base[[#This Row],['[SC']Nombre_de_retraités]]</f>
        <v>22386.987296509556</v>
      </c>
      <c r="AZ610" s="4">
        <f>Base[[#This Row],['[SC']Budget_par_retraité]]*Base[[#This Row],['[SC']Nb_personnes_dépendantes]]</f>
        <v>0</v>
      </c>
      <c r="BA610" s="4">
        <f>Base[[#This Row],['[SC']'[Dépendance']Coût_retraite_personnes_dépendantes]]/Base[[#This Row],[Population_totale]]</f>
        <v>0</v>
      </c>
      <c r="BB61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0" s="4">
        <f>Base[[#This Row],['[SC']'[Dépendance']Gains]]-Base[[#This Row],['[SC']'[Dépendance']Coûts]]</f>
        <v>0</v>
      </c>
      <c r="BD610" s="4">
        <f>IF(Base[[#This Row],[Pathologie]]&lt;&gt;"Mort prématurée",0,Base[[#This Row],[Risque]]*Base[[#This Row],[Prévalence]]*Base[[#This Row],[Population_totale]])</f>
        <v>0</v>
      </c>
      <c r="BE610" s="4">
        <v>52.74</v>
      </c>
      <c r="BF610" s="4">
        <f>Base[[#This Row],['[SC']Âge_moyen_retraite]]-Base[[#This Row],['[SC']'[Mort_prématurée']Âge_moyen_mort précoce]]</f>
        <v>10.159999999999997</v>
      </c>
      <c r="BG610" s="4">
        <f>Base[[#This Row],[Espérance_vie]]+Base[[#This Row],['[SC']Hausse_esp_de_vie]]-Base[[#This Row],['[SC']Âge_moyen_retraite]]</f>
        <v>20.404874790994718</v>
      </c>
      <c r="BH610" s="4">
        <v>106583.42676924677</v>
      </c>
      <c r="BI610" s="4">
        <v>97601.789429271477</v>
      </c>
      <c r="BJ610" s="4">
        <v>302038.31496633729</v>
      </c>
      <c r="BK610" s="4">
        <v>117293.58934859755</v>
      </c>
      <c r="BL610" s="4">
        <v>1523999.9999999995</v>
      </c>
      <c r="BM61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0" s="4">
        <v>294804.96027377353</v>
      </c>
      <c r="BO61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0" s="4">
        <f>(Base[[#This Row],['[SC']'[Mort_prématurée']Gains]]-Base[[#This Row],['[SC']'[Mort_prématurée']Coûts]])/Base[[#This Row],[Population_totale]]</f>
        <v>0</v>
      </c>
      <c r="BQ610" s="4">
        <f>IF(Base[[#This Row],[Pathologie]]&lt;&gt;"Mort prématurée",0,Base[[#This Row],[Risque]])</f>
        <v>0</v>
      </c>
      <c r="BR610" s="4">
        <v>2680</v>
      </c>
      <c r="BS61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7.9206059341900418E-4</v>
      </c>
      <c r="BT61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472856.99999999994</v>
      </c>
      <c r="BU610" s="4">
        <f>Base[[#This Row],[Prévalence_prod]]*(1-Base[[#This Row],[Risque]])*Base[[#This Row],[Durée_arrêt]]*Base[[#This Row],[Population_emploi]]</f>
        <v>354900.74643512495</v>
      </c>
      <c r="BV610" s="4">
        <f>Base[[#This Row],['[Prod']'[Absentéisme']Total_jours_absence_avant]]-Base[[#This Row],['[Prod']'[Absentéisme']Total_jours_absence_après]]</f>
        <v>117956.25356487499</v>
      </c>
      <c r="BW610" s="4">
        <f>IF(AND(Base[[#This Row],[Pathologie]]&lt;&gt;"Dépendance",Base[[#This Row],[Pathologie]]&lt;&gt;"Mort prématurée",Base[[#This Row],[Pathologie]]&lt;&gt;"Migraine"),0.0619,0)</f>
        <v>6.1899999999999997E-2</v>
      </c>
      <c r="BX610" s="4">
        <v>254</v>
      </c>
      <c r="BY610" s="4">
        <f>Base[[#This Row],['[Prod']'[Absentéisme']Taux_initial]]*Base[[#This Row],['[Prod']Jours_ouvrés]]*Base[[#This Row],[Population_emploi]]*Base[[#This Row],['[Prod']'[Absentéisme']Total_jours_absence_avant]]/211051099.251489</f>
        <v>975767.47716317349</v>
      </c>
      <c r="BZ610" s="4">
        <f>(Base[[#This Row],['[Prod']'[Absentéisme']Jours_théoriques]]-Base[[#This Row],['[Prod']'[Absentéisme']Total_jours_absence_évités]])/(Base[[#This Row],[Population_emploi]]*Base[[#This Row],['[Prod']Jours_ouvrés]])</f>
        <v>1.2192092208395613E-4</v>
      </c>
      <c r="CA610" s="4">
        <f>Base[[#This Row],[Prévalence_prod]]*Base[[#This Row],[Présentéisme]]*Base[[#This Row],['[Prod']Jours_ouvrés]]</f>
        <v>0</v>
      </c>
      <c r="CB610" s="4">
        <f>Base[[#This Row],[Prévalence_prod]]*(1-Base[[#This Row],[Risque]])*Base[[#This Row],[Présentéisme]]*Base[[#This Row],['[Prod']Jours_ouvrés]]</f>
        <v>0</v>
      </c>
      <c r="CC610" s="4">
        <f>Base[[#This Row],['[Prod']'[Présentéisme']Jours_avant]]-Base[[#This Row],['[Prod']'[Présentéisme']Jours_après]]</f>
        <v>0</v>
      </c>
      <c r="CD610" s="4">
        <f>Base[[#This Row],['[Prod']'[Présentéisme']Jours_gagnés]]/Base[[#This Row],['[Prod']Jours_ouvrés]]</f>
        <v>0</v>
      </c>
      <c r="CE610">
        <v>9.3428413505841454E-2</v>
      </c>
      <c r="CF610">
        <v>2.1038737314955848E-2</v>
      </c>
      <c r="CG610" s="4">
        <v>11</v>
      </c>
      <c r="CH610" s="4">
        <v>0.85076983926913452</v>
      </c>
      <c r="CI610" s="4">
        <v>0</v>
      </c>
      <c r="CJ610" s="4">
        <f>IF(Base[[#This Row],[Secteur]]&lt;&gt;"Moyenne",Base[[#This Row],['[Prod']'[Turnover']DMC_initiale]]*(1+Base[[#This Row],['[Prod']'[Turnover']Ecart_accidents]]*Base[[#This Row],['[Prod']Impact_motifs_turnover]]),CJ593*CI593+CJ594*CI594+CJ595*CI595+CJ596*CI596+CJ597*CI597+CJ598*CI598+CJ599*CI599+CJ600*CI600+CJ601*CI601+CJ602*CI602+CJ603*CI603+CJ604*CI604+CJ605*CI605+CJ606*CI606+CJ607*CI607+CJ608*CI608+CJ609*CI609)</f>
        <v>11.196890354802576</v>
      </c>
      <c r="CK610" s="4">
        <f>1/Base[[#This Row],['[Prod']'[Turnover']DMC_initiale]]</f>
        <v>9.0909090909090912E-2</v>
      </c>
      <c r="CL610" s="4">
        <f>1/Base[[#This Row],['[Prod']'[Turnover']DMC_finale]]</f>
        <v>8.9310511071592255E-2</v>
      </c>
    </row>
    <row r="611" spans="2:90" x14ac:dyDescent="0.25">
      <c r="B611" s="4" t="s">
        <v>315</v>
      </c>
      <c r="C611">
        <v>30</v>
      </c>
      <c r="D611" t="s">
        <v>85</v>
      </c>
      <c r="E611" t="s">
        <v>12</v>
      </c>
      <c r="F611" s="3">
        <v>0.251640133011237</v>
      </c>
      <c r="G611" s="3">
        <v>0.1079</v>
      </c>
      <c r="H611" s="3">
        <v>0.1079</v>
      </c>
      <c r="I611" s="3">
        <v>7.6499999999999999E-2</v>
      </c>
      <c r="J611" s="3">
        <v>7.67629534616262</v>
      </c>
      <c r="K611" s="3">
        <v>7.0000000000000007E-2</v>
      </c>
      <c r="L611" s="2">
        <f>Base[[#This Row],[Coût]]*Base[[#This Row],[Part_ménages_dépenses_santé]]</f>
        <v>0.53734067423138343</v>
      </c>
      <c r="M611" s="2">
        <v>0.82690611956969029</v>
      </c>
      <c r="N611" s="6">
        <v>27700000</v>
      </c>
      <c r="O611" s="7">
        <f>Base[[#This Row],[Coût_salarié]]*10^9*Base[[#This Row],[Risque]]*Base[[#This Row],[Prévalence]]*Base[[#This Row],[Part_coûts_salarié]]/Base[[#This Row],[Population_emploi]]</f>
        <v>0.43553945522869025</v>
      </c>
      <c r="P611">
        <v>50</v>
      </c>
      <c r="Q611">
        <v>50</v>
      </c>
      <c r="R611" s="2">
        <v>9.9999999999999978E-2</v>
      </c>
      <c r="S611" s="2">
        <v>0.33340000000000003</v>
      </c>
      <c r="T611" s="4">
        <v>0.1079</v>
      </c>
      <c r="U611" s="4">
        <f>IF(Bases_annexes!$F$5=0,16.6587111018772,0.77*Bases_annexes!$F$5/(IF(OR(ISBLANK('Données_d''entrée'!$E$44),'Données_d''entrée'!$E$44=0),35,'Données_d''entrée'!$E$44)*52))</f>
        <v>16.658711101877199</v>
      </c>
      <c r="V611" s="4">
        <v>4.25</v>
      </c>
      <c r="W61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1" s="4">
        <v>234.5</v>
      </c>
      <c r="Y611" s="4">
        <f>(Base[[#This Row],['[Maladies']Coûts_évités_par_salarié]]+Base[[#This Row],['[Travail']Coûts_évités_par_salarié]])/Base[[#This Row],[Budget_santé_salarié]]</f>
        <v>4.4051045245840817E-2</v>
      </c>
      <c r="Z611" s="4">
        <v>0.8</v>
      </c>
      <c r="AA611" s="4">
        <f>Base[[#This Row],[Coût]]*Base[[#This Row],[Part_société_dépenses_santé]]</f>
        <v>6.1410362769300963</v>
      </c>
      <c r="AB611" s="4">
        <v>67635124</v>
      </c>
      <c r="AC611" s="4">
        <v>82.297079063317852</v>
      </c>
      <c r="AD611" s="4">
        <v>0.1079</v>
      </c>
      <c r="AE611" s="4">
        <f>Base[[#This Row],['[SC']Prévalence_travail]]*Base[[#This Row],[Population_emploi]]</f>
        <v>2988830</v>
      </c>
      <c r="AF611" s="4">
        <f>Base[[#This Row],[Risque]]*Base[[#This Row],['[SC']Patients_en_emploi]]</f>
        <v>752109.57874797552</v>
      </c>
      <c r="AG611" s="4">
        <v>0</v>
      </c>
      <c r="AH611" s="4">
        <f>IFERROR(Base[[#This Row],['[SC']Prestations]]/Base[[#This Row],['[SC']Patients_en_emploi]],0)</f>
        <v>0</v>
      </c>
      <c r="AI611" s="4">
        <v>51.7</v>
      </c>
      <c r="AJ61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1" s="4">
        <f>Base[[#This Row],['[SC']'[Travail']Coûts_évités]]/Base[[#This Row],[Population_emploi]]</f>
        <v>1.754696083992344</v>
      </c>
      <c r="AL611" s="4">
        <f>Base[[#This Row],[Coût_société]]*10^9*Base[[#This Row],[Risque]]*Base[[#This Row],[Prévalence]]*Base[[#This Row],[Part_coûts_salarié]]/Base[[#This Row],[Population_emploi]]</f>
        <v>4.977593774042175</v>
      </c>
      <c r="AM611" s="4">
        <f>IF(Base[[#This Row],[Pathologie]]&lt;&gt;"Dépendance",0,14909.24243952)</f>
        <v>0</v>
      </c>
      <c r="AN611" s="4">
        <f>IF(Base[[#This Row],[Pathologie]]&lt;&gt;"Dépendance",0,1316000)</f>
        <v>0</v>
      </c>
      <c r="AO611" s="4">
        <f>IF(Base[[#This Row],[Pathologie]]&lt;&gt;"Dépendance",0,Base[[#This Row],['[SC']Coût_personne_dépendante]]*Base[[#This Row],['[SC']Nb_personnes_dépendantes]])</f>
        <v>0</v>
      </c>
      <c r="AP611" s="4">
        <f>IF(Base[[#This Row],[Pathologie]]&lt;&gt;"Dépendance",0,Base[[#This Row],['[SC']Coût_total_dépendance]]/Base[[#This Row],[Population_totale]])</f>
        <v>0</v>
      </c>
      <c r="AQ611" s="4">
        <f>IF(Base[[#This Row],[Pathologie]]&lt;&gt;"Dépendance",0,4.5)</f>
        <v>0</v>
      </c>
      <c r="AR611" s="4">
        <v>1.0077957276768601</v>
      </c>
      <c r="AS611" s="4">
        <f>Base[[#This Row],[Espérance_vie]]+Base[[#This Row],['[SC']Hausse_esp_de_vie]]-Base[[#This Row],['[SC']Durée_moyenne_dépendance_avt]]+Base[[#This Row],[Risque]]</f>
        <v>83.556514924005953</v>
      </c>
      <c r="AT61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1" s="4">
        <v>62.9</v>
      </c>
      <c r="AW611" s="4">
        <f t="shared" si="0"/>
        <v>336905600000</v>
      </c>
      <c r="AX611" s="4">
        <v>15049171</v>
      </c>
      <c r="AY611" s="4">
        <f>Base[[#This Row],['[SC']Budget_total_retraites]]/Base[[#This Row],['[SC']Nombre_de_retraités]]</f>
        <v>22386.987296509556</v>
      </c>
      <c r="AZ611" s="4">
        <f>Base[[#This Row],['[SC']Budget_par_retraité]]*Base[[#This Row],['[SC']Nb_personnes_dépendantes]]</f>
        <v>0</v>
      </c>
      <c r="BA611" s="4">
        <f>Base[[#This Row],['[SC']'[Dépendance']Coût_retraite_personnes_dépendantes]]/Base[[#This Row],[Population_totale]]</f>
        <v>0</v>
      </c>
      <c r="BB61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1" s="4">
        <f>Base[[#This Row],['[SC']'[Dépendance']Gains]]-Base[[#This Row],['[SC']'[Dépendance']Coûts]]</f>
        <v>0</v>
      </c>
      <c r="BD611" s="4">
        <f>IF(Base[[#This Row],[Pathologie]]&lt;&gt;"Mort prématurée",0,Base[[#This Row],[Risque]]*Base[[#This Row],[Prévalence]]*Base[[#This Row],[Population_totale]])</f>
        <v>0</v>
      </c>
      <c r="BE611" s="4">
        <v>52.74</v>
      </c>
      <c r="BF611" s="4">
        <f>Base[[#This Row],['[SC']Âge_moyen_retraite]]-Base[[#This Row],['[SC']'[Mort_prématurée']Âge_moyen_mort précoce]]</f>
        <v>10.159999999999997</v>
      </c>
      <c r="BG611" s="4">
        <f>Base[[#This Row],[Espérance_vie]]+Base[[#This Row],['[SC']Hausse_esp_de_vie]]-Base[[#This Row],['[SC']Âge_moyen_retraite]]</f>
        <v>20.404874790994718</v>
      </c>
      <c r="BH611" s="4">
        <v>106583.42676924677</v>
      </c>
      <c r="BI611" s="4">
        <v>97601.789429271477</v>
      </c>
      <c r="BJ611" s="4">
        <v>302038.31496633729</v>
      </c>
      <c r="BK611" s="4">
        <v>117293.58934859755</v>
      </c>
      <c r="BL611" s="4">
        <v>1523999.9999999995</v>
      </c>
      <c r="BM61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1" s="4">
        <v>294804.96027377353</v>
      </c>
      <c r="BO61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1" s="4">
        <f>(Base[[#This Row],['[SC']'[Mort_prématurée']Gains]]-Base[[#This Row],['[SC']'[Mort_prématurée']Coûts]])/Base[[#This Row],[Population_totale]]</f>
        <v>0</v>
      </c>
      <c r="BQ611" s="4">
        <f>IF(Base[[#This Row],[Pathologie]]&lt;&gt;"Mort prématurée",0,Base[[#This Row],[Risque]])</f>
        <v>0</v>
      </c>
      <c r="BR611" s="4">
        <v>2680</v>
      </c>
      <c r="BS61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1" s="4">
        <f>Base[[#This Row],[Prévalence_prod]]*(1-Base[[#This Row],[Risque]])*Base[[#This Row],[Durée_arrêt]]*Base[[#This Row],[Population_emploi]]</f>
        <v>9506061.7903211042</v>
      </c>
      <c r="BV611" s="4">
        <f>Base[[#This Row],['[Prod']'[Absentéisme']Total_jours_absence_avant]]-Base[[#This Row],['[Prod']'[Absentéisme']Total_jours_absence_après]]</f>
        <v>3196465.7096788939</v>
      </c>
      <c r="BW611" s="4">
        <f>IF(AND(Base[[#This Row],[Pathologie]]&lt;&gt;"Dépendance",Base[[#This Row],[Pathologie]]&lt;&gt;"Mort prématurée",Base[[#This Row],[Pathologie]]&lt;&gt;"Migraine"),0.0619,0)</f>
        <v>6.1899999999999997E-2</v>
      </c>
      <c r="BX611" s="4">
        <v>254</v>
      </c>
      <c r="BY61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1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1" s="4">
        <f>Base[[#This Row],[Prévalence_prod]]*Base[[#This Row],[Présentéisme]]*Base[[#This Row],['[Prod']Jours_ouvrés]]</f>
        <v>2.0966048999999995</v>
      </c>
      <c r="CB611" s="4">
        <f>Base[[#This Row],[Prévalence_prod]]*(1-Base[[#This Row],[Risque]])*Base[[#This Row],[Présentéisme]]*Base[[#This Row],['[Prod']Jours_ouvrés]]</f>
        <v>1.5690149640919888</v>
      </c>
      <c r="CC611" s="4">
        <f>Base[[#This Row],['[Prod']'[Présentéisme']Jours_avant]]-Base[[#This Row],['[Prod']'[Présentéisme']Jours_après]]</f>
        <v>0.52758993590801073</v>
      </c>
      <c r="CD611" s="4">
        <f>Base[[#This Row],['[Prod']'[Présentéisme']Jours_gagnés]]/Base[[#This Row],['[Prod']Jours_ouvrés]]</f>
        <v>2.0771257319213022E-3</v>
      </c>
      <c r="CE611">
        <v>9.3428413505841454E-2</v>
      </c>
      <c r="CF611">
        <v>2.1038737314955848E-2</v>
      </c>
      <c r="CG611" s="4">
        <v>11</v>
      </c>
      <c r="CH611" s="4">
        <v>1.3966184516047948</v>
      </c>
      <c r="CI611" s="4">
        <v>1.4392894727292521E-2</v>
      </c>
      <c r="CJ611" s="4">
        <f>IF(Base[[#This Row],[Secteur]]&lt;&gt;"Moyenne",Base[[#This Row],['[Prod']'[Turnover']DMC_initiale]]*(1+Base[[#This Row],['[Prod']'[Turnover']Ecart_accidents]]*Base[[#This Row],['[Prod']Impact_motifs_turnover]]),CJ594*CI594+CJ595*CI595+CJ596*CI596+CJ597*CI597+CJ598*CI598+CJ599*CI599+CJ600*CI600+CJ601*CI601+CJ602*CI602+CJ603*CI603+CJ604*CI604+CJ605*CI605+CJ606*CI606+CJ607*CI607+CJ608*CI608+CJ609*CI609+CJ610*CI610)</f>
        <v>11.32321397605787</v>
      </c>
      <c r="CK611" s="4">
        <f>1/Base[[#This Row],['[Prod']'[Turnover']DMC_initiale]]</f>
        <v>9.0909090909090912E-2</v>
      </c>
      <c r="CL611" s="4">
        <f>1/Base[[#This Row],['[Prod']'[Turnover']DMC_finale]]</f>
        <v>8.8314148448879345E-2</v>
      </c>
    </row>
    <row r="612" spans="2:90" x14ac:dyDescent="0.25">
      <c r="B612" s="4" t="s">
        <v>316</v>
      </c>
      <c r="C612">
        <v>30</v>
      </c>
      <c r="D612" t="s">
        <v>85</v>
      </c>
      <c r="E612" t="s">
        <v>12</v>
      </c>
      <c r="F612" s="3">
        <v>0.251640133011237</v>
      </c>
      <c r="G612" s="3">
        <v>0.1079</v>
      </c>
      <c r="H612" s="3">
        <v>0.1079</v>
      </c>
      <c r="I612" s="3">
        <v>7.6499999999999999E-2</v>
      </c>
      <c r="J612" s="3">
        <v>7.67629534616262</v>
      </c>
      <c r="K612" s="3">
        <v>7.0000000000000007E-2</v>
      </c>
      <c r="L612" s="2">
        <f>Base[[#This Row],[Coût]]*Base[[#This Row],[Part_ménages_dépenses_santé]]</f>
        <v>0.53734067423138343</v>
      </c>
      <c r="M612" s="2">
        <v>0.82690611956969029</v>
      </c>
      <c r="N612" s="6">
        <v>27700000</v>
      </c>
      <c r="O612" s="7">
        <f>Base[[#This Row],[Coût_salarié]]*10^9*Base[[#This Row],[Risque]]*Base[[#This Row],[Prévalence]]*Base[[#This Row],[Part_coûts_salarié]]/Base[[#This Row],[Population_emploi]]</f>
        <v>0.43553945522869025</v>
      </c>
      <c r="P612">
        <v>50</v>
      </c>
      <c r="Q612">
        <v>50</v>
      </c>
      <c r="R612" s="2">
        <v>9.9999999999999978E-2</v>
      </c>
      <c r="S612" s="2">
        <v>0.33340000000000003</v>
      </c>
      <c r="T612" s="4">
        <v>0.1079</v>
      </c>
      <c r="U612" s="4">
        <f>IF(Bases_annexes!$F$5=0,16.6587111018772,0.77*Bases_annexes!$F$5/(IF(OR(ISBLANK('Données_d''entrée'!$E$44),'Données_d''entrée'!$E$44=0),35,'Données_d''entrée'!$E$44)*52))</f>
        <v>16.658711101877199</v>
      </c>
      <c r="V612" s="4">
        <v>4.25</v>
      </c>
      <c r="W61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2" s="4">
        <v>234.5</v>
      </c>
      <c r="Y612" s="4">
        <f>(Base[[#This Row],['[Maladies']Coûts_évités_par_salarié]]+Base[[#This Row],['[Travail']Coûts_évités_par_salarié]])/Base[[#This Row],[Budget_santé_salarié]]</f>
        <v>4.4051045245840817E-2</v>
      </c>
      <c r="Z612" s="4">
        <v>0.8</v>
      </c>
      <c r="AA612" s="4">
        <f>Base[[#This Row],[Coût]]*Base[[#This Row],[Part_société_dépenses_santé]]</f>
        <v>6.1410362769300963</v>
      </c>
      <c r="AB612" s="4">
        <v>67635124</v>
      </c>
      <c r="AC612" s="4">
        <v>82.297079063317852</v>
      </c>
      <c r="AD612" s="4">
        <v>0.1079</v>
      </c>
      <c r="AE612" s="4">
        <f>Base[[#This Row],['[SC']Prévalence_travail]]*Base[[#This Row],[Population_emploi]]</f>
        <v>2988830</v>
      </c>
      <c r="AF612" s="4">
        <f>Base[[#This Row],[Risque]]*Base[[#This Row],['[SC']Patients_en_emploi]]</f>
        <v>752109.57874797552</v>
      </c>
      <c r="AG612" s="4">
        <v>0</v>
      </c>
      <c r="AH612" s="4">
        <f>IFERROR(Base[[#This Row],['[SC']Prestations]]/Base[[#This Row],['[SC']Patients_en_emploi]],0)</f>
        <v>0</v>
      </c>
      <c r="AI612" s="4">
        <v>51.7</v>
      </c>
      <c r="AJ61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2" s="4">
        <f>Base[[#This Row],['[SC']'[Travail']Coûts_évités]]/Base[[#This Row],[Population_emploi]]</f>
        <v>1.754696083992344</v>
      </c>
      <c r="AL612" s="4">
        <f>Base[[#This Row],[Coût_société]]*10^9*Base[[#This Row],[Risque]]*Base[[#This Row],[Prévalence]]*Base[[#This Row],[Part_coûts_salarié]]/Base[[#This Row],[Population_emploi]]</f>
        <v>4.977593774042175</v>
      </c>
      <c r="AM612" s="4">
        <f>IF(Base[[#This Row],[Pathologie]]&lt;&gt;"Dépendance",0,14909.24243952)</f>
        <v>0</v>
      </c>
      <c r="AN612" s="4">
        <f>IF(Base[[#This Row],[Pathologie]]&lt;&gt;"Dépendance",0,1316000)</f>
        <v>0</v>
      </c>
      <c r="AO612" s="4">
        <f>IF(Base[[#This Row],[Pathologie]]&lt;&gt;"Dépendance",0,Base[[#This Row],['[SC']Coût_personne_dépendante]]*Base[[#This Row],['[SC']Nb_personnes_dépendantes]])</f>
        <v>0</v>
      </c>
      <c r="AP612" s="4">
        <f>IF(Base[[#This Row],[Pathologie]]&lt;&gt;"Dépendance",0,Base[[#This Row],['[SC']Coût_total_dépendance]]/Base[[#This Row],[Population_totale]])</f>
        <v>0</v>
      </c>
      <c r="AQ612" s="4">
        <f>IF(Base[[#This Row],[Pathologie]]&lt;&gt;"Dépendance",0,4.5)</f>
        <v>0</v>
      </c>
      <c r="AR612" s="4">
        <v>1.0077957276768601</v>
      </c>
      <c r="AS612" s="4">
        <f>Base[[#This Row],[Espérance_vie]]+Base[[#This Row],['[SC']Hausse_esp_de_vie]]-Base[[#This Row],['[SC']Durée_moyenne_dépendance_avt]]+Base[[#This Row],[Risque]]</f>
        <v>83.556514924005953</v>
      </c>
      <c r="AT61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2" s="4">
        <v>62.9</v>
      </c>
      <c r="AW612" s="4">
        <f t="shared" ref="AW612:AW628" si="20">336905600000</f>
        <v>336905600000</v>
      </c>
      <c r="AX612" s="4">
        <v>15049171</v>
      </c>
      <c r="AY612" s="4">
        <f>Base[[#This Row],['[SC']Budget_total_retraites]]/Base[[#This Row],['[SC']Nombre_de_retraités]]</f>
        <v>22386.987296509556</v>
      </c>
      <c r="AZ612" s="4">
        <f>Base[[#This Row],['[SC']Budget_par_retraité]]*Base[[#This Row],['[SC']Nb_personnes_dépendantes]]</f>
        <v>0</v>
      </c>
      <c r="BA612" s="4">
        <f>Base[[#This Row],['[SC']'[Dépendance']Coût_retraite_personnes_dépendantes]]/Base[[#This Row],[Population_totale]]</f>
        <v>0</v>
      </c>
      <c r="BB61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2" s="4">
        <f>Base[[#This Row],['[SC']'[Dépendance']Gains]]-Base[[#This Row],['[SC']'[Dépendance']Coûts]]</f>
        <v>0</v>
      </c>
      <c r="BD612" s="4">
        <f>IF(Base[[#This Row],[Pathologie]]&lt;&gt;"Mort prématurée",0,Base[[#This Row],[Risque]]*Base[[#This Row],[Prévalence]]*Base[[#This Row],[Population_totale]])</f>
        <v>0</v>
      </c>
      <c r="BE612" s="4">
        <v>52.74</v>
      </c>
      <c r="BF612" s="4">
        <f>Base[[#This Row],['[SC']Âge_moyen_retraite]]-Base[[#This Row],['[SC']'[Mort_prématurée']Âge_moyen_mort précoce]]</f>
        <v>10.159999999999997</v>
      </c>
      <c r="BG612" s="4">
        <f>Base[[#This Row],[Espérance_vie]]+Base[[#This Row],['[SC']Hausse_esp_de_vie]]-Base[[#This Row],['[SC']Âge_moyen_retraite]]</f>
        <v>20.404874790994718</v>
      </c>
      <c r="BH612" s="4">
        <v>106583.42676924677</v>
      </c>
      <c r="BI612" s="4">
        <v>97601.789429271477</v>
      </c>
      <c r="BJ612" s="4">
        <v>302038.31496633729</v>
      </c>
      <c r="BK612" s="4">
        <v>117293.58934859755</v>
      </c>
      <c r="BL612" s="4">
        <v>1523999.9999999995</v>
      </c>
      <c r="BM61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2" s="4">
        <v>294804.96027377353</v>
      </c>
      <c r="BO61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2" s="4">
        <f>(Base[[#This Row],['[SC']'[Mort_prématurée']Gains]]-Base[[#This Row],['[SC']'[Mort_prématurée']Coûts]])/Base[[#This Row],[Population_totale]]</f>
        <v>0</v>
      </c>
      <c r="BQ612" s="4">
        <f>IF(Base[[#This Row],[Pathologie]]&lt;&gt;"Mort prématurée",0,Base[[#This Row],[Risque]])</f>
        <v>0</v>
      </c>
      <c r="BR612" s="4">
        <v>2680</v>
      </c>
      <c r="BS61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2" s="4">
        <f>Base[[#This Row],[Prévalence_prod]]*(1-Base[[#This Row],[Risque]])*Base[[#This Row],[Durée_arrêt]]*Base[[#This Row],[Population_emploi]]</f>
        <v>9506061.7903211042</v>
      </c>
      <c r="BV612" s="4">
        <f>Base[[#This Row],['[Prod']'[Absentéisme']Total_jours_absence_avant]]-Base[[#This Row],['[Prod']'[Absentéisme']Total_jours_absence_après]]</f>
        <v>3196465.7096788939</v>
      </c>
      <c r="BW612" s="4">
        <f>IF(AND(Base[[#This Row],[Pathologie]]&lt;&gt;"Dépendance",Base[[#This Row],[Pathologie]]&lt;&gt;"Mort prématurée",Base[[#This Row],[Pathologie]]&lt;&gt;"Migraine"),0.0619,0)</f>
        <v>6.1899999999999997E-2</v>
      </c>
      <c r="BX612" s="4">
        <v>254</v>
      </c>
      <c r="BY61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2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2" s="4">
        <f>Base[[#This Row],[Prévalence_prod]]*Base[[#This Row],[Présentéisme]]*Base[[#This Row],['[Prod']Jours_ouvrés]]</f>
        <v>2.0966048999999995</v>
      </c>
      <c r="CB612" s="4">
        <f>Base[[#This Row],[Prévalence_prod]]*(1-Base[[#This Row],[Risque]])*Base[[#This Row],[Présentéisme]]*Base[[#This Row],['[Prod']Jours_ouvrés]]</f>
        <v>1.5690149640919888</v>
      </c>
      <c r="CC612" s="4">
        <f>Base[[#This Row],['[Prod']'[Présentéisme']Jours_avant]]-Base[[#This Row],['[Prod']'[Présentéisme']Jours_après]]</f>
        <v>0.52758993590801073</v>
      </c>
      <c r="CD612" s="4">
        <f>Base[[#This Row],['[Prod']'[Présentéisme']Jours_gagnés]]/Base[[#This Row],['[Prod']Jours_ouvrés]]</f>
        <v>2.0771257319213022E-3</v>
      </c>
      <c r="CE612">
        <v>9.3428413505841454E-2</v>
      </c>
      <c r="CF612">
        <v>2.1038737314955848E-2</v>
      </c>
      <c r="CG612" s="4">
        <v>11</v>
      </c>
      <c r="CH612" s="4">
        <v>0.68054183762612652</v>
      </c>
      <c r="CI612" s="4">
        <v>1.2135452577082654E-2</v>
      </c>
      <c r="CJ612" s="4">
        <f>IF(Base[[#This Row],[Secteur]]&lt;&gt;"Moyenne",Base[[#This Row],['[Prod']'[Turnover']DMC_initiale]]*(1+Base[[#This Row],['[Prod']'[Turnover']Ecart_accidents]]*Base[[#This Row],['[Prod']Impact_motifs_turnover]]),CJ595*CI595+CJ596*CI596+CJ597*CI597+CJ598*CI598+CJ599*CI599+CJ600*CI600+CJ601*CI601+CJ602*CI602+CJ603*CI603+CJ604*CI604+CJ605*CI605+CJ606*CI606+CJ607*CI607+CJ608*CI608+CJ609*CI609+CJ610*CI610+CJ611*CI611)</f>
        <v>11.157495150490188</v>
      </c>
      <c r="CK612" s="4">
        <f>1/Base[[#This Row],['[Prod']'[Turnover']DMC_initiale]]</f>
        <v>9.0909090909090912E-2</v>
      </c>
      <c r="CL612" s="4">
        <f>1/Base[[#This Row],['[Prod']'[Turnover']DMC_finale]]</f>
        <v>8.9625851189015879E-2</v>
      </c>
    </row>
    <row r="613" spans="2:90" x14ac:dyDescent="0.25">
      <c r="B613" s="4" t="s">
        <v>317</v>
      </c>
      <c r="C613">
        <v>30</v>
      </c>
      <c r="D613" t="s">
        <v>85</v>
      </c>
      <c r="E613" t="s">
        <v>12</v>
      </c>
      <c r="F613" s="3">
        <v>0.251640133011237</v>
      </c>
      <c r="G613" s="3">
        <v>0.1079</v>
      </c>
      <c r="H613" s="3">
        <v>0.1079</v>
      </c>
      <c r="I613" s="3">
        <v>7.6499999999999999E-2</v>
      </c>
      <c r="J613" s="3">
        <v>7.67629534616262</v>
      </c>
      <c r="K613" s="3">
        <v>7.0000000000000007E-2</v>
      </c>
      <c r="L613" s="2">
        <f>Base[[#This Row],[Coût]]*Base[[#This Row],[Part_ménages_dépenses_santé]]</f>
        <v>0.53734067423138343</v>
      </c>
      <c r="M613" s="2">
        <v>0.82690611956969029</v>
      </c>
      <c r="N613" s="6">
        <v>27700000</v>
      </c>
      <c r="O613" s="7">
        <f>Base[[#This Row],[Coût_salarié]]*10^9*Base[[#This Row],[Risque]]*Base[[#This Row],[Prévalence]]*Base[[#This Row],[Part_coûts_salarié]]/Base[[#This Row],[Population_emploi]]</f>
        <v>0.43553945522869025</v>
      </c>
      <c r="P613">
        <v>50</v>
      </c>
      <c r="Q613">
        <v>50</v>
      </c>
      <c r="R613" s="2">
        <v>9.9999999999999978E-2</v>
      </c>
      <c r="S613" s="2">
        <v>0.33340000000000003</v>
      </c>
      <c r="T613" s="4">
        <v>0.1079</v>
      </c>
      <c r="U613" s="4">
        <f>IF(Bases_annexes!$F$5=0,16.6587111018772,0.77*Bases_annexes!$F$5/(IF(OR(ISBLANK('Données_d''entrée'!$E$44),'Données_d''entrée'!$E$44=0),35,'Données_d''entrée'!$E$44)*52))</f>
        <v>16.658711101877199</v>
      </c>
      <c r="V613" s="4">
        <v>4.25</v>
      </c>
      <c r="W61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3" s="4">
        <v>234.5</v>
      </c>
      <c r="Y613" s="4">
        <f>(Base[[#This Row],['[Maladies']Coûts_évités_par_salarié]]+Base[[#This Row],['[Travail']Coûts_évités_par_salarié]])/Base[[#This Row],[Budget_santé_salarié]]</f>
        <v>4.4051045245840817E-2</v>
      </c>
      <c r="Z613" s="4">
        <v>0.8</v>
      </c>
      <c r="AA613" s="4">
        <f>Base[[#This Row],[Coût]]*Base[[#This Row],[Part_société_dépenses_santé]]</f>
        <v>6.1410362769300963</v>
      </c>
      <c r="AB613" s="4">
        <v>67635124</v>
      </c>
      <c r="AC613" s="4">
        <v>82.297079063317852</v>
      </c>
      <c r="AD613" s="4">
        <v>0.1079</v>
      </c>
      <c r="AE613" s="4">
        <f>Base[[#This Row],['[SC']Prévalence_travail]]*Base[[#This Row],[Population_emploi]]</f>
        <v>2988830</v>
      </c>
      <c r="AF613" s="4">
        <f>Base[[#This Row],[Risque]]*Base[[#This Row],['[SC']Patients_en_emploi]]</f>
        <v>752109.57874797552</v>
      </c>
      <c r="AG613" s="4">
        <v>0</v>
      </c>
      <c r="AH613" s="4">
        <f>IFERROR(Base[[#This Row],['[SC']Prestations]]/Base[[#This Row],['[SC']Patients_en_emploi]],0)</f>
        <v>0</v>
      </c>
      <c r="AI613" s="4">
        <v>51.7</v>
      </c>
      <c r="AJ61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3" s="4">
        <f>Base[[#This Row],['[SC']'[Travail']Coûts_évités]]/Base[[#This Row],[Population_emploi]]</f>
        <v>1.754696083992344</v>
      </c>
      <c r="AL613" s="4">
        <f>Base[[#This Row],[Coût_société]]*10^9*Base[[#This Row],[Risque]]*Base[[#This Row],[Prévalence]]*Base[[#This Row],[Part_coûts_salarié]]/Base[[#This Row],[Population_emploi]]</f>
        <v>4.977593774042175</v>
      </c>
      <c r="AM613" s="4">
        <f>IF(Base[[#This Row],[Pathologie]]&lt;&gt;"Dépendance",0,14909.24243952)</f>
        <v>0</v>
      </c>
      <c r="AN613" s="4">
        <f>IF(Base[[#This Row],[Pathologie]]&lt;&gt;"Dépendance",0,1316000)</f>
        <v>0</v>
      </c>
      <c r="AO613" s="4">
        <f>IF(Base[[#This Row],[Pathologie]]&lt;&gt;"Dépendance",0,Base[[#This Row],['[SC']Coût_personne_dépendante]]*Base[[#This Row],['[SC']Nb_personnes_dépendantes]])</f>
        <v>0</v>
      </c>
      <c r="AP613" s="4">
        <f>IF(Base[[#This Row],[Pathologie]]&lt;&gt;"Dépendance",0,Base[[#This Row],['[SC']Coût_total_dépendance]]/Base[[#This Row],[Population_totale]])</f>
        <v>0</v>
      </c>
      <c r="AQ613" s="4">
        <f>IF(Base[[#This Row],[Pathologie]]&lt;&gt;"Dépendance",0,4.5)</f>
        <v>0</v>
      </c>
      <c r="AR613" s="4">
        <v>1.0077957276768601</v>
      </c>
      <c r="AS613" s="4">
        <f>Base[[#This Row],[Espérance_vie]]+Base[[#This Row],['[SC']Hausse_esp_de_vie]]-Base[[#This Row],['[SC']Durée_moyenne_dépendance_avt]]+Base[[#This Row],[Risque]]</f>
        <v>83.556514924005953</v>
      </c>
      <c r="AT61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3" s="4">
        <v>62.9</v>
      </c>
      <c r="AW613" s="4">
        <f t="shared" si="20"/>
        <v>336905600000</v>
      </c>
      <c r="AX613" s="4">
        <v>15049171</v>
      </c>
      <c r="AY613" s="4">
        <f>Base[[#This Row],['[SC']Budget_total_retraites]]/Base[[#This Row],['[SC']Nombre_de_retraités]]</f>
        <v>22386.987296509556</v>
      </c>
      <c r="AZ613" s="4">
        <f>Base[[#This Row],['[SC']Budget_par_retraité]]*Base[[#This Row],['[SC']Nb_personnes_dépendantes]]</f>
        <v>0</v>
      </c>
      <c r="BA613" s="4">
        <f>Base[[#This Row],['[SC']'[Dépendance']Coût_retraite_personnes_dépendantes]]/Base[[#This Row],[Population_totale]]</f>
        <v>0</v>
      </c>
      <c r="BB61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3" s="4">
        <f>Base[[#This Row],['[SC']'[Dépendance']Gains]]-Base[[#This Row],['[SC']'[Dépendance']Coûts]]</f>
        <v>0</v>
      </c>
      <c r="BD613" s="4">
        <f>IF(Base[[#This Row],[Pathologie]]&lt;&gt;"Mort prématurée",0,Base[[#This Row],[Risque]]*Base[[#This Row],[Prévalence]]*Base[[#This Row],[Population_totale]])</f>
        <v>0</v>
      </c>
      <c r="BE613" s="4">
        <v>52.74</v>
      </c>
      <c r="BF613" s="4">
        <f>Base[[#This Row],['[SC']Âge_moyen_retraite]]-Base[[#This Row],['[SC']'[Mort_prématurée']Âge_moyen_mort précoce]]</f>
        <v>10.159999999999997</v>
      </c>
      <c r="BG613" s="4">
        <f>Base[[#This Row],[Espérance_vie]]+Base[[#This Row],['[SC']Hausse_esp_de_vie]]-Base[[#This Row],['[SC']Âge_moyen_retraite]]</f>
        <v>20.404874790994718</v>
      </c>
      <c r="BH613" s="4">
        <v>106583.42676924677</v>
      </c>
      <c r="BI613" s="4">
        <v>97601.789429271477</v>
      </c>
      <c r="BJ613" s="4">
        <v>302038.31496633729</v>
      </c>
      <c r="BK613" s="4">
        <v>117293.58934859755</v>
      </c>
      <c r="BL613" s="4">
        <v>1523999.9999999995</v>
      </c>
      <c r="BM61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3" s="4">
        <v>294804.96027377353</v>
      </c>
      <c r="BO61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3" s="4">
        <f>(Base[[#This Row],['[SC']'[Mort_prématurée']Gains]]-Base[[#This Row],['[SC']'[Mort_prématurée']Coûts]])/Base[[#This Row],[Population_totale]]</f>
        <v>0</v>
      </c>
      <c r="BQ613" s="4">
        <f>IF(Base[[#This Row],[Pathologie]]&lt;&gt;"Mort prématurée",0,Base[[#This Row],[Risque]])</f>
        <v>0</v>
      </c>
      <c r="BR613" s="4">
        <v>2680</v>
      </c>
      <c r="BS61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3" s="4">
        <f>Base[[#This Row],[Prévalence_prod]]*(1-Base[[#This Row],[Risque]])*Base[[#This Row],[Durée_arrêt]]*Base[[#This Row],[Population_emploi]]</f>
        <v>9506061.7903211042</v>
      </c>
      <c r="BV613" s="4">
        <f>Base[[#This Row],['[Prod']'[Absentéisme']Total_jours_absence_avant]]-Base[[#This Row],['[Prod']'[Absentéisme']Total_jours_absence_après]]</f>
        <v>3196465.7096788939</v>
      </c>
      <c r="BW613" s="4">
        <f>IF(AND(Base[[#This Row],[Pathologie]]&lt;&gt;"Dépendance",Base[[#This Row],[Pathologie]]&lt;&gt;"Mort prématurée",Base[[#This Row],[Pathologie]]&lt;&gt;"Migraine"),0.0619,0)</f>
        <v>6.1899999999999997E-2</v>
      </c>
      <c r="BX613" s="4">
        <v>254</v>
      </c>
      <c r="BY613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3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3" s="4">
        <f>Base[[#This Row],[Prévalence_prod]]*Base[[#This Row],[Présentéisme]]*Base[[#This Row],['[Prod']Jours_ouvrés]]</f>
        <v>2.0966048999999995</v>
      </c>
      <c r="CB613" s="4">
        <f>Base[[#This Row],[Prévalence_prod]]*(1-Base[[#This Row],[Risque]])*Base[[#This Row],[Présentéisme]]*Base[[#This Row],['[Prod']Jours_ouvrés]]</f>
        <v>1.5690149640919888</v>
      </c>
      <c r="CC613" s="4">
        <f>Base[[#This Row],['[Prod']'[Présentéisme']Jours_avant]]-Base[[#This Row],['[Prod']'[Présentéisme']Jours_après]]</f>
        <v>0.52758993590801073</v>
      </c>
      <c r="CD613" s="4">
        <f>Base[[#This Row],['[Prod']'[Présentéisme']Jours_gagnés]]/Base[[#This Row],['[Prod']Jours_ouvrés]]</f>
        <v>2.0771257319213022E-3</v>
      </c>
      <c r="CE613">
        <v>9.3428413505841454E-2</v>
      </c>
      <c r="CF613">
        <v>2.1038737314955848E-2</v>
      </c>
      <c r="CG613" s="4">
        <v>11</v>
      </c>
      <c r="CH613" s="4">
        <v>0.31563677172153043</v>
      </c>
      <c r="CI613" s="4">
        <v>1.3003350630813707E-4</v>
      </c>
      <c r="CJ613" s="4">
        <f>IF(Base[[#This Row],[Secteur]]&lt;&gt;"Moyenne",Base[[#This Row],['[Prod']'[Turnover']DMC_initiale]]*(1+Base[[#This Row],['[Prod']'[Turnover']Ecart_accidents]]*Base[[#This Row],['[Prod']Impact_motifs_turnover]]),CJ596*CI596+CJ597*CI597+CJ598*CI598+CJ599*CI599+CJ600*CI600+CJ601*CI601+CJ602*CI602+CJ603*CI603+CJ604*CI604+CJ605*CI605+CJ606*CI606+CJ607*CI607+CJ608*CI608+CJ609*CI609+CJ610*CI610+CJ611*CI611+CJ612*CI612)</f>
        <v>11.073046590399091</v>
      </c>
      <c r="CK613" s="4">
        <f>1/Base[[#This Row],['[Prod']'[Turnover']DMC_initiale]]</f>
        <v>9.0909090909090912E-2</v>
      </c>
      <c r="CL613" s="4">
        <f>1/Base[[#This Row],['[Prod']'[Turnover']DMC_finale]]</f>
        <v>9.030938250246795E-2</v>
      </c>
    </row>
    <row r="614" spans="2:90" x14ac:dyDescent="0.25">
      <c r="B614" s="4" t="s">
        <v>318</v>
      </c>
      <c r="C614">
        <v>30</v>
      </c>
      <c r="D614" t="s">
        <v>85</v>
      </c>
      <c r="E614" t="s">
        <v>12</v>
      </c>
      <c r="F614" s="3">
        <v>0.251640133011237</v>
      </c>
      <c r="G614" s="3">
        <v>0.1079</v>
      </c>
      <c r="H614" s="3">
        <v>0.1079</v>
      </c>
      <c r="I614" s="3">
        <v>7.6499999999999999E-2</v>
      </c>
      <c r="J614" s="3">
        <v>7.67629534616262</v>
      </c>
      <c r="K614" s="3">
        <v>7.0000000000000007E-2</v>
      </c>
      <c r="L614" s="2">
        <f>Base[[#This Row],[Coût]]*Base[[#This Row],[Part_ménages_dépenses_santé]]</f>
        <v>0.53734067423138343</v>
      </c>
      <c r="M614" s="2">
        <v>0.82690611956969029</v>
      </c>
      <c r="N614" s="6">
        <v>27700000</v>
      </c>
      <c r="O614" s="7">
        <f>Base[[#This Row],[Coût_salarié]]*10^9*Base[[#This Row],[Risque]]*Base[[#This Row],[Prévalence]]*Base[[#This Row],[Part_coûts_salarié]]/Base[[#This Row],[Population_emploi]]</f>
        <v>0.43553945522869025</v>
      </c>
      <c r="P614">
        <v>50</v>
      </c>
      <c r="Q614">
        <v>50</v>
      </c>
      <c r="R614" s="2">
        <v>9.9999999999999978E-2</v>
      </c>
      <c r="S614" s="2">
        <v>0.33340000000000003</v>
      </c>
      <c r="T614" s="4">
        <v>0.1079</v>
      </c>
      <c r="U614" s="4">
        <f>IF(Bases_annexes!$F$5=0,16.6587111018772,0.77*Bases_annexes!$F$5/(IF(OR(ISBLANK('Données_d''entrée'!$E$44),'Données_d''entrée'!$E$44=0),35,'Données_d''entrée'!$E$44)*52))</f>
        <v>16.658711101877199</v>
      </c>
      <c r="V614" s="4">
        <v>4.25</v>
      </c>
      <c r="W61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4" s="4">
        <v>234.5</v>
      </c>
      <c r="Y614" s="4">
        <f>(Base[[#This Row],['[Maladies']Coûts_évités_par_salarié]]+Base[[#This Row],['[Travail']Coûts_évités_par_salarié]])/Base[[#This Row],[Budget_santé_salarié]]</f>
        <v>4.4051045245840817E-2</v>
      </c>
      <c r="Z614" s="4">
        <v>0.8</v>
      </c>
      <c r="AA614" s="4">
        <f>Base[[#This Row],[Coût]]*Base[[#This Row],[Part_société_dépenses_santé]]</f>
        <v>6.1410362769300963</v>
      </c>
      <c r="AB614" s="4">
        <v>67635124</v>
      </c>
      <c r="AC614" s="4">
        <v>82.297079063317852</v>
      </c>
      <c r="AD614" s="4">
        <v>0.1079</v>
      </c>
      <c r="AE614" s="4">
        <f>Base[[#This Row],['[SC']Prévalence_travail]]*Base[[#This Row],[Population_emploi]]</f>
        <v>2988830</v>
      </c>
      <c r="AF614" s="4">
        <f>Base[[#This Row],[Risque]]*Base[[#This Row],['[SC']Patients_en_emploi]]</f>
        <v>752109.57874797552</v>
      </c>
      <c r="AG614" s="4">
        <v>0</v>
      </c>
      <c r="AH614" s="4">
        <f>IFERROR(Base[[#This Row],['[SC']Prestations]]/Base[[#This Row],['[SC']Patients_en_emploi]],0)</f>
        <v>0</v>
      </c>
      <c r="AI614" s="4">
        <v>51.7</v>
      </c>
      <c r="AJ61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4" s="4">
        <f>Base[[#This Row],['[SC']'[Travail']Coûts_évités]]/Base[[#This Row],[Population_emploi]]</f>
        <v>1.754696083992344</v>
      </c>
      <c r="AL614" s="4">
        <f>Base[[#This Row],[Coût_société]]*10^9*Base[[#This Row],[Risque]]*Base[[#This Row],[Prévalence]]*Base[[#This Row],[Part_coûts_salarié]]/Base[[#This Row],[Population_emploi]]</f>
        <v>4.977593774042175</v>
      </c>
      <c r="AM614" s="4">
        <f>IF(Base[[#This Row],[Pathologie]]&lt;&gt;"Dépendance",0,14909.24243952)</f>
        <v>0</v>
      </c>
      <c r="AN614" s="4">
        <f>IF(Base[[#This Row],[Pathologie]]&lt;&gt;"Dépendance",0,1316000)</f>
        <v>0</v>
      </c>
      <c r="AO614" s="4">
        <f>IF(Base[[#This Row],[Pathologie]]&lt;&gt;"Dépendance",0,Base[[#This Row],['[SC']Coût_personne_dépendante]]*Base[[#This Row],['[SC']Nb_personnes_dépendantes]])</f>
        <v>0</v>
      </c>
      <c r="AP614" s="4">
        <f>IF(Base[[#This Row],[Pathologie]]&lt;&gt;"Dépendance",0,Base[[#This Row],['[SC']Coût_total_dépendance]]/Base[[#This Row],[Population_totale]])</f>
        <v>0</v>
      </c>
      <c r="AQ614" s="4">
        <f>IF(Base[[#This Row],[Pathologie]]&lt;&gt;"Dépendance",0,4.5)</f>
        <v>0</v>
      </c>
      <c r="AR614" s="4">
        <v>1.0077957276768601</v>
      </c>
      <c r="AS614" s="4">
        <f>Base[[#This Row],[Espérance_vie]]+Base[[#This Row],['[SC']Hausse_esp_de_vie]]-Base[[#This Row],['[SC']Durée_moyenne_dépendance_avt]]+Base[[#This Row],[Risque]]</f>
        <v>83.556514924005953</v>
      </c>
      <c r="AT61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4" s="4">
        <v>62.9</v>
      </c>
      <c r="AW614" s="4">
        <f t="shared" si="20"/>
        <v>336905600000</v>
      </c>
      <c r="AX614" s="4">
        <v>15049171</v>
      </c>
      <c r="AY614" s="4">
        <f>Base[[#This Row],['[SC']Budget_total_retraites]]/Base[[#This Row],['[SC']Nombre_de_retraités]]</f>
        <v>22386.987296509556</v>
      </c>
      <c r="AZ614" s="4">
        <f>Base[[#This Row],['[SC']Budget_par_retraité]]*Base[[#This Row],['[SC']Nb_personnes_dépendantes]]</f>
        <v>0</v>
      </c>
      <c r="BA614" s="4">
        <f>Base[[#This Row],['[SC']'[Dépendance']Coût_retraite_personnes_dépendantes]]/Base[[#This Row],[Population_totale]]</f>
        <v>0</v>
      </c>
      <c r="BB61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4" s="4">
        <f>Base[[#This Row],['[SC']'[Dépendance']Gains]]-Base[[#This Row],['[SC']'[Dépendance']Coûts]]</f>
        <v>0</v>
      </c>
      <c r="BD614" s="4">
        <f>IF(Base[[#This Row],[Pathologie]]&lt;&gt;"Mort prématurée",0,Base[[#This Row],[Risque]]*Base[[#This Row],[Prévalence]]*Base[[#This Row],[Population_totale]])</f>
        <v>0</v>
      </c>
      <c r="BE614" s="4">
        <v>52.74</v>
      </c>
      <c r="BF614" s="4">
        <f>Base[[#This Row],['[SC']Âge_moyen_retraite]]-Base[[#This Row],['[SC']'[Mort_prématurée']Âge_moyen_mort précoce]]</f>
        <v>10.159999999999997</v>
      </c>
      <c r="BG614" s="4">
        <f>Base[[#This Row],[Espérance_vie]]+Base[[#This Row],['[SC']Hausse_esp_de_vie]]-Base[[#This Row],['[SC']Âge_moyen_retraite]]</f>
        <v>20.404874790994718</v>
      </c>
      <c r="BH614" s="4">
        <v>106583.42676924677</v>
      </c>
      <c r="BI614" s="4">
        <v>97601.789429271477</v>
      </c>
      <c r="BJ614" s="4">
        <v>302038.31496633729</v>
      </c>
      <c r="BK614" s="4">
        <v>117293.58934859755</v>
      </c>
      <c r="BL614" s="4">
        <v>1523999.9999999995</v>
      </c>
      <c r="BM61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4" s="4">
        <v>294804.96027377353</v>
      </c>
      <c r="BO61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4" s="4">
        <f>(Base[[#This Row],['[SC']'[Mort_prématurée']Gains]]-Base[[#This Row],['[SC']'[Mort_prématurée']Coûts]])/Base[[#This Row],[Population_totale]]</f>
        <v>0</v>
      </c>
      <c r="BQ614" s="4">
        <f>IF(Base[[#This Row],[Pathologie]]&lt;&gt;"Mort prématurée",0,Base[[#This Row],[Risque]])</f>
        <v>0</v>
      </c>
      <c r="BR614" s="4">
        <v>2680</v>
      </c>
      <c r="BS61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4" s="4">
        <f>Base[[#This Row],[Prévalence_prod]]*(1-Base[[#This Row],[Risque]])*Base[[#This Row],[Durée_arrêt]]*Base[[#This Row],[Population_emploi]]</f>
        <v>9506061.7903211042</v>
      </c>
      <c r="BV614" s="4">
        <f>Base[[#This Row],['[Prod']'[Absentéisme']Total_jours_absence_avant]]-Base[[#This Row],['[Prod']'[Absentéisme']Total_jours_absence_après]]</f>
        <v>3196465.7096788939</v>
      </c>
      <c r="BW614" s="4">
        <f>IF(AND(Base[[#This Row],[Pathologie]]&lt;&gt;"Dépendance",Base[[#This Row],[Pathologie]]&lt;&gt;"Mort prématurée",Base[[#This Row],[Pathologie]]&lt;&gt;"Migraine"),0.0619,0)</f>
        <v>6.1899999999999997E-2</v>
      </c>
      <c r="BX614" s="4">
        <v>254</v>
      </c>
      <c r="BY614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4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4" s="4">
        <f>Base[[#This Row],[Prévalence_prod]]*Base[[#This Row],[Présentéisme]]*Base[[#This Row],['[Prod']Jours_ouvrés]]</f>
        <v>2.0966048999999995</v>
      </c>
      <c r="CB614" s="4">
        <f>Base[[#This Row],[Prévalence_prod]]*(1-Base[[#This Row],[Risque]])*Base[[#This Row],[Présentéisme]]*Base[[#This Row],['[Prod']Jours_ouvrés]]</f>
        <v>1.5690149640919888</v>
      </c>
      <c r="CC614" s="4">
        <f>Base[[#This Row],['[Prod']'[Présentéisme']Jours_avant]]-Base[[#This Row],['[Prod']'[Présentéisme']Jours_après]]</f>
        <v>0.52758993590801073</v>
      </c>
      <c r="CD614" s="4">
        <f>Base[[#This Row],['[Prod']'[Présentéisme']Jours_gagnés]]/Base[[#This Row],['[Prod']Jours_ouvrés]]</f>
        <v>2.0771257319213022E-3</v>
      </c>
      <c r="CE614">
        <v>9.3428413505841454E-2</v>
      </c>
      <c r="CF614">
        <v>2.1038737314955848E-2</v>
      </c>
      <c r="CG614" s="4">
        <v>11</v>
      </c>
      <c r="CH614" s="4">
        <v>1.1688035738877327</v>
      </c>
      <c r="CI614" s="4">
        <v>9.6557438521367826E-3</v>
      </c>
      <c r="CJ614" s="4">
        <f>IF(Base[[#This Row],[Secteur]]&lt;&gt;"Moyenne",Base[[#This Row],['[Prod']'[Turnover']DMC_initiale]]*(1+Base[[#This Row],['[Prod']'[Turnover']Ecart_accidents]]*Base[[#This Row],['[Prod']Impact_motifs_turnover]]),CJ597*CI597+CJ598*CI598+CJ599*CI599+CJ600*CI600+CJ601*CI601+CJ602*CI602+CJ603*CI603+CJ604*CI604+CJ605*CI605+CJ606*CI606+CJ607*CI607+CJ608*CI608+CJ609*CI609+CJ610*CI610+CJ611*CI611+CJ612*CI612+CJ613*CI613)</f>
        <v>11.270491665001861</v>
      </c>
      <c r="CK614" s="4">
        <f>1/Base[[#This Row],['[Prod']'[Turnover']DMC_initiale]]</f>
        <v>9.0909090909090912E-2</v>
      </c>
      <c r="CL614" s="4">
        <f>1/Base[[#This Row],['[Prod']'[Turnover']DMC_finale]]</f>
        <v>8.8727273815861069E-2</v>
      </c>
    </row>
    <row r="615" spans="2:90" x14ac:dyDescent="0.25">
      <c r="B615" s="4" t="s">
        <v>319</v>
      </c>
      <c r="C615">
        <v>30</v>
      </c>
      <c r="D615" t="s">
        <v>85</v>
      </c>
      <c r="E615" t="s">
        <v>12</v>
      </c>
      <c r="F615" s="3">
        <v>0.251640133011237</v>
      </c>
      <c r="G615" s="3">
        <v>0.1079</v>
      </c>
      <c r="H615" s="3">
        <v>0.1079</v>
      </c>
      <c r="I615" s="3">
        <v>7.6499999999999999E-2</v>
      </c>
      <c r="J615" s="3">
        <v>7.67629534616262</v>
      </c>
      <c r="K615" s="3">
        <v>7.0000000000000007E-2</v>
      </c>
      <c r="L615" s="2">
        <f>Base[[#This Row],[Coût]]*Base[[#This Row],[Part_ménages_dépenses_santé]]</f>
        <v>0.53734067423138343</v>
      </c>
      <c r="M615" s="2">
        <v>0.82690611956969029</v>
      </c>
      <c r="N615" s="6">
        <v>27700000</v>
      </c>
      <c r="O615" s="7">
        <f>Base[[#This Row],[Coût_salarié]]*10^9*Base[[#This Row],[Risque]]*Base[[#This Row],[Prévalence]]*Base[[#This Row],[Part_coûts_salarié]]/Base[[#This Row],[Population_emploi]]</f>
        <v>0.43553945522869025</v>
      </c>
      <c r="P615">
        <v>50</v>
      </c>
      <c r="Q615">
        <v>50</v>
      </c>
      <c r="R615" s="2">
        <v>9.9999999999999978E-2</v>
      </c>
      <c r="S615" s="2">
        <v>0.33340000000000003</v>
      </c>
      <c r="T615" s="4">
        <v>0.1079</v>
      </c>
      <c r="U615" s="4">
        <f>IF(Bases_annexes!$F$5=0,16.6587111018772,0.77*Bases_annexes!$F$5/(IF(OR(ISBLANK('Données_d''entrée'!$E$44),'Données_d''entrée'!$E$44=0),35,'Données_d''entrée'!$E$44)*52))</f>
        <v>16.658711101877199</v>
      </c>
      <c r="V615" s="4">
        <v>4.25</v>
      </c>
      <c r="W61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5" s="4">
        <v>234.5</v>
      </c>
      <c r="Y615" s="4">
        <f>(Base[[#This Row],['[Maladies']Coûts_évités_par_salarié]]+Base[[#This Row],['[Travail']Coûts_évités_par_salarié]])/Base[[#This Row],[Budget_santé_salarié]]</f>
        <v>4.4051045245840817E-2</v>
      </c>
      <c r="Z615" s="4">
        <v>0.8</v>
      </c>
      <c r="AA615" s="4">
        <f>Base[[#This Row],[Coût]]*Base[[#This Row],[Part_société_dépenses_santé]]</f>
        <v>6.1410362769300963</v>
      </c>
      <c r="AB615" s="4">
        <v>67635124</v>
      </c>
      <c r="AC615" s="4">
        <v>82.297079063317852</v>
      </c>
      <c r="AD615" s="4">
        <v>0.1079</v>
      </c>
      <c r="AE615" s="4">
        <f>Base[[#This Row],['[SC']Prévalence_travail]]*Base[[#This Row],[Population_emploi]]</f>
        <v>2988830</v>
      </c>
      <c r="AF615" s="4">
        <f>Base[[#This Row],[Risque]]*Base[[#This Row],['[SC']Patients_en_emploi]]</f>
        <v>752109.57874797552</v>
      </c>
      <c r="AG615" s="4">
        <v>0</v>
      </c>
      <c r="AH615" s="4">
        <f>IFERROR(Base[[#This Row],['[SC']Prestations]]/Base[[#This Row],['[SC']Patients_en_emploi]],0)</f>
        <v>0</v>
      </c>
      <c r="AI615" s="4">
        <v>51.7</v>
      </c>
      <c r="AJ61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5" s="4">
        <f>Base[[#This Row],['[SC']'[Travail']Coûts_évités]]/Base[[#This Row],[Population_emploi]]</f>
        <v>1.754696083992344</v>
      </c>
      <c r="AL615" s="4">
        <f>Base[[#This Row],[Coût_société]]*10^9*Base[[#This Row],[Risque]]*Base[[#This Row],[Prévalence]]*Base[[#This Row],[Part_coûts_salarié]]/Base[[#This Row],[Population_emploi]]</f>
        <v>4.977593774042175</v>
      </c>
      <c r="AM615" s="4">
        <f>IF(Base[[#This Row],[Pathologie]]&lt;&gt;"Dépendance",0,14909.24243952)</f>
        <v>0</v>
      </c>
      <c r="AN615" s="4">
        <f>IF(Base[[#This Row],[Pathologie]]&lt;&gt;"Dépendance",0,1316000)</f>
        <v>0</v>
      </c>
      <c r="AO615" s="4">
        <f>IF(Base[[#This Row],[Pathologie]]&lt;&gt;"Dépendance",0,Base[[#This Row],['[SC']Coût_personne_dépendante]]*Base[[#This Row],['[SC']Nb_personnes_dépendantes]])</f>
        <v>0</v>
      </c>
      <c r="AP615" s="4">
        <f>IF(Base[[#This Row],[Pathologie]]&lt;&gt;"Dépendance",0,Base[[#This Row],['[SC']Coût_total_dépendance]]/Base[[#This Row],[Population_totale]])</f>
        <v>0</v>
      </c>
      <c r="AQ615" s="4">
        <f>IF(Base[[#This Row],[Pathologie]]&lt;&gt;"Dépendance",0,4.5)</f>
        <v>0</v>
      </c>
      <c r="AR615" s="4">
        <v>1.0077957276768601</v>
      </c>
      <c r="AS615" s="4">
        <f>Base[[#This Row],[Espérance_vie]]+Base[[#This Row],['[SC']Hausse_esp_de_vie]]-Base[[#This Row],['[SC']Durée_moyenne_dépendance_avt]]+Base[[#This Row],[Risque]]</f>
        <v>83.556514924005953</v>
      </c>
      <c r="AT61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5" s="4">
        <v>62.9</v>
      </c>
      <c r="AW615" s="4">
        <f t="shared" si="20"/>
        <v>336905600000</v>
      </c>
      <c r="AX615" s="4">
        <v>15049171</v>
      </c>
      <c r="AY615" s="4">
        <f>Base[[#This Row],['[SC']Budget_total_retraites]]/Base[[#This Row],['[SC']Nombre_de_retraités]]</f>
        <v>22386.987296509556</v>
      </c>
      <c r="AZ615" s="4">
        <f>Base[[#This Row],['[SC']Budget_par_retraité]]*Base[[#This Row],['[SC']Nb_personnes_dépendantes]]</f>
        <v>0</v>
      </c>
      <c r="BA615" s="4">
        <f>Base[[#This Row],['[SC']'[Dépendance']Coût_retraite_personnes_dépendantes]]/Base[[#This Row],[Population_totale]]</f>
        <v>0</v>
      </c>
      <c r="BB61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5" s="4">
        <f>Base[[#This Row],['[SC']'[Dépendance']Gains]]-Base[[#This Row],['[SC']'[Dépendance']Coûts]]</f>
        <v>0</v>
      </c>
      <c r="BD615" s="4">
        <f>IF(Base[[#This Row],[Pathologie]]&lt;&gt;"Mort prématurée",0,Base[[#This Row],[Risque]]*Base[[#This Row],[Prévalence]]*Base[[#This Row],[Population_totale]])</f>
        <v>0</v>
      </c>
      <c r="BE615" s="4">
        <v>52.74</v>
      </c>
      <c r="BF615" s="4">
        <f>Base[[#This Row],['[SC']Âge_moyen_retraite]]-Base[[#This Row],['[SC']'[Mort_prématurée']Âge_moyen_mort précoce]]</f>
        <v>10.159999999999997</v>
      </c>
      <c r="BG615" s="4">
        <f>Base[[#This Row],[Espérance_vie]]+Base[[#This Row],['[SC']Hausse_esp_de_vie]]-Base[[#This Row],['[SC']Âge_moyen_retraite]]</f>
        <v>20.404874790994718</v>
      </c>
      <c r="BH615" s="4">
        <v>106583.42676924677</v>
      </c>
      <c r="BI615" s="4">
        <v>97601.789429271477</v>
      </c>
      <c r="BJ615" s="4">
        <v>302038.31496633729</v>
      </c>
      <c r="BK615" s="4">
        <v>117293.58934859755</v>
      </c>
      <c r="BL615" s="4">
        <v>1523999.9999999995</v>
      </c>
      <c r="BM61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5" s="4">
        <v>294804.96027377353</v>
      </c>
      <c r="BO61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5" s="4">
        <f>(Base[[#This Row],['[SC']'[Mort_prématurée']Gains]]-Base[[#This Row],['[SC']'[Mort_prématurée']Coûts]])/Base[[#This Row],[Population_totale]]</f>
        <v>0</v>
      </c>
      <c r="BQ615" s="4">
        <f>IF(Base[[#This Row],[Pathologie]]&lt;&gt;"Mort prématurée",0,Base[[#This Row],[Risque]])</f>
        <v>0</v>
      </c>
      <c r="BR615" s="4">
        <v>2680</v>
      </c>
      <c r="BS61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5" s="4">
        <f>Base[[#This Row],[Prévalence_prod]]*(1-Base[[#This Row],[Risque]])*Base[[#This Row],[Durée_arrêt]]*Base[[#This Row],[Population_emploi]]</f>
        <v>9506061.7903211042</v>
      </c>
      <c r="BV615" s="4">
        <f>Base[[#This Row],['[Prod']'[Absentéisme']Total_jours_absence_avant]]-Base[[#This Row],['[Prod']'[Absentéisme']Total_jours_absence_après]]</f>
        <v>3196465.7096788939</v>
      </c>
      <c r="BW615" s="4">
        <f>IF(AND(Base[[#This Row],[Pathologie]]&lt;&gt;"Dépendance",Base[[#This Row],[Pathologie]]&lt;&gt;"Mort prématurée",Base[[#This Row],[Pathologie]]&lt;&gt;"Migraine"),0.0619,0)</f>
        <v>6.1899999999999997E-2</v>
      </c>
      <c r="BX615" s="4">
        <v>254</v>
      </c>
      <c r="BY61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5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5" s="4">
        <f>Base[[#This Row],[Prévalence_prod]]*Base[[#This Row],[Présentéisme]]*Base[[#This Row],['[Prod']Jours_ouvrés]]</f>
        <v>2.0966048999999995</v>
      </c>
      <c r="CB615" s="4">
        <f>Base[[#This Row],[Prévalence_prod]]*(1-Base[[#This Row],[Risque]])*Base[[#This Row],[Présentéisme]]*Base[[#This Row],['[Prod']Jours_ouvrés]]</f>
        <v>1.5690149640919888</v>
      </c>
      <c r="CC615" s="4">
        <f>Base[[#This Row],['[Prod']'[Présentéisme']Jours_avant]]-Base[[#This Row],['[Prod']'[Présentéisme']Jours_après]]</f>
        <v>0.52758993590801073</v>
      </c>
      <c r="CD615" s="4">
        <f>Base[[#This Row],['[Prod']'[Présentéisme']Jours_gagnés]]/Base[[#This Row],['[Prod']Jours_ouvrés]]</f>
        <v>2.0771257319213022E-3</v>
      </c>
      <c r="CE615">
        <v>9.3428413505841454E-2</v>
      </c>
      <c r="CF615">
        <v>2.1038737314955848E-2</v>
      </c>
      <c r="CG615" s="4">
        <v>11</v>
      </c>
      <c r="CH615" s="4">
        <v>0.52204401140486179</v>
      </c>
      <c r="CI615" s="4">
        <v>1.2443904150185675E-2</v>
      </c>
      <c r="CJ615" s="4">
        <f>IF(Base[[#This Row],[Secteur]]&lt;&gt;"Moyenne",Base[[#This Row],['[Prod']'[Turnover']DMC_initiale]]*(1+Base[[#This Row],['[Prod']'[Turnover']Ecart_accidents]]*Base[[#This Row],['[Prod']Impact_motifs_turnover]]),CJ598*CI598+CJ599*CI599+CJ600*CI600+CJ601*CI601+CJ602*CI602+CJ603*CI603+CJ604*CI604+CJ605*CI605+CJ606*CI606+CJ607*CI607+CJ608*CI608+CJ609*CI609+CJ610*CI610+CJ611*CI611+CJ612*CI612+CJ613*CI613+CJ614*CI614)</f>
        <v>11.120814615050721</v>
      </c>
      <c r="CK615" s="4">
        <f>1/Base[[#This Row],['[Prod']'[Turnover']DMC_initiale]]</f>
        <v>9.0909090909090912E-2</v>
      </c>
      <c r="CL615" s="4">
        <f>1/Base[[#This Row],['[Prod']'[Turnover']DMC_finale]]</f>
        <v>8.9921470199369843E-2</v>
      </c>
    </row>
    <row r="616" spans="2:90" x14ac:dyDescent="0.25">
      <c r="B616" s="4" t="s">
        <v>320</v>
      </c>
      <c r="C616">
        <v>30</v>
      </c>
      <c r="D616" t="s">
        <v>85</v>
      </c>
      <c r="E616" t="s">
        <v>12</v>
      </c>
      <c r="F616" s="3">
        <v>0.251640133011237</v>
      </c>
      <c r="G616" s="3">
        <v>0.1079</v>
      </c>
      <c r="H616" s="3">
        <v>0.1079</v>
      </c>
      <c r="I616" s="3">
        <v>7.6499999999999999E-2</v>
      </c>
      <c r="J616" s="3">
        <v>7.67629534616262</v>
      </c>
      <c r="K616" s="3">
        <v>7.0000000000000007E-2</v>
      </c>
      <c r="L616" s="2">
        <f>Base[[#This Row],[Coût]]*Base[[#This Row],[Part_ménages_dépenses_santé]]</f>
        <v>0.53734067423138343</v>
      </c>
      <c r="M616" s="2">
        <v>0.82690611956969029</v>
      </c>
      <c r="N616" s="6">
        <v>27700000</v>
      </c>
      <c r="O616" s="7">
        <f>Base[[#This Row],[Coût_salarié]]*10^9*Base[[#This Row],[Risque]]*Base[[#This Row],[Prévalence]]*Base[[#This Row],[Part_coûts_salarié]]/Base[[#This Row],[Population_emploi]]</f>
        <v>0.43553945522869025</v>
      </c>
      <c r="P616">
        <v>50</v>
      </c>
      <c r="Q616">
        <v>50</v>
      </c>
      <c r="R616" s="2">
        <v>9.9999999999999978E-2</v>
      </c>
      <c r="S616" s="2">
        <v>0.33340000000000003</v>
      </c>
      <c r="T616" s="4">
        <v>0.1079</v>
      </c>
      <c r="U616" s="4">
        <f>IF(Bases_annexes!$F$5=0,16.6587111018772,0.77*Bases_annexes!$F$5/(IF(OR(ISBLANK('Données_d''entrée'!$E$44),'Données_d''entrée'!$E$44=0),35,'Données_d''entrée'!$E$44)*52))</f>
        <v>16.658711101877199</v>
      </c>
      <c r="V616" s="4">
        <v>4.25</v>
      </c>
      <c r="W61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6" s="4">
        <v>234.5</v>
      </c>
      <c r="Y616" s="4">
        <f>(Base[[#This Row],['[Maladies']Coûts_évités_par_salarié]]+Base[[#This Row],['[Travail']Coûts_évités_par_salarié]])/Base[[#This Row],[Budget_santé_salarié]]</f>
        <v>4.4051045245840817E-2</v>
      </c>
      <c r="Z616" s="4">
        <v>0.8</v>
      </c>
      <c r="AA616" s="4">
        <f>Base[[#This Row],[Coût]]*Base[[#This Row],[Part_société_dépenses_santé]]</f>
        <v>6.1410362769300963</v>
      </c>
      <c r="AB616" s="4">
        <v>67635124</v>
      </c>
      <c r="AC616" s="4">
        <v>82.297079063317852</v>
      </c>
      <c r="AD616" s="4">
        <v>0.1079</v>
      </c>
      <c r="AE616" s="4">
        <f>Base[[#This Row],['[SC']Prévalence_travail]]*Base[[#This Row],[Population_emploi]]</f>
        <v>2988830</v>
      </c>
      <c r="AF616" s="4">
        <f>Base[[#This Row],[Risque]]*Base[[#This Row],['[SC']Patients_en_emploi]]</f>
        <v>752109.57874797552</v>
      </c>
      <c r="AG616" s="4">
        <v>0</v>
      </c>
      <c r="AH616" s="4">
        <f>IFERROR(Base[[#This Row],['[SC']Prestations]]/Base[[#This Row],['[SC']Patients_en_emploi]],0)</f>
        <v>0</v>
      </c>
      <c r="AI616" s="4">
        <v>51.7</v>
      </c>
      <c r="AJ61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6" s="4">
        <f>Base[[#This Row],['[SC']'[Travail']Coûts_évités]]/Base[[#This Row],[Population_emploi]]</f>
        <v>1.754696083992344</v>
      </c>
      <c r="AL616" s="4">
        <f>Base[[#This Row],[Coût_société]]*10^9*Base[[#This Row],[Risque]]*Base[[#This Row],[Prévalence]]*Base[[#This Row],[Part_coûts_salarié]]/Base[[#This Row],[Population_emploi]]</f>
        <v>4.977593774042175</v>
      </c>
      <c r="AM616" s="4">
        <f>IF(Base[[#This Row],[Pathologie]]&lt;&gt;"Dépendance",0,14909.24243952)</f>
        <v>0</v>
      </c>
      <c r="AN616" s="4">
        <f>IF(Base[[#This Row],[Pathologie]]&lt;&gt;"Dépendance",0,1316000)</f>
        <v>0</v>
      </c>
      <c r="AO616" s="4">
        <f>IF(Base[[#This Row],[Pathologie]]&lt;&gt;"Dépendance",0,Base[[#This Row],['[SC']Coût_personne_dépendante]]*Base[[#This Row],['[SC']Nb_personnes_dépendantes]])</f>
        <v>0</v>
      </c>
      <c r="AP616" s="4">
        <f>IF(Base[[#This Row],[Pathologie]]&lt;&gt;"Dépendance",0,Base[[#This Row],['[SC']Coût_total_dépendance]]/Base[[#This Row],[Population_totale]])</f>
        <v>0</v>
      </c>
      <c r="AQ616" s="4">
        <f>IF(Base[[#This Row],[Pathologie]]&lt;&gt;"Dépendance",0,4.5)</f>
        <v>0</v>
      </c>
      <c r="AR616" s="4">
        <v>1.0077957276768601</v>
      </c>
      <c r="AS616" s="4">
        <f>Base[[#This Row],[Espérance_vie]]+Base[[#This Row],['[SC']Hausse_esp_de_vie]]-Base[[#This Row],['[SC']Durée_moyenne_dépendance_avt]]+Base[[#This Row],[Risque]]</f>
        <v>83.556514924005953</v>
      </c>
      <c r="AT61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6" s="4">
        <v>62.9</v>
      </c>
      <c r="AW616" s="4">
        <f t="shared" si="20"/>
        <v>336905600000</v>
      </c>
      <c r="AX616" s="4">
        <v>15049171</v>
      </c>
      <c r="AY616" s="4">
        <f>Base[[#This Row],['[SC']Budget_total_retraites]]/Base[[#This Row],['[SC']Nombre_de_retraités]]</f>
        <v>22386.987296509556</v>
      </c>
      <c r="AZ616" s="4">
        <f>Base[[#This Row],['[SC']Budget_par_retraité]]*Base[[#This Row],['[SC']Nb_personnes_dépendantes]]</f>
        <v>0</v>
      </c>
      <c r="BA616" s="4">
        <f>Base[[#This Row],['[SC']'[Dépendance']Coût_retraite_personnes_dépendantes]]/Base[[#This Row],[Population_totale]]</f>
        <v>0</v>
      </c>
      <c r="BB61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6" s="4">
        <f>Base[[#This Row],['[SC']'[Dépendance']Gains]]-Base[[#This Row],['[SC']'[Dépendance']Coûts]]</f>
        <v>0</v>
      </c>
      <c r="BD616" s="4">
        <f>IF(Base[[#This Row],[Pathologie]]&lt;&gt;"Mort prématurée",0,Base[[#This Row],[Risque]]*Base[[#This Row],[Prévalence]]*Base[[#This Row],[Population_totale]])</f>
        <v>0</v>
      </c>
      <c r="BE616" s="4">
        <v>52.74</v>
      </c>
      <c r="BF616" s="4">
        <f>Base[[#This Row],['[SC']Âge_moyen_retraite]]-Base[[#This Row],['[SC']'[Mort_prématurée']Âge_moyen_mort précoce]]</f>
        <v>10.159999999999997</v>
      </c>
      <c r="BG616" s="4">
        <f>Base[[#This Row],[Espérance_vie]]+Base[[#This Row],['[SC']Hausse_esp_de_vie]]-Base[[#This Row],['[SC']Âge_moyen_retraite]]</f>
        <v>20.404874790994718</v>
      </c>
      <c r="BH616" s="4">
        <v>106583.42676924677</v>
      </c>
      <c r="BI616" s="4">
        <v>97601.789429271477</v>
      </c>
      <c r="BJ616" s="4">
        <v>302038.31496633729</v>
      </c>
      <c r="BK616" s="4">
        <v>117293.58934859755</v>
      </c>
      <c r="BL616" s="4">
        <v>1523999.9999999995</v>
      </c>
      <c r="BM61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6" s="4">
        <v>294804.96027377353</v>
      </c>
      <c r="BO61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6" s="4">
        <f>(Base[[#This Row],['[SC']'[Mort_prématurée']Gains]]-Base[[#This Row],['[SC']'[Mort_prématurée']Coûts]])/Base[[#This Row],[Population_totale]]</f>
        <v>0</v>
      </c>
      <c r="BQ616" s="4">
        <f>IF(Base[[#This Row],[Pathologie]]&lt;&gt;"Mort prématurée",0,Base[[#This Row],[Risque]])</f>
        <v>0</v>
      </c>
      <c r="BR616" s="4">
        <v>2680</v>
      </c>
      <c r="BS61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6" s="4">
        <f>Base[[#This Row],[Prévalence_prod]]*(1-Base[[#This Row],[Risque]])*Base[[#This Row],[Durée_arrêt]]*Base[[#This Row],[Population_emploi]]</f>
        <v>9506061.7903211042</v>
      </c>
      <c r="BV616" s="4">
        <f>Base[[#This Row],['[Prod']'[Absentéisme']Total_jours_absence_avant]]-Base[[#This Row],['[Prod']'[Absentéisme']Total_jours_absence_après]]</f>
        <v>3196465.7096788939</v>
      </c>
      <c r="BW616" s="4">
        <f>IF(AND(Base[[#This Row],[Pathologie]]&lt;&gt;"Dépendance",Base[[#This Row],[Pathologie]]&lt;&gt;"Mort prématurée",Base[[#This Row],[Pathologie]]&lt;&gt;"Migraine"),0.0619,0)</f>
        <v>6.1899999999999997E-2</v>
      </c>
      <c r="BX616" s="4">
        <v>254</v>
      </c>
      <c r="BY61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6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6" s="4">
        <f>Base[[#This Row],[Prévalence_prod]]*Base[[#This Row],[Présentéisme]]*Base[[#This Row],['[Prod']Jours_ouvrés]]</f>
        <v>2.0966048999999995</v>
      </c>
      <c r="CB616" s="4">
        <f>Base[[#This Row],[Prévalence_prod]]*(1-Base[[#This Row],[Risque]])*Base[[#This Row],[Présentéisme]]*Base[[#This Row],['[Prod']Jours_ouvrés]]</f>
        <v>1.5690149640919888</v>
      </c>
      <c r="CC616" s="4">
        <f>Base[[#This Row],['[Prod']'[Présentéisme']Jours_avant]]-Base[[#This Row],['[Prod']'[Présentéisme']Jours_après]]</f>
        <v>0.52758993590801073</v>
      </c>
      <c r="CD616" s="4">
        <f>Base[[#This Row],['[Prod']'[Présentéisme']Jours_gagnés]]/Base[[#This Row],['[Prod']Jours_ouvrés]]</f>
        <v>2.0771257319213022E-3</v>
      </c>
      <c r="CE616">
        <v>9.3428413505841454E-2</v>
      </c>
      <c r="CF616">
        <v>2.1038737314955848E-2</v>
      </c>
      <c r="CG616" s="4">
        <v>11</v>
      </c>
      <c r="CH616" s="4">
        <v>0.49446424657188709</v>
      </c>
      <c r="CI616" s="4">
        <v>1.0795805058605798E-2</v>
      </c>
      <c r="CJ616" s="4">
        <f>IF(Base[[#This Row],[Secteur]]&lt;&gt;"Moyenne",Base[[#This Row],['[Prod']'[Turnover']DMC_initiale]]*(1+Base[[#This Row],['[Prod']'[Turnover']Ecart_accidents]]*Base[[#This Row],['[Prod']Impact_motifs_turnover]]),CJ599*CI599+CJ600*CI600+CJ601*CI601+CJ602*CI602+CJ603*CI603+CJ604*CI604+CJ605*CI605+CJ606*CI606+CJ607*CI607+CJ608*CI608+CJ609*CI609+CJ610*CI610+CJ611*CI611+CJ612*CI612+CJ613*CI613+CJ614*CI614+CJ615*CI615)</f>
        <v>11.114431937347899</v>
      </c>
      <c r="CK616" s="4">
        <f>1/Base[[#This Row],['[Prod']'[Turnover']DMC_initiale]]</f>
        <v>9.0909090909090912E-2</v>
      </c>
      <c r="CL616" s="4">
        <f>1/Base[[#This Row],['[Prod']'[Turnover']DMC_finale]]</f>
        <v>8.9973109344409538E-2</v>
      </c>
    </row>
    <row r="617" spans="2:90" x14ac:dyDescent="0.25">
      <c r="B617" s="4" t="s">
        <v>321</v>
      </c>
      <c r="C617">
        <v>30</v>
      </c>
      <c r="D617" t="s">
        <v>85</v>
      </c>
      <c r="E617" t="s">
        <v>12</v>
      </c>
      <c r="F617" s="3">
        <v>0.251640133011237</v>
      </c>
      <c r="G617" s="3">
        <v>0.1079</v>
      </c>
      <c r="H617" s="3">
        <v>0.1079</v>
      </c>
      <c r="I617" s="3">
        <v>7.6499999999999999E-2</v>
      </c>
      <c r="J617" s="3">
        <v>7.67629534616262</v>
      </c>
      <c r="K617" s="3">
        <v>7.0000000000000007E-2</v>
      </c>
      <c r="L617" s="2">
        <f>Base[[#This Row],[Coût]]*Base[[#This Row],[Part_ménages_dépenses_santé]]</f>
        <v>0.53734067423138343</v>
      </c>
      <c r="M617" s="2">
        <v>0.82690611956969029</v>
      </c>
      <c r="N617" s="6">
        <v>27700000</v>
      </c>
      <c r="O617" s="7">
        <f>Base[[#This Row],[Coût_salarié]]*10^9*Base[[#This Row],[Risque]]*Base[[#This Row],[Prévalence]]*Base[[#This Row],[Part_coûts_salarié]]/Base[[#This Row],[Population_emploi]]</f>
        <v>0.43553945522869025</v>
      </c>
      <c r="P617">
        <v>50</v>
      </c>
      <c r="Q617">
        <v>50</v>
      </c>
      <c r="R617" s="2">
        <v>9.9999999999999978E-2</v>
      </c>
      <c r="S617" s="2">
        <v>0.33340000000000003</v>
      </c>
      <c r="T617" s="4">
        <v>0.1079</v>
      </c>
      <c r="U617" s="4">
        <f>IF(Bases_annexes!$F$5=0,16.6587111018772,0.77*Bases_annexes!$F$5/(IF(OR(ISBLANK('Données_d''entrée'!$E$44),'Données_d''entrée'!$E$44=0),35,'Données_d''entrée'!$E$44)*52))</f>
        <v>16.658711101877199</v>
      </c>
      <c r="V617" s="4">
        <v>4.25</v>
      </c>
      <c r="W61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7" s="4">
        <v>234.5</v>
      </c>
      <c r="Y617" s="4">
        <f>(Base[[#This Row],['[Maladies']Coûts_évités_par_salarié]]+Base[[#This Row],['[Travail']Coûts_évités_par_salarié]])/Base[[#This Row],[Budget_santé_salarié]]</f>
        <v>4.4051045245840817E-2</v>
      </c>
      <c r="Z617" s="4">
        <v>0.8</v>
      </c>
      <c r="AA617" s="4">
        <f>Base[[#This Row],[Coût]]*Base[[#This Row],[Part_société_dépenses_santé]]</f>
        <v>6.1410362769300963</v>
      </c>
      <c r="AB617" s="4">
        <v>67635124</v>
      </c>
      <c r="AC617" s="4">
        <v>82.297079063317852</v>
      </c>
      <c r="AD617" s="4">
        <v>0.1079</v>
      </c>
      <c r="AE617" s="4">
        <f>Base[[#This Row],['[SC']Prévalence_travail]]*Base[[#This Row],[Population_emploi]]</f>
        <v>2988830</v>
      </c>
      <c r="AF617" s="4">
        <f>Base[[#This Row],[Risque]]*Base[[#This Row],['[SC']Patients_en_emploi]]</f>
        <v>752109.57874797552</v>
      </c>
      <c r="AG617" s="4">
        <v>0</v>
      </c>
      <c r="AH617" s="4">
        <f>IFERROR(Base[[#This Row],['[SC']Prestations]]/Base[[#This Row],['[SC']Patients_en_emploi]],0)</f>
        <v>0</v>
      </c>
      <c r="AI617" s="4">
        <v>51.7</v>
      </c>
      <c r="AJ61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7" s="4">
        <f>Base[[#This Row],['[SC']'[Travail']Coûts_évités]]/Base[[#This Row],[Population_emploi]]</f>
        <v>1.754696083992344</v>
      </c>
      <c r="AL617" s="4">
        <f>Base[[#This Row],[Coût_société]]*10^9*Base[[#This Row],[Risque]]*Base[[#This Row],[Prévalence]]*Base[[#This Row],[Part_coûts_salarié]]/Base[[#This Row],[Population_emploi]]</f>
        <v>4.977593774042175</v>
      </c>
      <c r="AM617" s="4">
        <f>IF(Base[[#This Row],[Pathologie]]&lt;&gt;"Dépendance",0,14909.24243952)</f>
        <v>0</v>
      </c>
      <c r="AN617" s="4">
        <f>IF(Base[[#This Row],[Pathologie]]&lt;&gt;"Dépendance",0,1316000)</f>
        <v>0</v>
      </c>
      <c r="AO617" s="4">
        <f>IF(Base[[#This Row],[Pathologie]]&lt;&gt;"Dépendance",0,Base[[#This Row],['[SC']Coût_personne_dépendante]]*Base[[#This Row],['[SC']Nb_personnes_dépendantes]])</f>
        <v>0</v>
      </c>
      <c r="AP617" s="4">
        <f>IF(Base[[#This Row],[Pathologie]]&lt;&gt;"Dépendance",0,Base[[#This Row],['[SC']Coût_total_dépendance]]/Base[[#This Row],[Population_totale]])</f>
        <v>0</v>
      </c>
      <c r="AQ617" s="4">
        <f>IF(Base[[#This Row],[Pathologie]]&lt;&gt;"Dépendance",0,4.5)</f>
        <v>0</v>
      </c>
      <c r="AR617" s="4">
        <v>1.0077957276768601</v>
      </c>
      <c r="AS617" s="4">
        <f>Base[[#This Row],[Espérance_vie]]+Base[[#This Row],['[SC']Hausse_esp_de_vie]]-Base[[#This Row],['[SC']Durée_moyenne_dépendance_avt]]+Base[[#This Row],[Risque]]</f>
        <v>83.556514924005953</v>
      </c>
      <c r="AT61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7" s="4">
        <v>62.9</v>
      </c>
      <c r="AW617" s="4">
        <f t="shared" si="20"/>
        <v>336905600000</v>
      </c>
      <c r="AX617" s="4">
        <v>15049171</v>
      </c>
      <c r="AY617" s="4">
        <f>Base[[#This Row],['[SC']Budget_total_retraites]]/Base[[#This Row],['[SC']Nombre_de_retraités]]</f>
        <v>22386.987296509556</v>
      </c>
      <c r="AZ617" s="4">
        <f>Base[[#This Row],['[SC']Budget_par_retraité]]*Base[[#This Row],['[SC']Nb_personnes_dépendantes]]</f>
        <v>0</v>
      </c>
      <c r="BA617" s="4">
        <f>Base[[#This Row],['[SC']'[Dépendance']Coût_retraite_personnes_dépendantes]]/Base[[#This Row],[Population_totale]]</f>
        <v>0</v>
      </c>
      <c r="BB61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7" s="4">
        <f>Base[[#This Row],['[SC']'[Dépendance']Gains]]-Base[[#This Row],['[SC']'[Dépendance']Coûts]]</f>
        <v>0</v>
      </c>
      <c r="BD617" s="4">
        <f>IF(Base[[#This Row],[Pathologie]]&lt;&gt;"Mort prématurée",0,Base[[#This Row],[Risque]]*Base[[#This Row],[Prévalence]]*Base[[#This Row],[Population_totale]])</f>
        <v>0</v>
      </c>
      <c r="BE617" s="4">
        <v>52.74</v>
      </c>
      <c r="BF617" s="4">
        <f>Base[[#This Row],['[SC']Âge_moyen_retraite]]-Base[[#This Row],['[SC']'[Mort_prématurée']Âge_moyen_mort précoce]]</f>
        <v>10.159999999999997</v>
      </c>
      <c r="BG617" s="4">
        <f>Base[[#This Row],[Espérance_vie]]+Base[[#This Row],['[SC']Hausse_esp_de_vie]]-Base[[#This Row],['[SC']Âge_moyen_retraite]]</f>
        <v>20.404874790994718</v>
      </c>
      <c r="BH617" s="4">
        <v>106583.42676924677</v>
      </c>
      <c r="BI617" s="4">
        <v>97601.789429271477</v>
      </c>
      <c r="BJ617" s="4">
        <v>302038.31496633729</v>
      </c>
      <c r="BK617" s="4">
        <v>117293.58934859755</v>
      </c>
      <c r="BL617" s="4">
        <v>1523999.9999999995</v>
      </c>
      <c r="BM61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7" s="4">
        <v>294804.96027377353</v>
      </c>
      <c r="BO61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7" s="4">
        <f>(Base[[#This Row],['[SC']'[Mort_prématurée']Gains]]-Base[[#This Row],['[SC']'[Mort_prématurée']Coûts]])/Base[[#This Row],[Population_totale]]</f>
        <v>0</v>
      </c>
      <c r="BQ617" s="4">
        <f>IF(Base[[#This Row],[Pathologie]]&lt;&gt;"Mort prématurée",0,Base[[#This Row],[Risque]])</f>
        <v>0</v>
      </c>
      <c r="BR617" s="4">
        <v>2680</v>
      </c>
      <c r="BS61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7" s="4">
        <f>Base[[#This Row],[Prévalence_prod]]*(1-Base[[#This Row],[Risque]])*Base[[#This Row],[Durée_arrêt]]*Base[[#This Row],[Population_emploi]]</f>
        <v>9506061.7903211042</v>
      </c>
      <c r="BV617" s="4">
        <f>Base[[#This Row],['[Prod']'[Absentéisme']Total_jours_absence_avant]]-Base[[#This Row],['[Prod']'[Absentéisme']Total_jours_absence_après]]</f>
        <v>3196465.7096788939</v>
      </c>
      <c r="BW617" s="4">
        <f>IF(AND(Base[[#This Row],[Pathologie]]&lt;&gt;"Dépendance",Base[[#This Row],[Pathologie]]&lt;&gt;"Mort prématurée",Base[[#This Row],[Pathologie]]&lt;&gt;"Migraine"),0.0619,0)</f>
        <v>6.1899999999999997E-2</v>
      </c>
      <c r="BX617" s="4">
        <v>254</v>
      </c>
      <c r="BY617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7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7" s="4">
        <f>Base[[#This Row],[Prévalence_prod]]*Base[[#This Row],[Présentéisme]]*Base[[#This Row],['[Prod']Jours_ouvrés]]</f>
        <v>2.0966048999999995</v>
      </c>
      <c r="CB617" s="4">
        <f>Base[[#This Row],[Prévalence_prod]]*(1-Base[[#This Row],[Risque]])*Base[[#This Row],[Présentéisme]]*Base[[#This Row],['[Prod']Jours_ouvrés]]</f>
        <v>1.5690149640919888</v>
      </c>
      <c r="CC617" s="4">
        <f>Base[[#This Row],['[Prod']'[Présentéisme']Jours_avant]]-Base[[#This Row],['[Prod']'[Présentéisme']Jours_après]]</f>
        <v>0.52758993590801073</v>
      </c>
      <c r="CD617" s="4">
        <f>Base[[#This Row],['[Prod']'[Présentéisme']Jours_gagnés]]/Base[[#This Row],['[Prod']Jours_ouvrés]]</f>
        <v>2.0771257319213022E-3</v>
      </c>
      <c r="CE617">
        <v>9.3428413505841454E-2</v>
      </c>
      <c r="CF617">
        <v>2.1038737314955848E-2</v>
      </c>
      <c r="CG617" s="4">
        <v>11</v>
      </c>
      <c r="CH617" s="4">
        <v>0.85274500894619554</v>
      </c>
      <c r="CI617" s="4">
        <v>4.2903496994109176E-2</v>
      </c>
      <c r="CJ617" s="4">
        <f>IF(Base[[#This Row],[Secteur]]&lt;&gt;"Moyenne",Base[[#This Row],['[Prod']'[Turnover']DMC_initiale]]*(1+Base[[#This Row],['[Prod']'[Turnover']Ecart_accidents]]*Base[[#This Row],['[Prod']Impact_motifs_turnover]]),CJ600*CI600+CJ601*CI601+CJ602*CI602+CJ603*CI603+CJ604*CI604+CJ605*CI605+CJ606*CI606+CJ607*CI607+CJ608*CI608+CJ609*CI609+CJ610*CI610+CJ611*CI611+CJ612*CI612+CJ613*CI613+CJ614*CI614+CJ615*CI615+CJ616*CI616)</f>
        <v>11.197347460638447</v>
      </c>
      <c r="CK617" s="4">
        <f>1/Base[[#This Row],['[Prod']'[Turnover']DMC_initiale]]</f>
        <v>9.0909090909090912E-2</v>
      </c>
      <c r="CL617" s="4">
        <f>1/Base[[#This Row],['[Prod']'[Turnover']DMC_finale]]</f>
        <v>8.930686517635153E-2</v>
      </c>
    </row>
    <row r="618" spans="2:90" x14ac:dyDescent="0.25">
      <c r="B618" s="4" t="s">
        <v>322</v>
      </c>
      <c r="C618">
        <v>30</v>
      </c>
      <c r="D618" t="s">
        <v>85</v>
      </c>
      <c r="E618" t="s">
        <v>12</v>
      </c>
      <c r="F618" s="3">
        <v>0.251640133011237</v>
      </c>
      <c r="G618" s="3">
        <v>0.1079</v>
      </c>
      <c r="H618" s="3">
        <v>0.1079</v>
      </c>
      <c r="I618" s="3">
        <v>7.6499999999999999E-2</v>
      </c>
      <c r="J618" s="3">
        <v>7.67629534616262</v>
      </c>
      <c r="K618" s="3">
        <v>7.0000000000000007E-2</v>
      </c>
      <c r="L618" s="2">
        <f>Base[[#This Row],[Coût]]*Base[[#This Row],[Part_ménages_dépenses_santé]]</f>
        <v>0.53734067423138343</v>
      </c>
      <c r="M618" s="2">
        <v>0.82690611956969029</v>
      </c>
      <c r="N618" s="6">
        <v>27700000</v>
      </c>
      <c r="O618" s="7">
        <f>Base[[#This Row],[Coût_salarié]]*10^9*Base[[#This Row],[Risque]]*Base[[#This Row],[Prévalence]]*Base[[#This Row],[Part_coûts_salarié]]/Base[[#This Row],[Population_emploi]]</f>
        <v>0.43553945522869025</v>
      </c>
      <c r="P618">
        <v>50</v>
      </c>
      <c r="Q618">
        <v>50</v>
      </c>
      <c r="R618" s="2">
        <v>9.9999999999999978E-2</v>
      </c>
      <c r="S618" s="2">
        <v>0.33340000000000003</v>
      </c>
      <c r="T618" s="4">
        <v>0.1079</v>
      </c>
      <c r="U618" s="4">
        <f>IF(Bases_annexes!$F$5=0,16.6587111018772,0.77*Bases_annexes!$F$5/(IF(OR(ISBLANK('Données_d''entrée'!$E$44),'Données_d''entrée'!$E$44=0),35,'Données_d''entrée'!$E$44)*52))</f>
        <v>16.658711101877199</v>
      </c>
      <c r="V618" s="4">
        <v>4.25</v>
      </c>
      <c r="W61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8" s="4">
        <v>234.5</v>
      </c>
      <c r="Y618" s="4">
        <f>(Base[[#This Row],['[Maladies']Coûts_évités_par_salarié]]+Base[[#This Row],['[Travail']Coûts_évités_par_salarié]])/Base[[#This Row],[Budget_santé_salarié]]</f>
        <v>4.4051045245840817E-2</v>
      </c>
      <c r="Z618" s="4">
        <v>0.8</v>
      </c>
      <c r="AA618" s="4">
        <f>Base[[#This Row],[Coût]]*Base[[#This Row],[Part_société_dépenses_santé]]</f>
        <v>6.1410362769300963</v>
      </c>
      <c r="AB618" s="4">
        <v>67635124</v>
      </c>
      <c r="AC618" s="4">
        <v>82.297079063317852</v>
      </c>
      <c r="AD618" s="4">
        <v>0.1079</v>
      </c>
      <c r="AE618" s="4">
        <f>Base[[#This Row],['[SC']Prévalence_travail]]*Base[[#This Row],[Population_emploi]]</f>
        <v>2988830</v>
      </c>
      <c r="AF618" s="4">
        <f>Base[[#This Row],[Risque]]*Base[[#This Row],['[SC']Patients_en_emploi]]</f>
        <v>752109.57874797552</v>
      </c>
      <c r="AG618" s="4">
        <v>0</v>
      </c>
      <c r="AH618" s="4">
        <f>IFERROR(Base[[#This Row],['[SC']Prestations]]/Base[[#This Row],['[SC']Patients_en_emploi]],0)</f>
        <v>0</v>
      </c>
      <c r="AI618" s="4">
        <v>51.7</v>
      </c>
      <c r="AJ61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8" s="4">
        <f>Base[[#This Row],['[SC']'[Travail']Coûts_évités]]/Base[[#This Row],[Population_emploi]]</f>
        <v>1.754696083992344</v>
      </c>
      <c r="AL618" s="4">
        <f>Base[[#This Row],[Coût_société]]*10^9*Base[[#This Row],[Risque]]*Base[[#This Row],[Prévalence]]*Base[[#This Row],[Part_coûts_salarié]]/Base[[#This Row],[Population_emploi]]</f>
        <v>4.977593774042175</v>
      </c>
      <c r="AM618" s="4">
        <f>IF(Base[[#This Row],[Pathologie]]&lt;&gt;"Dépendance",0,14909.24243952)</f>
        <v>0</v>
      </c>
      <c r="AN618" s="4">
        <f>IF(Base[[#This Row],[Pathologie]]&lt;&gt;"Dépendance",0,1316000)</f>
        <v>0</v>
      </c>
      <c r="AO618" s="4">
        <f>IF(Base[[#This Row],[Pathologie]]&lt;&gt;"Dépendance",0,Base[[#This Row],['[SC']Coût_personne_dépendante]]*Base[[#This Row],['[SC']Nb_personnes_dépendantes]])</f>
        <v>0</v>
      </c>
      <c r="AP618" s="4">
        <f>IF(Base[[#This Row],[Pathologie]]&lt;&gt;"Dépendance",0,Base[[#This Row],['[SC']Coût_total_dépendance]]/Base[[#This Row],[Population_totale]])</f>
        <v>0</v>
      </c>
      <c r="AQ618" s="4">
        <f>IF(Base[[#This Row],[Pathologie]]&lt;&gt;"Dépendance",0,4.5)</f>
        <v>0</v>
      </c>
      <c r="AR618" s="4">
        <v>1.0077957276768601</v>
      </c>
      <c r="AS618" s="4">
        <f>Base[[#This Row],[Espérance_vie]]+Base[[#This Row],['[SC']Hausse_esp_de_vie]]-Base[[#This Row],['[SC']Durée_moyenne_dépendance_avt]]+Base[[#This Row],[Risque]]</f>
        <v>83.556514924005953</v>
      </c>
      <c r="AT61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8" s="4">
        <v>62.9</v>
      </c>
      <c r="AW618" s="4">
        <f t="shared" si="20"/>
        <v>336905600000</v>
      </c>
      <c r="AX618" s="4">
        <v>15049171</v>
      </c>
      <c r="AY618" s="4">
        <f>Base[[#This Row],['[SC']Budget_total_retraites]]/Base[[#This Row],['[SC']Nombre_de_retraités]]</f>
        <v>22386.987296509556</v>
      </c>
      <c r="AZ618" s="4">
        <f>Base[[#This Row],['[SC']Budget_par_retraité]]*Base[[#This Row],['[SC']Nb_personnes_dépendantes]]</f>
        <v>0</v>
      </c>
      <c r="BA618" s="4">
        <f>Base[[#This Row],['[SC']'[Dépendance']Coût_retraite_personnes_dépendantes]]/Base[[#This Row],[Population_totale]]</f>
        <v>0</v>
      </c>
      <c r="BB61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8" s="4">
        <f>Base[[#This Row],['[SC']'[Dépendance']Gains]]-Base[[#This Row],['[SC']'[Dépendance']Coûts]]</f>
        <v>0</v>
      </c>
      <c r="BD618" s="4">
        <f>IF(Base[[#This Row],[Pathologie]]&lt;&gt;"Mort prématurée",0,Base[[#This Row],[Risque]]*Base[[#This Row],[Prévalence]]*Base[[#This Row],[Population_totale]])</f>
        <v>0</v>
      </c>
      <c r="BE618" s="4">
        <v>52.74</v>
      </c>
      <c r="BF618" s="4">
        <f>Base[[#This Row],['[SC']Âge_moyen_retraite]]-Base[[#This Row],['[SC']'[Mort_prématurée']Âge_moyen_mort précoce]]</f>
        <v>10.159999999999997</v>
      </c>
      <c r="BG618" s="4">
        <f>Base[[#This Row],[Espérance_vie]]+Base[[#This Row],['[SC']Hausse_esp_de_vie]]-Base[[#This Row],['[SC']Âge_moyen_retraite]]</f>
        <v>20.404874790994718</v>
      </c>
      <c r="BH618" s="4">
        <v>106583.42676924677</v>
      </c>
      <c r="BI618" s="4">
        <v>97601.789429271477</v>
      </c>
      <c r="BJ618" s="4">
        <v>302038.31496633729</v>
      </c>
      <c r="BK618" s="4">
        <v>117293.58934859755</v>
      </c>
      <c r="BL618" s="4">
        <v>1523999.9999999995</v>
      </c>
      <c r="BM61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8" s="4">
        <v>294804.96027377353</v>
      </c>
      <c r="BO61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8" s="4">
        <f>(Base[[#This Row],['[SC']'[Mort_prématurée']Gains]]-Base[[#This Row],['[SC']'[Mort_prématurée']Coûts]])/Base[[#This Row],[Population_totale]]</f>
        <v>0</v>
      </c>
      <c r="BQ618" s="4">
        <f>IF(Base[[#This Row],[Pathologie]]&lt;&gt;"Mort prématurée",0,Base[[#This Row],[Risque]])</f>
        <v>0</v>
      </c>
      <c r="BR618" s="4">
        <v>2680</v>
      </c>
      <c r="BS61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8" s="4">
        <f>Base[[#This Row],[Prévalence_prod]]*(1-Base[[#This Row],[Risque]])*Base[[#This Row],[Durée_arrêt]]*Base[[#This Row],[Population_emploi]]</f>
        <v>9506061.7903211042</v>
      </c>
      <c r="BV618" s="4">
        <f>Base[[#This Row],['[Prod']'[Absentéisme']Total_jours_absence_avant]]-Base[[#This Row],['[Prod']'[Absentéisme']Total_jours_absence_après]]</f>
        <v>3196465.7096788939</v>
      </c>
      <c r="BW618" s="4">
        <f>IF(AND(Base[[#This Row],[Pathologie]]&lt;&gt;"Dépendance",Base[[#This Row],[Pathologie]]&lt;&gt;"Mort prématurée",Base[[#This Row],[Pathologie]]&lt;&gt;"Migraine"),0.0619,0)</f>
        <v>6.1899999999999997E-2</v>
      </c>
      <c r="BX618" s="4">
        <v>254</v>
      </c>
      <c r="BY618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8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8" s="4">
        <f>Base[[#This Row],[Prévalence_prod]]*Base[[#This Row],[Présentéisme]]*Base[[#This Row],['[Prod']Jours_ouvrés]]</f>
        <v>2.0966048999999995</v>
      </c>
      <c r="CB618" s="4">
        <f>Base[[#This Row],[Prévalence_prod]]*(1-Base[[#This Row],[Risque]])*Base[[#This Row],[Présentéisme]]*Base[[#This Row],['[Prod']Jours_ouvrés]]</f>
        <v>1.5690149640919888</v>
      </c>
      <c r="CC618" s="4">
        <f>Base[[#This Row],['[Prod']'[Présentéisme']Jours_avant]]-Base[[#This Row],['[Prod']'[Présentéisme']Jours_après]]</f>
        <v>0.52758993590801073</v>
      </c>
      <c r="CD618" s="4">
        <f>Base[[#This Row],['[Prod']'[Présentéisme']Jours_gagnés]]/Base[[#This Row],['[Prod']Jours_ouvrés]]</f>
        <v>2.0771257319213022E-3</v>
      </c>
      <c r="CE618">
        <v>9.3428413505841454E-2</v>
      </c>
      <c r="CF618">
        <v>2.1038737314955848E-2</v>
      </c>
      <c r="CG618" s="4">
        <v>11</v>
      </c>
      <c r="CH618" s="4">
        <v>1.6219398392978641</v>
      </c>
      <c r="CI618" s="4">
        <v>9.628527536862988E-2</v>
      </c>
      <c r="CJ618" s="4">
        <f>IF(Base[[#This Row],[Secteur]]&lt;&gt;"Moyenne",Base[[#This Row],['[Prod']'[Turnover']DMC_initiale]]*(1+Base[[#This Row],['[Prod']'[Turnover']Ecart_accidents]]*Base[[#This Row],['[Prod']Impact_motifs_turnover]]),CJ601*CI601+CJ602*CI602+CJ603*CI603+CJ604*CI604+CJ605*CI605+CJ606*CI606+CJ607*CI607+CJ608*CI608+CJ609*CI609+CJ610*CI610+CJ611*CI611+CJ612*CI612+CJ613*CI613+CJ614*CI614+CJ615*CI615+CJ616*CI616+CJ617*CI617)</f>
        <v>11.375359228416144</v>
      </c>
      <c r="CK618" s="4">
        <f>1/Base[[#This Row],['[Prod']'[Turnover']DMC_initiale]]</f>
        <v>9.0909090909090912E-2</v>
      </c>
      <c r="CL618" s="4">
        <f>1/Base[[#This Row],['[Prod']'[Turnover']DMC_finale]]</f>
        <v>8.7909311690303041E-2</v>
      </c>
    </row>
    <row r="619" spans="2:90" x14ac:dyDescent="0.25">
      <c r="B619" s="4" t="s">
        <v>323</v>
      </c>
      <c r="C619">
        <v>30</v>
      </c>
      <c r="D619" t="s">
        <v>85</v>
      </c>
      <c r="E619" t="s">
        <v>12</v>
      </c>
      <c r="F619" s="3">
        <v>0.251640133011237</v>
      </c>
      <c r="G619" s="3">
        <v>0.1079</v>
      </c>
      <c r="H619" s="3">
        <v>0.1079</v>
      </c>
      <c r="I619" s="3">
        <v>7.6499999999999999E-2</v>
      </c>
      <c r="J619" s="3">
        <v>7.67629534616262</v>
      </c>
      <c r="K619" s="3">
        <v>7.0000000000000007E-2</v>
      </c>
      <c r="L619" s="2">
        <f>Base[[#This Row],[Coût]]*Base[[#This Row],[Part_ménages_dépenses_santé]]</f>
        <v>0.53734067423138343</v>
      </c>
      <c r="M619" s="2">
        <v>0.82690611956969029</v>
      </c>
      <c r="N619" s="6">
        <v>27700000</v>
      </c>
      <c r="O619" s="7">
        <f>Base[[#This Row],[Coût_salarié]]*10^9*Base[[#This Row],[Risque]]*Base[[#This Row],[Prévalence]]*Base[[#This Row],[Part_coûts_salarié]]/Base[[#This Row],[Population_emploi]]</f>
        <v>0.43553945522869025</v>
      </c>
      <c r="P619">
        <v>50</v>
      </c>
      <c r="Q619">
        <v>50</v>
      </c>
      <c r="R619" s="2">
        <v>9.9999999999999978E-2</v>
      </c>
      <c r="S619" s="2">
        <v>0.33340000000000003</v>
      </c>
      <c r="T619" s="4">
        <v>0.1079</v>
      </c>
      <c r="U619" s="4">
        <f>IF(Bases_annexes!$F$5=0,16.6587111018772,0.77*Bases_annexes!$F$5/(IF(OR(ISBLANK('Données_d''entrée'!$E$44),'Données_d''entrée'!$E$44=0),35,'Données_d''entrée'!$E$44)*52))</f>
        <v>16.658711101877199</v>
      </c>
      <c r="V619" s="4">
        <v>4.25</v>
      </c>
      <c r="W61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19" s="4">
        <v>234.5</v>
      </c>
      <c r="Y619" s="4">
        <f>(Base[[#This Row],['[Maladies']Coûts_évités_par_salarié]]+Base[[#This Row],['[Travail']Coûts_évités_par_salarié]])/Base[[#This Row],[Budget_santé_salarié]]</f>
        <v>4.4051045245840817E-2</v>
      </c>
      <c r="Z619" s="4">
        <v>0.8</v>
      </c>
      <c r="AA619" s="4">
        <f>Base[[#This Row],[Coût]]*Base[[#This Row],[Part_société_dépenses_santé]]</f>
        <v>6.1410362769300963</v>
      </c>
      <c r="AB619" s="4">
        <v>67635124</v>
      </c>
      <c r="AC619" s="4">
        <v>82.297079063317852</v>
      </c>
      <c r="AD619" s="4">
        <v>0.1079</v>
      </c>
      <c r="AE619" s="4">
        <f>Base[[#This Row],['[SC']Prévalence_travail]]*Base[[#This Row],[Population_emploi]]</f>
        <v>2988830</v>
      </c>
      <c r="AF619" s="4">
        <f>Base[[#This Row],[Risque]]*Base[[#This Row],['[SC']Patients_en_emploi]]</f>
        <v>752109.57874797552</v>
      </c>
      <c r="AG619" s="4">
        <v>0</v>
      </c>
      <c r="AH619" s="4">
        <f>IFERROR(Base[[#This Row],['[SC']Prestations]]/Base[[#This Row],['[SC']Patients_en_emploi]],0)</f>
        <v>0</v>
      </c>
      <c r="AI619" s="4">
        <v>51.7</v>
      </c>
      <c r="AJ61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19" s="4">
        <f>Base[[#This Row],['[SC']'[Travail']Coûts_évités]]/Base[[#This Row],[Population_emploi]]</f>
        <v>1.754696083992344</v>
      </c>
      <c r="AL619" s="4">
        <f>Base[[#This Row],[Coût_société]]*10^9*Base[[#This Row],[Risque]]*Base[[#This Row],[Prévalence]]*Base[[#This Row],[Part_coûts_salarié]]/Base[[#This Row],[Population_emploi]]</f>
        <v>4.977593774042175</v>
      </c>
      <c r="AM619" s="4">
        <f>IF(Base[[#This Row],[Pathologie]]&lt;&gt;"Dépendance",0,14909.24243952)</f>
        <v>0</v>
      </c>
      <c r="AN619" s="4">
        <f>IF(Base[[#This Row],[Pathologie]]&lt;&gt;"Dépendance",0,1316000)</f>
        <v>0</v>
      </c>
      <c r="AO619" s="4">
        <f>IF(Base[[#This Row],[Pathologie]]&lt;&gt;"Dépendance",0,Base[[#This Row],['[SC']Coût_personne_dépendante]]*Base[[#This Row],['[SC']Nb_personnes_dépendantes]])</f>
        <v>0</v>
      </c>
      <c r="AP619" s="4">
        <f>IF(Base[[#This Row],[Pathologie]]&lt;&gt;"Dépendance",0,Base[[#This Row],['[SC']Coût_total_dépendance]]/Base[[#This Row],[Population_totale]])</f>
        <v>0</v>
      </c>
      <c r="AQ619" s="4">
        <f>IF(Base[[#This Row],[Pathologie]]&lt;&gt;"Dépendance",0,4.5)</f>
        <v>0</v>
      </c>
      <c r="AR619" s="4">
        <v>1.0077957276768601</v>
      </c>
      <c r="AS619" s="4">
        <f>Base[[#This Row],[Espérance_vie]]+Base[[#This Row],['[SC']Hausse_esp_de_vie]]-Base[[#This Row],['[SC']Durée_moyenne_dépendance_avt]]+Base[[#This Row],[Risque]]</f>
        <v>83.556514924005953</v>
      </c>
      <c r="AT61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1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19" s="4">
        <v>62.9</v>
      </c>
      <c r="AW619" s="4">
        <f t="shared" si="20"/>
        <v>336905600000</v>
      </c>
      <c r="AX619" s="4">
        <v>15049171</v>
      </c>
      <c r="AY619" s="4">
        <f>Base[[#This Row],['[SC']Budget_total_retraites]]/Base[[#This Row],['[SC']Nombre_de_retraités]]</f>
        <v>22386.987296509556</v>
      </c>
      <c r="AZ619" s="4">
        <f>Base[[#This Row],['[SC']Budget_par_retraité]]*Base[[#This Row],['[SC']Nb_personnes_dépendantes]]</f>
        <v>0</v>
      </c>
      <c r="BA619" s="4">
        <f>Base[[#This Row],['[SC']'[Dépendance']Coût_retraite_personnes_dépendantes]]/Base[[#This Row],[Population_totale]]</f>
        <v>0</v>
      </c>
      <c r="BB61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19" s="4">
        <f>Base[[#This Row],['[SC']'[Dépendance']Gains]]-Base[[#This Row],['[SC']'[Dépendance']Coûts]]</f>
        <v>0</v>
      </c>
      <c r="BD619" s="4">
        <f>IF(Base[[#This Row],[Pathologie]]&lt;&gt;"Mort prématurée",0,Base[[#This Row],[Risque]]*Base[[#This Row],[Prévalence]]*Base[[#This Row],[Population_totale]])</f>
        <v>0</v>
      </c>
      <c r="BE619" s="4">
        <v>52.74</v>
      </c>
      <c r="BF619" s="4">
        <f>Base[[#This Row],['[SC']Âge_moyen_retraite]]-Base[[#This Row],['[SC']'[Mort_prématurée']Âge_moyen_mort précoce]]</f>
        <v>10.159999999999997</v>
      </c>
      <c r="BG619" s="4">
        <f>Base[[#This Row],[Espérance_vie]]+Base[[#This Row],['[SC']Hausse_esp_de_vie]]-Base[[#This Row],['[SC']Âge_moyen_retraite]]</f>
        <v>20.404874790994718</v>
      </c>
      <c r="BH619" s="4">
        <v>106583.42676924677</v>
      </c>
      <c r="BI619" s="4">
        <v>97601.789429271477</v>
      </c>
      <c r="BJ619" s="4">
        <v>302038.31496633729</v>
      </c>
      <c r="BK619" s="4">
        <v>117293.58934859755</v>
      </c>
      <c r="BL619" s="4">
        <v>1523999.9999999995</v>
      </c>
      <c r="BM61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19" s="4">
        <v>294804.96027377353</v>
      </c>
      <c r="BO61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19" s="4">
        <f>(Base[[#This Row],['[SC']'[Mort_prématurée']Gains]]-Base[[#This Row],['[SC']'[Mort_prématurée']Coûts]])/Base[[#This Row],[Population_totale]]</f>
        <v>0</v>
      </c>
      <c r="BQ619" s="4">
        <f>IF(Base[[#This Row],[Pathologie]]&lt;&gt;"Mort prématurée",0,Base[[#This Row],[Risque]])</f>
        <v>0</v>
      </c>
      <c r="BR619" s="4">
        <v>2680</v>
      </c>
      <c r="BS61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1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19" s="4">
        <f>Base[[#This Row],[Prévalence_prod]]*(1-Base[[#This Row],[Risque]])*Base[[#This Row],[Durée_arrêt]]*Base[[#This Row],[Population_emploi]]</f>
        <v>9506061.7903211042</v>
      </c>
      <c r="BV619" s="4">
        <f>Base[[#This Row],['[Prod']'[Absentéisme']Total_jours_absence_avant]]-Base[[#This Row],['[Prod']'[Absentéisme']Total_jours_absence_après]]</f>
        <v>3196465.7096788939</v>
      </c>
      <c r="BW619" s="4">
        <f>IF(AND(Base[[#This Row],[Pathologie]]&lt;&gt;"Dépendance",Base[[#This Row],[Pathologie]]&lt;&gt;"Mort prématurée",Base[[#This Row],[Pathologie]]&lt;&gt;"Migraine"),0.0619,0)</f>
        <v>6.1899999999999997E-2</v>
      </c>
      <c r="BX619" s="4">
        <v>254</v>
      </c>
      <c r="BY619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19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19" s="4">
        <f>Base[[#This Row],[Prévalence_prod]]*Base[[#This Row],[Présentéisme]]*Base[[#This Row],['[Prod']Jours_ouvrés]]</f>
        <v>2.0966048999999995</v>
      </c>
      <c r="CB619" s="4">
        <f>Base[[#This Row],[Prévalence_prod]]*(1-Base[[#This Row],[Risque]])*Base[[#This Row],[Présentéisme]]*Base[[#This Row],['[Prod']Jours_ouvrés]]</f>
        <v>1.5690149640919888</v>
      </c>
      <c r="CC619" s="4">
        <f>Base[[#This Row],['[Prod']'[Présentéisme']Jours_avant]]-Base[[#This Row],['[Prod']'[Présentéisme']Jours_après]]</f>
        <v>0.52758993590801073</v>
      </c>
      <c r="CD619" s="4">
        <f>Base[[#This Row],['[Prod']'[Présentéisme']Jours_gagnés]]/Base[[#This Row],['[Prod']Jours_ouvrés]]</f>
        <v>2.0771257319213022E-3</v>
      </c>
      <c r="CE619">
        <v>9.3428413505841454E-2</v>
      </c>
      <c r="CF619">
        <v>2.1038737314955848E-2</v>
      </c>
      <c r="CG619" s="4">
        <v>11</v>
      </c>
      <c r="CH619" s="4">
        <v>0.96913802401210614</v>
      </c>
      <c r="CI619" s="4">
        <v>0.10293966445307301</v>
      </c>
      <c r="CJ619" s="4">
        <f>IF(Base[[#This Row],[Secteur]]&lt;&gt;"Moyenne",Base[[#This Row],['[Prod']'[Turnover']DMC_initiale]]*(1+Base[[#This Row],['[Prod']'[Turnover']Ecart_accidents]]*Base[[#This Row],['[Prod']Impact_motifs_turnover]]),CJ602*CI602+CJ603*CI603+CJ604*CI604+CJ605*CI605+CJ606*CI606+CJ607*CI607+CJ608*CI608+CJ609*CI609+CJ610*CI610+CJ611*CI611+CJ612*CI612+CJ613*CI613+CJ614*CI614+CJ615*CI615+CJ616*CI616+CJ617*CI617+CJ618*CI618)</f>
        <v>11.224283843400386</v>
      </c>
      <c r="CK619" s="4">
        <f>1/Base[[#This Row],['[Prod']'[Turnover']DMC_initiale]]</f>
        <v>9.0909090909090912E-2</v>
      </c>
      <c r="CL619" s="4">
        <f>1/Base[[#This Row],['[Prod']'[Turnover']DMC_finale]]</f>
        <v>8.9092543805186858E-2</v>
      </c>
    </row>
    <row r="620" spans="2:90" x14ac:dyDescent="0.25">
      <c r="B620" s="4" t="s">
        <v>324</v>
      </c>
      <c r="C620">
        <v>30</v>
      </c>
      <c r="D620" t="s">
        <v>85</v>
      </c>
      <c r="E620" t="s">
        <v>12</v>
      </c>
      <c r="F620" s="3">
        <v>0.251640133011237</v>
      </c>
      <c r="G620" s="3">
        <v>0.1079</v>
      </c>
      <c r="H620" s="3">
        <v>0.1079</v>
      </c>
      <c r="I620" s="3">
        <v>7.6499999999999999E-2</v>
      </c>
      <c r="J620" s="3">
        <v>7.67629534616262</v>
      </c>
      <c r="K620" s="3">
        <v>7.0000000000000007E-2</v>
      </c>
      <c r="L620" s="2">
        <f>Base[[#This Row],[Coût]]*Base[[#This Row],[Part_ménages_dépenses_santé]]</f>
        <v>0.53734067423138343</v>
      </c>
      <c r="M620" s="2">
        <v>0.82690611956969029</v>
      </c>
      <c r="N620" s="6">
        <v>27700000</v>
      </c>
      <c r="O620" s="7">
        <f>Base[[#This Row],[Coût_salarié]]*10^9*Base[[#This Row],[Risque]]*Base[[#This Row],[Prévalence]]*Base[[#This Row],[Part_coûts_salarié]]/Base[[#This Row],[Population_emploi]]</f>
        <v>0.43553945522869025</v>
      </c>
      <c r="P620">
        <v>50</v>
      </c>
      <c r="Q620">
        <v>50</v>
      </c>
      <c r="R620" s="2">
        <v>9.9999999999999978E-2</v>
      </c>
      <c r="S620" s="2">
        <v>0.33340000000000003</v>
      </c>
      <c r="T620" s="4">
        <v>0.1079</v>
      </c>
      <c r="U620" s="4">
        <f>IF(Bases_annexes!$F$5=0,16.6587111018772,0.77*Bases_annexes!$F$5/(IF(OR(ISBLANK('Données_d''entrée'!$E$44),'Données_d''entrée'!$E$44=0),35,'Données_d''entrée'!$E$44)*52))</f>
        <v>16.658711101877199</v>
      </c>
      <c r="V620" s="4">
        <v>4.25</v>
      </c>
      <c r="W62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0" s="4">
        <v>234.5</v>
      </c>
      <c r="Y620" s="4">
        <f>(Base[[#This Row],['[Maladies']Coûts_évités_par_salarié]]+Base[[#This Row],['[Travail']Coûts_évités_par_salarié]])/Base[[#This Row],[Budget_santé_salarié]]</f>
        <v>4.4051045245840817E-2</v>
      </c>
      <c r="Z620" s="4">
        <v>0.8</v>
      </c>
      <c r="AA620" s="4">
        <f>Base[[#This Row],[Coût]]*Base[[#This Row],[Part_société_dépenses_santé]]</f>
        <v>6.1410362769300963</v>
      </c>
      <c r="AB620" s="4">
        <v>67635124</v>
      </c>
      <c r="AC620" s="4">
        <v>82.297079063317852</v>
      </c>
      <c r="AD620" s="4">
        <v>0.1079</v>
      </c>
      <c r="AE620" s="4">
        <f>Base[[#This Row],['[SC']Prévalence_travail]]*Base[[#This Row],[Population_emploi]]</f>
        <v>2988830</v>
      </c>
      <c r="AF620" s="4">
        <f>Base[[#This Row],[Risque]]*Base[[#This Row],['[SC']Patients_en_emploi]]</f>
        <v>752109.57874797552</v>
      </c>
      <c r="AG620" s="4">
        <v>0</v>
      </c>
      <c r="AH620" s="4">
        <f>IFERROR(Base[[#This Row],['[SC']Prestations]]/Base[[#This Row],['[SC']Patients_en_emploi]],0)</f>
        <v>0</v>
      </c>
      <c r="AI620" s="4">
        <v>51.7</v>
      </c>
      <c r="AJ62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0" s="4">
        <f>Base[[#This Row],['[SC']'[Travail']Coûts_évités]]/Base[[#This Row],[Population_emploi]]</f>
        <v>1.754696083992344</v>
      </c>
      <c r="AL620" s="4">
        <f>Base[[#This Row],[Coût_société]]*10^9*Base[[#This Row],[Risque]]*Base[[#This Row],[Prévalence]]*Base[[#This Row],[Part_coûts_salarié]]/Base[[#This Row],[Population_emploi]]</f>
        <v>4.977593774042175</v>
      </c>
      <c r="AM620" s="4">
        <f>IF(Base[[#This Row],[Pathologie]]&lt;&gt;"Dépendance",0,14909.24243952)</f>
        <v>0</v>
      </c>
      <c r="AN620" s="4">
        <f>IF(Base[[#This Row],[Pathologie]]&lt;&gt;"Dépendance",0,1316000)</f>
        <v>0</v>
      </c>
      <c r="AO620" s="4">
        <f>IF(Base[[#This Row],[Pathologie]]&lt;&gt;"Dépendance",0,Base[[#This Row],['[SC']Coût_personne_dépendante]]*Base[[#This Row],['[SC']Nb_personnes_dépendantes]])</f>
        <v>0</v>
      </c>
      <c r="AP620" s="4">
        <f>IF(Base[[#This Row],[Pathologie]]&lt;&gt;"Dépendance",0,Base[[#This Row],['[SC']Coût_total_dépendance]]/Base[[#This Row],[Population_totale]])</f>
        <v>0</v>
      </c>
      <c r="AQ620" s="4">
        <f>IF(Base[[#This Row],[Pathologie]]&lt;&gt;"Dépendance",0,4.5)</f>
        <v>0</v>
      </c>
      <c r="AR620" s="4">
        <v>1.0077957276768601</v>
      </c>
      <c r="AS620" s="4">
        <f>Base[[#This Row],[Espérance_vie]]+Base[[#This Row],['[SC']Hausse_esp_de_vie]]-Base[[#This Row],['[SC']Durée_moyenne_dépendance_avt]]+Base[[#This Row],[Risque]]</f>
        <v>83.556514924005953</v>
      </c>
      <c r="AT62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0" s="4">
        <v>62.9</v>
      </c>
      <c r="AW620" s="4">
        <f t="shared" si="20"/>
        <v>336905600000</v>
      </c>
      <c r="AX620" s="4">
        <v>15049171</v>
      </c>
      <c r="AY620" s="4">
        <f>Base[[#This Row],['[SC']Budget_total_retraites]]/Base[[#This Row],['[SC']Nombre_de_retraités]]</f>
        <v>22386.987296509556</v>
      </c>
      <c r="AZ620" s="4">
        <f>Base[[#This Row],['[SC']Budget_par_retraité]]*Base[[#This Row],['[SC']Nb_personnes_dépendantes]]</f>
        <v>0</v>
      </c>
      <c r="BA620" s="4">
        <f>Base[[#This Row],['[SC']'[Dépendance']Coût_retraite_personnes_dépendantes]]/Base[[#This Row],[Population_totale]]</f>
        <v>0</v>
      </c>
      <c r="BB62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0" s="4">
        <f>Base[[#This Row],['[SC']'[Dépendance']Gains]]-Base[[#This Row],['[SC']'[Dépendance']Coûts]]</f>
        <v>0</v>
      </c>
      <c r="BD620" s="4">
        <f>IF(Base[[#This Row],[Pathologie]]&lt;&gt;"Mort prématurée",0,Base[[#This Row],[Risque]]*Base[[#This Row],[Prévalence]]*Base[[#This Row],[Population_totale]])</f>
        <v>0</v>
      </c>
      <c r="BE620" s="4">
        <v>52.74</v>
      </c>
      <c r="BF620" s="4">
        <f>Base[[#This Row],['[SC']Âge_moyen_retraite]]-Base[[#This Row],['[SC']'[Mort_prématurée']Âge_moyen_mort précoce]]</f>
        <v>10.159999999999997</v>
      </c>
      <c r="BG620" s="4">
        <f>Base[[#This Row],[Espérance_vie]]+Base[[#This Row],['[SC']Hausse_esp_de_vie]]-Base[[#This Row],['[SC']Âge_moyen_retraite]]</f>
        <v>20.404874790994718</v>
      </c>
      <c r="BH620" s="4">
        <v>106583.42676924677</v>
      </c>
      <c r="BI620" s="4">
        <v>97601.789429271477</v>
      </c>
      <c r="BJ620" s="4">
        <v>302038.31496633729</v>
      </c>
      <c r="BK620" s="4">
        <v>117293.58934859755</v>
      </c>
      <c r="BL620" s="4">
        <v>1523999.9999999995</v>
      </c>
      <c r="BM62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0" s="4">
        <v>294804.96027377353</v>
      </c>
      <c r="BO62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0" s="4">
        <f>(Base[[#This Row],['[SC']'[Mort_prématurée']Gains]]-Base[[#This Row],['[SC']'[Mort_prématurée']Coûts]])/Base[[#This Row],[Population_totale]]</f>
        <v>0</v>
      </c>
      <c r="BQ620" s="4">
        <f>IF(Base[[#This Row],[Pathologie]]&lt;&gt;"Mort prématurée",0,Base[[#This Row],[Risque]])</f>
        <v>0</v>
      </c>
      <c r="BR620" s="4">
        <v>2680</v>
      </c>
      <c r="BS62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0" s="4">
        <f>Base[[#This Row],[Prévalence_prod]]*(1-Base[[#This Row],[Risque]])*Base[[#This Row],[Durée_arrêt]]*Base[[#This Row],[Population_emploi]]</f>
        <v>9506061.7903211042</v>
      </c>
      <c r="BV620" s="4">
        <f>Base[[#This Row],['[Prod']'[Absentéisme']Total_jours_absence_avant]]-Base[[#This Row],['[Prod']'[Absentéisme']Total_jours_absence_après]]</f>
        <v>3196465.7096788939</v>
      </c>
      <c r="BW620" s="4">
        <f>IF(AND(Base[[#This Row],[Pathologie]]&lt;&gt;"Dépendance",Base[[#This Row],[Pathologie]]&lt;&gt;"Mort prématurée",Base[[#This Row],[Pathologie]]&lt;&gt;"Migraine"),0.0619,0)</f>
        <v>6.1899999999999997E-2</v>
      </c>
      <c r="BX620" s="4">
        <v>254</v>
      </c>
      <c r="BY620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0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0" s="4">
        <f>Base[[#This Row],[Prévalence_prod]]*Base[[#This Row],[Présentéisme]]*Base[[#This Row],['[Prod']Jours_ouvrés]]</f>
        <v>2.0966048999999995</v>
      </c>
      <c r="CB620" s="4">
        <f>Base[[#This Row],[Prévalence_prod]]*(1-Base[[#This Row],[Risque]])*Base[[#This Row],[Présentéisme]]*Base[[#This Row],['[Prod']Jours_ouvrés]]</f>
        <v>1.5690149640919888</v>
      </c>
      <c r="CC620" s="4">
        <f>Base[[#This Row],['[Prod']'[Présentéisme']Jours_avant]]-Base[[#This Row],['[Prod']'[Présentéisme']Jours_après]]</f>
        <v>0.52758993590801073</v>
      </c>
      <c r="CD620" s="4">
        <f>Base[[#This Row],['[Prod']'[Présentéisme']Jours_gagnés]]/Base[[#This Row],['[Prod']Jours_ouvrés]]</f>
        <v>2.0771257319213022E-3</v>
      </c>
      <c r="CE620">
        <v>9.3428413505841454E-2</v>
      </c>
      <c r="CF620">
        <v>2.1038737314955848E-2</v>
      </c>
      <c r="CG620" s="4">
        <v>11</v>
      </c>
      <c r="CH620" s="4">
        <v>1.3987208237662601</v>
      </c>
      <c r="CI620" s="4">
        <v>2.1768516166491274E-2</v>
      </c>
      <c r="CJ620" s="4">
        <f>IF(Base[[#This Row],[Secteur]]&lt;&gt;"Moyenne",Base[[#This Row],['[Prod']'[Turnover']DMC_initiale]]*(1+Base[[#This Row],['[Prod']'[Turnover']Ecart_accidents]]*Base[[#This Row],['[Prod']Impact_motifs_turnover]]),CJ603*CI603+CJ604*CI604+CJ605*CI605+CJ606*CI606+CJ607*CI607+CJ608*CI608+CJ609*CI609+CJ610*CI610+CJ611*CI611+CJ612*CI612+CJ613*CI613+CJ614*CI614+CJ615*CI615+CJ616*CI616+CJ617*CI617+CJ618*CI618+CJ619*CI619)</f>
        <v>11.323700519869947</v>
      </c>
      <c r="CK620" s="4">
        <f>1/Base[[#This Row],['[Prod']'[Turnover']DMC_initiale]]</f>
        <v>9.0909090909090912E-2</v>
      </c>
      <c r="CL620" s="4">
        <f>1/Base[[#This Row],['[Prod']'[Turnover']DMC_finale]]</f>
        <v>8.8310353867561045E-2</v>
      </c>
    </row>
    <row r="621" spans="2:90" x14ac:dyDescent="0.25">
      <c r="B621" s="4" t="s">
        <v>325</v>
      </c>
      <c r="C621">
        <v>30</v>
      </c>
      <c r="D621" t="s">
        <v>85</v>
      </c>
      <c r="E621" t="s">
        <v>12</v>
      </c>
      <c r="F621" s="3">
        <v>0.251640133011237</v>
      </c>
      <c r="G621" s="3">
        <v>0.1079</v>
      </c>
      <c r="H621" s="3">
        <v>0.1079</v>
      </c>
      <c r="I621" s="3">
        <v>7.6499999999999999E-2</v>
      </c>
      <c r="J621" s="3">
        <v>7.67629534616262</v>
      </c>
      <c r="K621" s="3">
        <v>7.0000000000000007E-2</v>
      </c>
      <c r="L621" s="2">
        <f>Base[[#This Row],[Coût]]*Base[[#This Row],[Part_ménages_dépenses_santé]]</f>
        <v>0.53734067423138343</v>
      </c>
      <c r="M621" s="2">
        <v>0.82690611956969029</v>
      </c>
      <c r="N621" s="6">
        <v>27700000</v>
      </c>
      <c r="O621" s="7">
        <f>Base[[#This Row],[Coût_salarié]]*10^9*Base[[#This Row],[Risque]]*Base[[#This Row],[Prévalence]]*Base[[#This Row],[Part_coûts_salarié]]/Base[[#This Row],[Population_emploi]]</f>
        <v>0.43553945522869025</v>
      </c>
      <c r="P621">
        <v>50</v>
      </c>
      <c r="Q621">
        <v>50</v>
      </c>
      <c r="R621" s="2">
        <v>9.9999999999999978E-2</v>
      </c>
      <c r="S621" s="2">
        <v>0.33340000000000003</v>
      </c>
      <c r="T621" s="4">
        <v>0.1079</v>
      </c>
      <c r="U621" s="4">
        <f>IF(Bases_annexes!$F$5=0,16.6587111018772,0.77*Bases_annexes!$F$5/(IF(OR(ISBLANK('Données_d''entrée'!$E$44),'Données_d''entrée'!$E$44=0),35,'Données_d''entrée'!$E$44)*52))</f>
        <v>16.658711101877199</v>
      </c>
      <c r="V621" s="4">
        <v>4.25</v>
      </c>
      <c r="W62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1" s="4">
        <v>234.5</v>
      </c>
      <c r="Y621" s="4">
        <f>(Base[[#This Row],['[Maladies']Coûts_évités_par_salarié]]+Base[[#This Row],['[Travail']Coûts_évités_par_salarié]])/Base[[#This Row],[Budget_santé_salarié]]</f>
        <v>4.4051045245840817E-2</v>
      </c>
      <c r="Z621" s="4">
        <v>0.8</v>
      </c>
      <c r="AA621" s="4">
        <f>Base[[#This Row],[Coût]]*Base[[#This Row],[Part_société_dépenses_santé]]</f>
        <v>6.1410362769300963</v>
      </c>
      <c r="AB621" s="4">
        <v>67635124</v>
      </c>
      <c r="AC621" s="4">
        <v>82.297079063317852</v>
      </c>
      <c r="AD621" s="4">
        <v>0.1079</v>
      </c>
      <c r="AE621" s="4">
        <f>Base[[#This Row],['[SC']Prévalence_travail]]*Base[[#This Row],[Population_emploi]]</f>
        <v>2988830</v>
      </c>
      <c r="AF621" s="4">
        <f>Base[[#This Row],[Risque]]*Base[[#This Row],['[SC']Patients_en_emploi]]</f>
        <v>752109.57874797552</v>
      </c>
      <c r="AG621" s="4">
        <v>0</v>
      </c>
      <c r="AH621" s="4">
        <f>IFERROR(Base[[#This Row],['[SC']Prestations]]/Base[[#This Row],['[SC']Patients_en_emploi]],0)</f>
        <v>0</v>
      </c>
      <c r="AI621" s="4">
        <v>51.7</v>
      </c>
      <c r="AJ62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1" s="4">
        <f>Base[[#This Row],['[SC']'[Travail']Coûts_évités]]/Base[[#This Row],[Population_emploi]]</f>
        <v>1.754696083992344</v>
      </c>
      <c r="AL621" s="4">
        <f>Base[[#This Row],[Coût_société]]*10^9*Base[[#This Row],[Risque]]*Base[[#This Row],[Prévalence]]*Base[[#This Row],[Part_coûts_salarié]]/Base[[#This Row],[Population_emploi]]</f>
        <v>4.977593774042175</v>
      </c>
      <c r="AM621" s="4">
        <f>IF(Base[[#This Row],[Pathologie]]&lt;&gt;"Dépendance",0,14909.24243952)</f>
        <v>0</v>
      </c>
      <c r="AN621" s="4">
        <f>IF(Base[[#This Row],[Pathologie]]&lt;&gt;"Dépendance",0,1316000)</f>
        <v>0</v>
      </c>
      <c r="AO621" s="4">
        <f>IF(Base[[#This Row],[Pathologie]]&lt;&gt;"Dépendance",0,Base[[#This Row],['[SC']Coût_personne_dépendante]]*Base[[#This Row],['[SC']Nb_personnes_dépendantes]])</f>
        <v>0</v>
      </c>
      <c r="AP621" s="4">
        <f>IF(Base[[#This Row],[Pathologie]]&lt;&gt;"Dépendance",0,Base[[#This Row],['[SC']Coût_total_dépendance]]/Base[[#This Row],[Population_totale]])</f>
        <v>0</v>
      </c>
      <c r="AQ621" s="4">
        <f>IF(Base[[#This Row],[Pathologie]]&lt;&gt;"Dépendance",0,4.5)</f>
        <v>0</v>
      </c>
      <c r="AR621" s="4">
        <v>1.0077957276768601</v>
      </c>
      <c r="AS621" s="4">
        <f>Base[[#This Row],[Espérance_vie]]+Base[[#This Row],['[SC']Hausse_esp_de_vie]]-Base[[#This Row],['[SC']Durée_moyenne_dépendance_avt]]+Base[[#This Row],[Risque]]</f>
        <v>83.556514924005953</v>
      </c>
      <c r="AT62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1" s="4">
        <v>62.9</v>
      </c>
      <c r="AW621" s="4">
        <f t="shared" si="20"/>
        <v>336905600000</v>
      </c>
      <c r="AX621" s="4">
        <v>15049171</v>
      </c>
      <c r="AY621" s="4">
        <f>Base[[#This Row],['[SC']Budget_total_retraites]]/Base[[#This Row],['[SC']Nombre_de_retraités]]</f>
        <v>22386.987296509556</v>
      </c>
      <c r="AZ621" s="4">
        <f>Base[[#This Row],['[SC']Budget_par_retraité]]*Base[[#This Row],['[SC']Nb_personnes_dépendantes]]</f>
        <v>0</v>
      </c>
      <c r="BA621" s="4">
        <f>Base[[#This Row],['[SC']'[Dépendance']Coût_retraite_personnes_dépendantes]]/Base[[#This Row],[Population_totale]]</f>
        <v>0</v>
      </c>
      <c r="BB62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1" s="4">
        <f>Base[[#This Row],['[SC']'[Dépendance']Gains]]-Base[[#This Row],['[SC']'[Dépendance']Coûts]]</f>
        <v>0</v>
      </c>
      <c r="BD621" s="4">
        <f>IF(Base[[#This Row],[Pathologie]]&lt;&gt;"Mort prématurée",0,Base[[#This Row],[Risque]]*Base[[#This Row],[Prévalence]]*Base[[#This Row],[Population_totale]])</f>
        <v>0</v>
      </c>
      <c r="BE621" s="4">
        <v>52.74</v>
      </c>
      <c r="BF621" s="4">
        <f>Base[[#This Row],['[SC']Âge_moyen_retraite]]-Base[[#This Row],['[SC']'[Mort_prématurée']Âge_moyen_mort précoce]]</f>
        <v>10.159999999999997</v>
      </c>
      <c r="BG621" s="4">
        <f>Base[[#This Row],[Espérance_vie]]+Base[[#This Row],['[SC']Hausse_esp_de_vie]]-Base[[#This Row],['[SC']Âge_moyen_retraite]]</f>
        <v>20.404874790994718</v>
      </c>
      <c r="BH621" s="4">
        <v>106583.42676924677</v>
      </c>
      <c r="BI621" s="4">
        <v>97601.789429271477</v>
      </c>
      <c r="BJ621" s="4">
        <v>302038.31496633729</v>
      </c>
      <c r="BK621" s="4">
        <v>117293.58934859755</v>
      </c>
      <c r="BL621" s="4">
        <v>1523999.9999999995</v>
      </c>
      <c r="BM62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1" s="4">
        <v>294804.96027377353</v>
      </c>
      <c r="BO62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1" s="4">
        <f>(Base[[#This Row],['[SC']'[Mort_prématurée']Gains]]-Base[[#This Row],['[SC']'[Mort_prématurée']Coûts]])/Base[[#This Row],[Population_totale]]</f>
        <v>0</v>
      </c>
      <c r="BQ621" s="4">
        <f>IF(Base[[#This Row],[Pathologie]]&lt;&gt;"Mort prématurée",0,Base[[#This Row],[Risque]])</f>
        <v>0</v>
      </c>
      <c r="BR621" s="4">
        <v>2680</v>
      </c>
      <c r="BS62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1" s="4">
        <f>Base[[#This Row],[Prévalence_prod]]*(1-Base[[#This Row],[Risque]])*Base[[#This Row],[Durée_arrêt]]*Base[[#This Row],[Population_emploi]]</f>
        <v>9506061.7903211042</v>
      </c>
      <c r="BV621" s="4">
        <f>Base[[#This Row],['[Prod']'[Absentéisme']Total_jours_absence_avant]]-Base[[#This Row],['[Prod']'[Absentéisme']Total_jours_absence_après]]</f>
        <v>3196465.7096788939</v>
      </c>
      <c r="BW621" s="4">
        <f>IF(AND(Base[[#This Row],[Pathologie]]&lt;&gt;"Dépendance",Base[[#This Row],[Pathologie]]&lt;&gt;"Mort prématurée",Base[[#This Row],[Pathologie]]&lt;&gt;"Migraine"),0.0619,0)</f>
        <v>6.1899999999999997E-2</v>
      </c>
      <c r="BX621" s="4">
        <v>254</v>
      </c>
      <c r="BY621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1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1" s="4">
        <f>Base[[#This Row],[Prévalence_prod]]*Base[[#This Row],[Présentéisme]]*Base[[#This Row],['[Prod']Jours_ouvrés]]</f>
        <v>2.0966048999999995</v>
      </c>
      <c r="CB621" s="4">
        <f>Base[[#This Row],[Prévalence_prod]]*(1-Base[[#This Row],[Risque]])*Base[[#This Row],[Présentéisme]]*Base[[#This Row],['[Prod']Jours_ouvrés]]</f>
        <v>1.5690149640919888</v>
      </c>
      <c r="CC621" s="4">
        <f>Base[[#This Row],['[Prod']'[Présentéisme']Jours_avant]]-Base[[#This Row],['[Prod']'[Présentéisme']Jours_après]]</f>
        <v>0.52758993590801073</v>
      </c>
      <c r="CD621" s="4">
        <f>Base[[#This Row],['[Prod']'[Présentéisme']Jours_gagnés]]/Base[[#This Row],['[Prod']Jours_ouvrés]]</f>
        <v>2.0771257319213022E-3</v>
      </c>
      <c r="CE621">
        <v>9.3428413505841454E-2</v>
      </c>
      <c r="CF621">
        <v>2.1038737314955848E-2</v>
      </c>
      <c r="CG621" s="4">
        <v>11</v>
      </c>
      <c r="CH621" s="4">
        <v>1.1624525375985588</v>
      </c>
      <c r="CI621" s="4">
        <v>3.7953151649308701E-2</v>
      </c>
      <c r="CJ621" s="4">
        <f>IF(Base[[#This Row],[Secteur]]&lt;&gt;"Moyenne",Base[[#This Row],['[Prod']'[Turnover']DMC_initiale]]*(1+Base[[#This Row],['[Prod']'[Turnover']Ecart_accidents]]*Base[[#This Row],['[Prod']Impact_motifs_turnover]]),CJ604*CI604+CJ605*CI605+CJ606*CI606+CJ607*CI607+CJ608*CI608+CJ609*CI609+CJ610*CI610+CJ611*CI611+CJ612*CI612+CJ613*CI613+CJ614*CI614+CJ615*CI615+CJ616*CI616+CJ617*CI617+CJ618*CI618+CJ619*CI619+CJ620*CI620)</f>
        <v>11.269021869376038</v>
      </c>
      <c r="CK621" s="4">
        <f>1/Base[[#This Row],['[Prod']'[Turnover']DMC_initiale]]</f>
        <v>9.0909090909090912E-2</v>
      </c>
      <c r="CL621" s="4">
        <f>1/Base[[#This Row],['[Prod']'[Turnover']DMC_finale]]</f>
        <v>8.8738846333907204E-2</v>
      </c>
    </row>
    <row r="622" spans="2:90" x14ac:dyDescent="0.25">
      <c r="B622" s="4" t="s">
        <v>326</v>
      </c>
      <c r="C622">
        <v>30</v>
      </c>
      <c r="D622" t="s">
        <v>85</v>
      </c>
      <c r="E622" t="s">
        <v>12</v>
      </c>
      <c r="F622" s="3">
        <v>0.251640133011237</v>
      </c>
      <c r="G622" s="3">
        <v>0.1079</v>
      </c>
      <c r="H622" s="3">
        <v>0.1079</v>
      </c>
      <c r="I622" s="3">
        <v>7.6499999999999999E-2</v>
      </c>
      <c r="J622" s="3">
        <v>7.67629534616262</v>
      </c>
      <c r="K622" s="3">
        <v>7.0000000000000007E-2</v>
      </c>
      <c r="L622" s="2">
        <f>Base[[#This Row],[Coût]]*Base[[#This Row],[Part_ménages_dépenses_santé]]</f>
        <v>0.53734067423138343</v>
      </c>
      <c r="M622" s="2">
        <v>0.82690611956969029</v>
      </c>
      <c r="N622" s="6">
        <v>27700000</v>
      </c>
      <c r="O622" s="7">
        <f>Base[[#This Row],[Coût_salarié]]*10^9*Base[[#This Row],[Risque]]*Base[[#This Row],[Prévalence]]*Base[[#This Row],[Part_coûts_salarié]]/Base[[#This Row],[Population_emploi]]</f>
        <v>0.43553945522869025</v>
      </c>
      <c r="P622">
        <v>50</v>
      </c>
      <c r="Q622">
        <v>50</v>
      </c>
      <c r="R622" s="2">
        <v>9.9999999999999978E-2</v>
      </c>
      <c r="S622" s="2">
        <v>0.33340000000000003</v>
      </c>
      <c r="T622" s="4">
        <v>0.1079</v>
      </c>
      <c r="U622" s="4">
        <f>IF(Bases_annexes!$F$5=0,16.6587111018772,0.77*Bases_annexes!$F$5/(IF(OR(ISBLANK('Données_d''entrée'!$E$44),'Données_d''entrée'!$E$44=0),35,'Données_d''entrée'!$E$44)*52))</f>
        <v>16.658711101877199</v>
      </c>
      <c r="V622" s="4">
        <v>4.25</v>
      </c>
      <c r="W62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2" s="4">
        <v>234.5</v>
      </c>
      <c r="Y622" s="4">
        <f>(Base[[#This Row],['[Maladies']Coûts_évités_par_salarié]]+Base[[#This Row],['[Travail']Coûts_évités_par_salarié]])/Base[[#This Row],[Budget_santé_salarié]]</f>
        <v>4.4051045245840817E-2</v>
      </c>
      <c r="Z622" s="4">
        <v>0.8</v>
      </c>
      <c r="AA622" s="4">
        <f>Base[[#This Row],[Coût]]*Base[[#This Row],[Part_société_dépenses_santé]]</f>
        <v>6.1410362769300963</v>
      </c>
      <c r="AB622" s="4">
        <v>67635124</v>
      </c>
      <c r="AC622" s="4">
        <v>82.297079063317852</v>
      </c>
      <c r="AD622" s="4">
        <v>0.1079</v>
      </c>
      <c r="AE622" s="4">
        <f>Base[[#This Row],['[SC']Prévalence_travail]]*Base[[#This Row],[Population_emploi]]</f>
        <v>2988830</v>
      </c>
      <c r="AF622" s="4">
        <f>Base[[#This Row],[Risque]]*Base[[#This Row],['[SC']Patients_en_emploi]]</f>
        <v>752109.57874797552</v>
      </c>
      <c r="AG622" s="4">
        <v>0</v>
      </c>
      <c r="AH622" s="4">
        <f>IFERROR(Base[[#This Row],['[SC']Prestations]]/Base[[#This Row],['[SC']Patients_en_emploi]],0)</f>
        <v>0</v>
      </c>
      <c r="AI622" s="4">
        <v>51.7</v>
      </c>
      <c r="AJ62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2" s="4">
        <f>Base[[#This Row],['[SC']'[Travail']Coûts_évités]]/Base[[#This Row],[Population_emploi]]</f>
        <v>1.754696083992344</v>
      </c>
      <c r="AL622" s="4">
        <f>Base[[#This Row],[Coût_société]]*10^9*Base[[#This Row],[Risque]]*Base[[#This Row],[Prévalence]]*Base[[#This Row],[Part_coûts_salarié]]/Base[[#This Row],[Population_emploi]]</f>
        <v>4.977593774042175</v>
      </c>
      <c r="AM622" s="4">
        <f>IF(Base[[#This Row],[Pathologie]]&lt;&gt;"Dépendance",0,14909.24243952)</f>
        <v>0</v>
      </c>
      <c r="AN622" s="4">
        <f>IF(Base[[#This Row],[Pathologie]]&lt;&gt;"Dépendance",0,1316000)</f>
        <v>0</v>
      </c>
      <c r="AO622" s="4">
        <f>IF(Base[[#This Row],[Pathologie]]&lt;&gt;"Dépendance",0,Base[[#This Row],['[SC']Coût_personne_dépendante]]*Base[[#This Row],['[SC']Nb_personnes_dépendantes]])</f>
        <v>0</v>
      </c>
      <c r="AP622" s="4">
        <f>IF(Base[[#This Row],[Pathologie]]&lt;&gt;"Dépendance",0,Base[[#This Row],['[SC']Coût_total_dépendance]]/Base[[#This Row],[Population_totale]])</f>
        <v>0</v>
      </c>
      <c r="AQ622" s="4">
        <f>IF(Base[[#This Row],[Pathologie]]&lt;&gt;"Dépendance",0,4.5)</f>
        <v>0</v>
      </c>
      <c r="AR622" s="4">
        <v>1.0077957276768601</v>
      </c>
      <c r="AS622" s="4">
        <f>Base[[#This Row],[Espérance_vie]]+Base[[#This Row],['[SC']Hausse_esp_de_vie]]-Base[[#This Row],['[SC']Durée_moyenne_dépendance_avt]]+Base[[#This Row],[Risque]]</f>
        <v>83.556514924005953</v>
      </c>
      <c r="AT62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2" s="4">
        <v>62.9</v>
      </c>
      <c r="AW622" s="4">
        <f t="shared" si="20"/>
        <v>336905600000</v>
      </c>
      <c r="AX622" s="4">
        <v>15049171</v>
      </c>
      <c r="AY622" s="4">
        <f>Base[[#This Row],['[SC']Budget_total_retraites]]/Base[[#This Row],['[SC']Nombre_de_retraités]]</f>
        <v>22386.987296509556</v>
      </c>
      <c r="AZ622" s="4">
        <f>Base[[#This Row],['[SC']Budget_par_retraité]]*Base[[#This Row],['[SC']Nb_personnes_dépendantes]]</f>
        <v>0</v>
      </c>
      <c r="BA622" s="4">
        <f>Base[[#This Row],['[SC']'[Dépendance']Coût_retraite_personnes_dépendantes]]/Base[[#This Row],[Population_totale]]</f>
        <v>0</v>
      </c>
      <c r="BB62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2" s="4">
        <f>Base[[#This Row],['[SC']'[Dépendance']Gains]]-Base[[#This Row],['[SC']'[Dépendance']Coûts]]</f>
        <v>0</v>
      </c>
      <c r="BD622" s="4">
        <f>IF(Base[[#This Row],[Pathologie]]&lt;&gt;"Mort prématurée",0,Base[[#This Row],[Risque]]*Base[[#This Row],[Prévalence]]*Base[[#This Row],[Population_totale]])</f>
        <v>0</v>
      </c>
      <c r="BE622" s="4">
        <v>52.74</v>
      </c>
      <c r="BF622" s="4">
        <f>Base[[#This Row],['[SC']Âge_moyen_retraite]]-Base[[#This Row],['[SC']'[Mort_prématurée']Âge_moyen_mort précoce]]</f>
        <v>10.159999999999997</v>
      </c>
      <c r="BG622" s="4">
        <f>Base[[#This Row],[Espérance_vie]]+Base[[#This Row],['[SC']Hausse_esp_de_vie]]-Base[[#This Row],['[SC']Âge_moyen_retraite]]</f>
        <v>20.404874790994718</v>
      </c>
      <c r="BH622" s="4">
        <v>106583.42676924677</v>
      </c>
      <c r="BI622" s="4">
        <v>97601.789429271477</v>
      </c>
      <c r="BJ622" s="4">
        <v>302038.31496633729</v>
      </c>
      <c r="BK622" s="4">
        <v>117293.58934859755</v>
      </c>
      <c r="BL622" s="4">
        <v>1523999.9999999995</v>
      </c>
      <c r="BM62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2" s="4">
        <v>294804.96027377353</v>
      </c>
      <c r="BO62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2" s="4">
        <f>(Base[[#This Row],['[SC']'[Mort_prématurée']Gains]]-Base[[#This Row],['[SC']'[Mort_prématurée']Coûts]])/Base[[#This Row],[Population_totale]]</f>
        <v>0</v>
      </c>
      <c r="BQ622" s="4">
        <f>IF(Base[[#This Row],[Pathologie]]&lt;&gt;"Mort prématurée",0,Base[[#This Row],[Risque]])</f>
        <v>0</v>
      </c>
      <c r="BR622" s="4">
        <v>2680</v>
      </c>
      <c r="BS62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2" s="4">
        <f>Base[[#This Row],[Prévalence_prod]]*(1-Base[[#This Row],[Risque]])*Base[[#This Row],[Durée_arrêt]]*Base[[#This Row],[Population_emploi]]</f>
        <v>9506061.7903211042</v>
      </c>
      <c r="BV622" s="4">
        <f>Base[[#This Row],['[Prod']'[Absentéisme']Total_jours_absence_avant]]-Base[[#This Row],['[Prod']'[Absentéisme']Total_jours_absence_après]]</f>
        <v>3196465.7096788939</v>
      </c>
      <c r="BW622" s="4">
        <f>IF(AND(Base[[#This Row],[Pathologie]]&lt;&gt;"Dépendance",Base[[#This Row],[Pathologie]]&lt;&gt;"Mort prématurée",Base[[#This Row],[Pathologie]]&lt;&gt;"Migraine"),0.0619,0)</f>
        <v>6.1899999999999997E-2</v>
      </c>
      <c r="BX622" s="4">
        <v>254</v>
      </c>
      <c r="BY622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2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2" s="4">
        <f>Base[[#This Row],[Prévalence_prod]]*Base[[#This Row],[Présentéisme]]*Base[[#This Row],['[Prod']Jours_ouvrés]]</f>
        <v>2.0966048999999995</v>
      </c>
      <c r="CB622" s="4">
        <f>Base[[#This Row],[Prévalence_prod]]*(1-Base[[#This Row],[Risque]])*Base[[#This Row],[Présentéisme]]*Base[[#This Row],['[Prod']Jours_ouvrés]]</f>
        <v>1.5690149640919888</v>
      </c>
      <c r="CC622" s="4">
        <f>Base[[#This Row],['[Prod']'[Présentéisme']Jours_avant]]-Base[[#This Row],['[Prod']'[Présentéisme']Jours_après]]</f>
        <v>0.52758993590801073</v>
      </c>
      <c r="CD622" s="4">
        <f>Base[[#This Row],['[Prod']'[Présentéisme']Jours_gagnés]]/Base[[#This Row],['[Prod']Jours_ouvrés]]</f>
        <v>2.0771257319213022E-3</v>
      </c>
      <c r="CE622">
        <v>9.3428413505841454E-2</v>
      </c>
      <c r="CF622">
        <v>2.1038737314955848E-2</v>
      </c>
      <c r="CG622" s="4">
        <v>11</v>
      </c>
      <c r="CH622" s="4">
        <v>0.19346787829229528</v>
      </c>
      <c r="CI622" s="4">
        <v>2.8126549817953091E-2</v>
      </c>
      <c r="CJ622" s="4">
        <f>IF(Base[[#This Row],[Secteur]]&lt;&gt;"Moyenne",Base[[#This Row],['[Prod']'[Turnover']DMC_initiale]]*(1+Base[[#This Row],['[Prod']'[Turnover']Ecart_accidents]]*Base[[#This Row],['[Prod']Impact_motifs_turnover]]),CJ605*CI605+CJ606*CI606+CJ607*CI607+CJ608*CI608+CJ609*CI609+CJ610*CI610+CJ611*CI611+CJ612*CI612+CJ613*CI613+CJ614*CI614+CJ615*CI615+CJ616*CI616+CJ617*CI617+CJ618*CI618+CJ619*CI619+CJ620*CI620+CJ621*CI621)</f>
        <v>11.044773518573008</v>
      </c>
      <c r="CK622" s="4">
        <f>1/Base[[#This Row],['[Prod']'[Turnover']DMC_initiale]]</f>
        <v>9.0909090909090912E-2</v>
      </c>
      <c r="CL622" s="4">
        <f>1/Base[[#This Row],['[Prod']'[Turnover']DMC_finale]]</f>
        <v>9.0540561861082031E-2</v>
      </c>
    </row>
    <row r="623" spans="2:90" x14ac:dyDescent="0.25">
      <c r="B623" s="4" t="s">
        <v>327</v>
      </c>
      <c r="C623">
        <v>30</v>
      </c>
      <c r="D623" t="s">
        <v>85</v>
      </c>
      <c r="E623" t="s">
        <v>12</v>
      </c>
      <c r="F623" s="3">
        <v>0.251640133011237</v>
      </c>
      <c r="G623" s="3">
        <v>0.1079</v>
      </c>
      <c r="H623" s="3">
        <v>0.1079</v>
      </c>
      <c r="I623" s="3">
        <v>7.6499999999999999E-2</v>
      </c>
      <c r="J623" s="3">
        <v>7.67629534616262</v>
      </c>
      <c r="K623" s="3">
        <v>7.0000000000000007E-2</v>
      </c>
      <c r="L623" s="2">
        <f>Base[[#This Row],[Coût]]*Base[[#This Row],[Part_ménages_dépenses_santé]]</f>
        <v>0.53734067423138343</v>
      </c>
      <c r="M623" s="2">
        <v>0.82690611956969029</v>
      </c>
      <c r="N623" s="6">
        <v>27700000</v>
      </c>
      <c r="O623" s="7">
        <f>Base[[#This Row],[Coût_salarié]]*10^9*Base[[#This Row],[Risque]]*Base[[#This Row],[Prévalence]]*Base[[#This Row],[Part_coûts_salarié]]/Base[[#This Row],[Population_emploi]]</f>
        <v>0.43553945522869025</v>
      </c>
      <c r="P623">
        <v>50</v>
      </c>
      <c r="Q623">
        <v>50</v>
      </c>
      <c r="R623" s="2">
        <v>9.9999999999999978E-2</v>
      </c>
      <c r="S623" s="2">
        <v>0.33340000000000003</v>
      </c>
      <c r="T623" s="4">
        <v>0.1079</v>
      </c>
      <c r="U623" s="4">
        <f>IF(Bases_annexes!$F$5=0,16.6587111018772,0.77*Bases_annexes!$F$5/(IF(OR(ISBLANK('Données_d''entrée'!$E$44),'Données_d''entrée'!$E$44=0),35,'Données_d''entrée'!$E$44)*52))</f>
        <v>16.658711101877199</v>
      </c>
      <c r="V623" s="4">
        <v>4.25</v>
      </c>
      <c r="W62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3" s="4">
        <v>234.5</v>
      </c>
      <c r="Y623" s="4">
        <f>(Base[[#This Row],['[Maladies']Coûts_évités_par_salarié]]+Base[[#This Row],['[Travail']Coûts_évités_par_salarié]])/Base[[#This Row],[Budget_santé_salarié]]</f>
        <v>4.4051045245840817E-2</v>
      </c>
      <c r="Z623" s="4">
        <v>0.8</v>
      </c>
      <c r="AA623" s="4">
        <f>Base[[#This Row],[Coût]]*Base[[#This Row],[Part_société_dépenses_santé]]</f>
        <v>6.1410362769300963</v>
      </c>
      <c r="AB623" s="4">
        <v>67635124</v>
      </c>
      <c r="AC623" s="4">
        <v>82.297079063317852</v>
      </c>
      <c r="AD623" s="4">
        <v>0.1079</v>
      </c>
      <c r="AE623" s="4">
        <f>Base[[#This Row],['[SC']Prévalence_travail]]*Base[[#This Row],[Population_emploi]]</f>
        <v>2988830</v>
      </c>
      <c r="AF623" s="4">
        <f>Base[[#This Row],[Risque]]*Base[[#This Row],['[SC']Patients_en_emploi]]</f>
        <v>752109.57874797552</v>
      </c>
      <c r="AG623" s="4">
        <v>0</v>
      </c>
      <c r="AH623" s="4">
        <f>IFERROR(Base[[#This Row],['[SC']Prestations]]/Base[[#This Row],['[SC']Patients_en_emploi]],0)</f>
        <v>0</v>
      </c>
      <c r="AI623" s="4">
        <v>51.7</v>
      </c>
      <c r="AJ62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3" s="4">
        <f>Base[[#This Row],['[SC']'[Travail']Coûts_évités]]/Base[[#This Row],[Population_emploi]]</f>
        <v>1.754696083992344</v>
      </c>
      <c r="AL623" s="4">
        <f>Base[[#This Row],[Coût_société]]*10^9*Base[[#This Row],[Risque]]*Base[[#This Row],[Prévalence]]*Base[[#This Row],[Part_coûts_salarié]]/Base[[#This Row],[Population_emploi]]</f>
        <v>4.977593774042175</v>
      </c>
      <c r="AM623" s="4">
        <f>IF(Base[[#This Row],[Pathologie]]&lt;&gt;"Dépendance",0,14909.24243952)</f>
        <v>0</v>
      </c>
      <c r="AN623" s="4">
        <f>IF(Base[[#This Row],[Pathologie]]&lt;&gt;"Dépendance",0,1316000)</f>
        <v>0</v>
      </c>
      <c r="AO623" s="4">
        <f>IF(Base[[#This Row],[Pathologie]]&lt;&gt;"Dépendance",0,Base[[#This Row],['[SC']Coût_personne_dépendante]]*Base[[#This Row],['[SC']Nb_personnes_dépendantes]])</f>
        <v>0</v>
      </c>
      <c r="AP623" s="4">
        <f>IF(Base[[#This Row],[Pathologie]]&lt;&gt;"Dépendance",0,Base[[#This Row],['[SC']Coût_total_dépendance]]/Base[[#This Row],[Population_totale]])</f>
        <v>0</v>
      </c>
      <c r="AQ623" s="4">
        <f>IF(Base[[#This Row],[Pathologie]]&lt;&gt;"Dépendance",0,4.5)</f>
        <v>0</v>
      </c>
      <c r="AR623" s="4">
        <v>1.0077957276768601</v>
      </c>
      <c r="AS623" s="4">
        <f>Base[[#This Row],[Espérance_vie]]+Base[[#This Row],['[SC']Hausse_esp_de_vie]]-Base[[#This Row],['[SC']Durée_moyenne_dépendance_avt]]+Base[[#This Row],[Risque]]</f>
        <v>83.556514924005953</v>
      </c>
      <c r="AT62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3" s="4">
        <v>62.9</v>
      </c>
      <c r="AW623" s="4">
        <f t="shared" si="20"/>
        <v>336905600000</v>
      </c>
      <c r="AX623" s="4">
        <v>15049171</v>
      </c>
      <c r="AY623" s="4">
        <f>Base[[#This Row],['[SC']Budget_total_retraites]]/Base[[#This Row],['[SC']Nombre_de_retraités]]</f>
        <v>22386.987296509556</v>
      </c>
      <c r="AZ623" s="4">
        <f>Base[[#This Row],['[SC']Budget_par_retraité]]*Base[[#This Row],['[SC']Nb_personnes_dépendantes]]</f>
        <v>0</v>
      </c>
      <c r="BA623" s="4">
        <f>Base[[#This Row],['[SC']'[Dépendance']Coût_retraite_personnes_dépendantes]]/Base[[#This Row],[Population_totale]]</f>
        <v>0</v>
      </c>
      <c r="BB62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3" s="4">
        <f>Base[[#This Row],['[SC']'[Dépendance']Gains]]-Base[[#This Row],['[SC']'[Dépendance']Coûts]]</f>
        <v>0</v>
      </c>
      <c r="BD623" s="4">
        <f>IF(Base[[#This Row],[Pathologie]]&lt;&gt;"Mort prématurée",0,Base[[#This Row],[Risque]]*Base[[#This Row],[Prévalence]]*Base[[#This Row],[Population_totale]])</f>
        <v>0</v>
      </c>
      <c r="BE623" s="4">
        <v>52.74</v>
      </c>
      <c r="BF623" s="4">
        <f>Base[[#This Row],['[SC']Âge_moyen_retraite]]-Base[[#This Row],['[SC']'[Mort_prématurée']Âge_moyen_mort précoce]]</f>
        <v>10.159999999999997</v>
      </c>
      <c r="BG623" s="4">
        <f>Base[[#This Row],[Espérance_vie]]+Base[[#This Row],['[SC']Hausse_esp_de_vie]]-Base[[#This Row],['[SC']Âge_moyen_retraite]]</f>
        <v>20.404874790994718</v>
      </c>
      <c r="BH623" s="4">
        <v>106583.42676924677</v>
      </c>
      <c r="BI623" s="4">
        <v>97601.789429271477</v>
      </c>
      <c r="BJ623" s="4">
        <v>302038.31496633729</v>
      </c>
      <c r="BK623" s="4">
        <v>117293.58934859755</v>
      </c>
      <c r="BL623" s="4">
        <v>1523999.9999999995</v>
      </c>
      <c r="BM62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3" s="4">
        <v>294804.96027377353</v>
      </c>
      <c r="BO62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3" s="4">
        <f>(Base[[#This Row],['[SC']'[Mort_prématurée']Gains]]-Base[[#This Row],['[SC']'[Mort_prématurée']Coûts]])/Base[[#This Row],[Population_totale]]</f>
        <v>0</v>
      </c>
      <c r="BQ623" s="4">
        <f>IF(Base[[#This Row],[Pathologie]]&lt;&gt;"Mort prématurée",0,Base[[#This Row],[Risque]])</f>
        <v>0</v>
      </c>
      <c r="BR623" s="4">
        <v>2680</v>
      </c>
      <c r="BS62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3" s="4">
        <f>Base[[#This Row],[Prévalence_prod]]*(1-Base[[#This Row],[Risque]])*Base[[#This Row],[Durée_arrêt]]*Base[[#This Row],[Population_emploi]]</f>
        <v>9506061.7903211042</v>
      </c>
      <c r="BV623" s="4">
        <f>Base[[#This Row],['[Prod']'[Absentéisme']Total_jours_absence_avant]]-Base[[#This Row],['[Prod']'[Absentéisme']Total_jours_absence_après]]</f>
        <v>3196465.7096788939</v>
      </c>
      <c r="BW623" s="4">
        <f>IF(AND(Base[[#This Row],[Pathologie]]&lt;&gt;"Dépendance",Base[[#This Row],[Pathologie]]&lt;&gt;"Mort prématurée",Base[[#This Row],[Pathologie]]&lt;&gt;"Migraine"),0.0619,0)</f>
        <v>6.1899999999999997E-2</v>
      </c>
      <c r="BX623" s="4">
        <v>254</v>
      </c>
      <c r="BY623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3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3" s="4">
        <f>Base[[#This Row],[Prévalence_prod]]*Base[[#This Row],[Présentéisme]]*Base[[#This Row],['[Prod']Jours_ouvrés]]</f>
        <v>2.0966048999999995</v>
      </c>
      <c r="CB623" s="4">
        <f>Base[[#This Row],[Prévalence_prod]]*(1-Base[[#This Row],[Risque]])*Base[[#This Row],[Présentéisme]]*Base[[#This Row],['[Prod']Jours_ouvrés]]</f>
        <v>1.5690149640919888</v>
      </c>
      <c r="CC623" s="4">
        <f>Base[[#This Row],['[Prod']'[Présentéisme']Jours_avant]]-Base[[#This Row],['[Prod']'[Présentéisme']Jours_après]]</f>
        <v>0.52758993590801073</v>
      </c>
      <c r="CD623" s="4">
        <f>Base[[#This Row],['[Prod']'[Présentéisme']Jours_gagnés]]/Base[[#This Row],['[Prod']Jours_ouvrés]]</f>
        <v>2.0771257319213022E-3</v>
      </c>
      <c r="CE623">
        <v>9.3428413505841454E-2</v>
      </c>
      <c r="CF623">
        <v>2.1038737314955848E-2</v>
      </c>
      <c r="CG623" s="4">
        <v>11</v>
      </c>
      <c r="CH623" s="4">
        <v>0.13729577077682142</v>
      </c>
      <c r="CI623" s="4">
        <v>1.373516710817578E-2</v>
      </c>
      <c r="CJ623" s="4">
        <f>IF(Base[[#This Row],[Secteur]]&lt;&gt;"Moyenne",Base[[#This Row],['[Prod']'[Turnover']DMC_initiale]]*(1+Base[[#This Row],['[Prod']'[Turnover']Ecart_accidents]]*Base[[#This Row],['[Prod']Impact_motifs_turnover]]),CJ606*CI606+CJ607*CI607+CJ608*CI608+CJ609*CI609+CJ610*CI610+CJ611*CI611+CJ612*CI612+CJ613*CI613+CJ614*CI614+CJ615*CI615+CJ616*CI616+CJ617*CI617+CJ618*CI618+CJ619*CI619+CJ620*CI620+CJ621*CI621+CJ622*CI622)</f>
        <v>11.031773826214106</v>
      </c>
      <c r="CK623" s="4">
        <f>1/Base[[#This Row],['[Prod']'[Turnover']DMC_initiale]]</f>
        <v>9.0909090909090912E-2</v>
      </c>
      <c r="CL623" s="4">
        <f>1/Base[[#This Row],['[Prod']'[Turnover']DMC_finale]]</f>
        <v>9.0647253628764871E-2</v>
      </c>
    </row>
    <row r="624" spans="2:90" x14ac:dyDescent="0.25">
      <c r="B624" s="4" t="s">
        <v>328</v>
      </c>
      <c r="C624">
        <v>30</v>
      </c>
      <c r="D624" t="s">
        <v>85</v>
      </c>
      <c r="E624" t="s">
        <v>12</v>
      </c>
      <c r="F624" s="3">
        <v>0.251640133011237</v>
      </c>
      <c r="G624" s="3">
        <v>0.1079</v>
      </c>
      <c r="H624" s="3">
        <v>0.1079</v>
      </c>
      <c r="I624" s="3">
        <v>7.6499999999999999E-2</v>
      </c>
      <c r="J624" s="3">
        <v>7.67629534616262</v>
      </c>
      <c r="K624" s="3">
        <v>7.0000000000000007E-2</v>
      </c>
      <c r="L624" s="2">
        <f>Base[[#This Row],[Coût]]*Base[[#This Row],[Part_ménages_dépenses_santé]]</f>
        <v>0.53734067423138343</v>
      </c>
      <c r="M624" s="2">
        <v>0.82690611956969029</v>
      </c>
      <c r="N624" s="6">
        <v>27700000</v>
      </c>
      <c r="O624" s="7">
        <f>Base[[#This Row],[Coût_salarié]]*10^9*Base[[#This Row],[Risque]]*Base[[#This Row],[Prévalence]]*Base[[#This Row],[Part_coûts_salarié]]/Base[[#This Row],[Population_emploi]]</f>
        <v>0.43553945522869025</v>
      </c>
      <c r="P624">
        <v>50</v>
      </c>
      <c r="Q624">
        <v>50</v>
      </c>
      <c r="R624" s="2">
        <v>9.9999999999999978E-2</v>
      </c>
      <c r="S624" s="2">
        <v>0.33340000000000003</v>
      </c>
      <c r="T624" s="4">
        <v>0.1079</v>
      </c>
      <c r="U624" s="4">
        <f>IF(Bases_annexes!$F$5=0,16.6587111018772,0.77*Bases_annexes!$F$5/(IF(OR(ISBLANK('Données_d''entrée'!$E$44),'Données_d''entrée'!$E$44=0),35,'Données_d''entrée'!$E$44)*52))</f>
        <v>16.658711101877199</v>
      </c>
      <c r="V624" s="4">
        <v>4.25</v>
      </c>
      <c r="W62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4" s="4">
        <v>234.5</v>
      </c>
      <c r="Y624" s="4">
        <f>(Base[[#This Row],['[Maladies']Coûts_évités_par_salarié]]+Base[[#This Row],['[Travail']Coûts_évités_par_salarié]])/Base[[#This Row],[Budget_santé_salarié]]</f>
        <v>4.4051045245840817E-2</v>
      </c>
      <c r="Z624" s="4">
        <v>0.8</v>
      </c>
      <c r="AA624" s="4">
        <f>Base[[#This Row],[Coût]]*Base[[#This Row],[Part_société_dépenses_santé]]</f>
        <v>6.1410362769300963</v>
      </c>
      <c r="AB624" s="4">
        <v>67635124</v>
      </c>
      <c r="AC624" s="4">
        <v>82.297079063317852</v>
      </c>
      <c r="AD624" s="4">
        <v>0.1079</v>
      </c>
      <c r="AE624" s="4">
        <f>Base[[#This Row],['[SC']Prévalence_travail]]*Base[[#This Row],[Population_emploi]]</f>
        <v>2988830</v>
      </c>
      <c r="AF624" s="4">
        <f>Base[[#This Row],[Risque]]*Base[[#This Row],['[SC']Patients_en_emploi]]</f>
        <v>752109.57874797552</v>
      </c>
      <c r="AG624" s="4">
        <v>0</v>
      </c>
      <c r="AH624" s="4">
        <f>IFERROR(Base[[#This Row],['[SC']Prestations]]/Base[[#This Row],['[SC']Patients_en_emploi]],0)</f>
        <v>0</v>
      </c>
      <c r="AI624" s="4">
        <v>51.7</v>
      </c>
      <c r="AJ62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4" s="4">
        <f>Base[[#This Row],['[SC']'[Travail']Coûts_évités]]/Base[[#This Row],[Population_emploi]]</f>
        <v>1.754696083992344</v>
      </c>
      <c r="AL624" s="4">
        <f>Base[[#This Row],[Coût_société]]*10^9*Base[[#This Row],[Risque]]*Base[[#This Row],[Prévalence]]*Base[[#This Row],[Part_coûts_salarié]]/Base[[#This Row],[Population_emploi]]</f>
        <v>4.977593774042175</v>
      </c>
      <c r="AM624" s="4">
        <f>IF(Base[[#This Row],[Pathologie]]&lt;&gt;"Dépendance",0,14909.24243952)</f>
        <v>0</v>
      </c>
      <c r="AN624" s="4">
        <f>IF(Base[[#This Row],[Pathologie]]&lt;&gt;"Dépendance",0,1316000)</f>
        <v>0</v>
      </c>
      <c r="AO624" s="4">
        <f>IF(Base[[#This Row],[Pathologie]]&lt;&gt;"Dépendance",0,Base[[#This Row],['[SC']Coût_personne_dépendante]]*Base[[#This Row],['[SC']Nb_personnes_dépendantes]])</f>
        <v>0</v>
      </c>
      <c r="AP624" s="4">
        <f>IF(Base[[#This Row],[Pathologie]]&lt;&gt;"Dépendance",0,Base[[#This Row],['[SC']Coût_total_dépendance]]/Base[[#This Row],[Population_totale]])</f>
        <v>0</v>
      </c>
      <c r="AQ624" s="4">
        <f>IF(Base[[#This Row],[Pathologie]]&lt;&gt;"Dépendance",0,4.5)</f>
        <v>0</v>
      </c>
      <c r="AR624" s="4">
        <v>1.0077957276768601</v>
      </c>
      <c r="AS624" s="4">
        <f>Base[[#This Row],[Espérance_vie]]+Base[[#This Row],['[SC']Hausse_esp_de_vie]]-Base[[#This Row],['[SC']Durée_moyenne_dépendance_avt]]+Base[[#This Row],[Risque]]</f>
        <v>83.556514924005953</v>
      </c>
      <c r="AT62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4" s="4">
        <v>62.9</v>
      </c>
      <c r="AW624" s="4">
        <f t="shared" si="20"/>
        <v>336905600000</v>
      </c>
      <c r="AX624" s="4">
        <v>15049171</v>
      </c>
      <c r="AY624" s="4">
        <f>Base[[#This Row],['[SC']Budget_total_retraites]]/Base[[#This Row],['[SC']Nombre_de_retraités]]</f>
        <v>22386.987296509556</v>
      </c>
      <c r="AZ624" s="4">
        <f>Base[[#This Row],['[SC']Budget_par_retraité]]*Base[[#This Row],['[SC']Nb_personnes_dépendantes]]</f>
        <v>0</v>
      </c>
      <c r="BA624" s="4">
        <f>Base[[#This Row],['[SC']'[Dépendance']Coût_retraite_personnes_dépendantes]]/Base[[#This Row],[Population_totale]]</f>
        <v>0</v>
      </c>
      <c r="BB62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4" s="4">
        <f>Base[[#This Row],['[SC']'[Dépendance']Gains]]-Base[[#This Row],['[SC']'[Dépendance']Coûts]]</f>
        <v>0</v>
      </c>
      <c r="BD624" s="4">
        <f>IF(Base[[#This Row],[Pathologie]]&lt;&gt;"Mort prématurée",0,Base[[#This Row],[Risque]]*Base[[#This Row],[Prévalence]]*Base[[#This Row],[Population_totale]])</f>
        <v>0</v>
      </c>
      <c r="BE624" s="4">
        <v>52.74</v>
      </c>
      <c r="BF624" s="4">
        <f>Base[[#This Row],['[SC']Âge_moyen_retraite]]-Base[[#This Row],['[SC']'[Mort_prématurée']Âge_moyen_mort précoce]]</f>
        <v>10.159999999999997</v>
      </c>
      <c r="BG624" s="4">
        <f>Base[[#This Row],[Espérance_vie]]+Base[[#This Row],['[SC']Hausse_esp_de_vie]]-Base[[#This Row],['[SC']Âge_moyen_retraite]]</f>
        <v>20.404874790994718</v>
      </c>
      <c r="BH624" s="4">
        <v>106583.42676924677</v>
      </c>
      <c r="BI624" s="4">
        <v>97601.789429271477</v>
      </c>
      <c r="BJ624" s="4">
        <v>302038.31496633729</v>
      </c>
      <c r="BK624" s="4">
        <v>117293.58934859755</v>
      </c>
      <c r="BL624" s="4">
        <v>1523999.9999999995</v>
      </c>
      <c r="BM62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4" s="4">
        <v>294804.96027377353</v>
      </c>
      <c r="BO62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4" s="4">
        <f>(Base[[#This Row],['[SC']'[Mort_prématurée']Gains]]-Base[[#This Row],['[SC']'[Mort_prématurée']Coûts]])/Base[[#This Row],[Population_totale]]</f>
        <v>0</v>
      </c>
      <c r="BQ624" s="4">
        <f>IF(Base[[#This Row],[Pathologie]]&lt;&gt;"Mort prématurée",0,Base[[#This Row],[Risque]])</f>
        <v>0</v>
      </c>
      <c r="BR624" s="4">
        <v>2680</v>
      </c>
      <c r="BS62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4" s="4">
        <f>Base[[#This Row],[Prévalence_prod]]*(1-Base[[#This Row],[Risque]])*Base[[#This Row],[Durée_arrêt]]*Base[[#This Row],[Population_emploi]]</f>
        <v>9506061.7903211042</v>
      </c>
      <c r="BV624" s="4">
        <f>Base[[#This Row],['[Prod']'[Absentéisme']Total_jours_absence_avant]]-Base[[#This Row],['[Prod']'[Absentéisme']Total_jours_absence_après]]</f>
        <v>3196465.7096788939</v>
      </c>
      <c r="BW624" s="4">
        <f>IF(AND(Base[[#This Row],[Pathologie]]&lt;&gt;"Dépendance",Base[[#This Row],[Pathologie]]&lt;&gt;"Mort prématurée",Base[[#This Row],[Pathologie]]&lt;&gt;"Migraine"),0.0619,0)</f>
        <v>6.1899999999999997E-2</v>
      </c>
      <c r="BX624" s="4">
        <v>254</v>
      </c>
      <c r="BY624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4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4" s="4">
        <f>Base[[#This Row],[Prévalence_prod]]*Base[[#This Row],[Présentéisme]]*Base[[#This Row],['[Prod']Jours_ouvrés]]</f>
        <v>2.0966048999999995</v>
      </c>
      <c r="CB624" s="4">
        <f>Base[[#This Row],[Prévalence_prod]]*(1-Base[[#This Row],[Risque]])*Base[[#This Row],[Présentéisme]]*Base[[#This Row],['[Prod']Jours_ouvrés]]</f>
        <v>1.5690149640919888</v>
      </c>
      <c r="CC624" s="4">
        <f>Base[[#This Row],['[Prod']'[Présentéisme']Jours_avant]]-Base[[#This Row],['[Prod']'[Présentéisme']Jours_après]]</f>
        <v>0.52758993590801073</v>
      </c>
      <c r="CD624" s="4">
        <f>Base[[#This Row],['[Prod']'[Présentéisme']Jours_gagnés]]/Base[[#This Row],['[Prod']Jours_ouvrés]]</f>
        <v>2.0771257319213022E-3</v>
      </c>
      <c r="CE624">
        <v>9.3428413505841454E-2</v>
      </c>
      <c r="CF624">
        <v>2.1038737314955848E-2</v>
      </c>
      <c r="CG624" s="4">
        <v>11</v>
      </c>
      <c r="CH624" s="4">
        <v>0.60922528771817497</v>
      </c>
      <c r="CI624" s="4">
        <v>3.8601807163334179E-3</v>
      </c>
      <c r="CJ624" s="4">
        <f>IF(Base[[#This Row],[Secteur]]&lt;&gt;"Moyenne",Base[[#This Row],['[Prod']'[Turnover']DMC_initiale]]*(1+Base[[#This Row],['[Prod']'[Turnover']Ecart_accidents]]*Base[[#This Row],['[Prod']Impact_motifs_turnover]]),CJ607*CI607+CJ608*CI608+CJ609*CI609+CJ610*CI610+CJ611*CI611+CJ612*CI612+CJ613*CI613+CJ614*CI614+CJ615*CI615+CJ616*CI616+CJ617*CI617+CJ618*CI618+CJ619*CI619+CJ620*CI620+CJ621*CI621+CJ622*CI622+CJ623*CI623)</f>
        <v>11.140990638733241</v>
      </c>
      <c r="CK624" s="4">
        <f>1/Base[[#This Row],['[Prod']'[Turnover']DMC_initiale]]</f>
        <v>9.0909090909090912E-2</v>
      </c>
      <c r="CL624" s="4">
        <f>1/Base[[#This Row],['[Prod']'[Turnover']DMC_finale]]</f>
        <v>8.9758624921859057E-2</v>
      </c>
    </row>
    <row r="625" spans="2:90" x14ac:dyDescent="0.25">
      <c r="B625" s="4" t="s">
        <v>329</v>
      </c>
      <c r="C625">
        <v>30</v>
      </c>
      <c r="D625" t="s">
        <v>85</v>
      </c>
      <c r="E625" t="s">
        <v>12</v>
      </c>
      <c r="F625" s="3">
        <v>0.251640133011237</v>
      </c>
      <c r="G625" s="3">
        <v>0.1079</v>
      </c>
      <c r="H625" s="3">
        <v>0.1079</v>
      </c>
      <c r="I625" s="3">
        <v>7.6499999999999999E-2</v>
      </c>
      <c r="J625" s="3">
        <v>7.67629534616262</v>
      </c>
      <c r="K625" s="3">
        <v>7.0000000000000007E-2</v>
      </c>
      <c r="L625" s="2">
        <f>Base[[#This Row],[Coût]]*Base[[#This Row],[Part_ménages_dépenses_santé]]</f>
        <v>0.53734067423138343</v>
      </c>
      <c r="M625" s="2">
        <v>0.82690611956969029</v>
      </c>
      <c r="N625" s="6">
        <v>27700000</v>
      </c>
      <c r="O625" s="7">
        <f>Base[[#This Row],[Coût_salarié]]*10^9*Base[[#This Row],[Risque]]*Base[[#This Row],[Prévalence]]*Base[[#This Row],[Part_coûts_salarié]]/Base[[#This Row],[Population_emploi]]</f>
        <v>0.43553945522869025</v>
      </c>
      <c r="P625">
        <v>50</v>
      </c>
      <c r="Q625">
        <v>50</v>
      </c>
      <c r="R625" s="2">
        <v>9.9999999999999978E-2</v>
      </c>
      <c r="S625" s="2">
        <v>0.33340000000000003</v>
      </c>
      <c r="T625" s="4">
        <v>0.1079</v>
      </c>
      <c r="U625" s="4">
        <f>IF(Bases_annexes!$F$5=0,16.6587111018772,0.77*Bases_annexes!$F$5/(IF(OR(ISBLANK('Données_d''entrée'!$E$44),'Données_d''entrée'!$E$44=0),35,'Données_d''entrée'!$E$44)*52))</f>
        <v>16.658711101877199</v>
      </c>
      <c r="V625" s="4">
        <v>4.25</v>
      </c>
      <c r="W62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5" s="4">
        <v>234.5</v>
      </c>
      <c r="Y625" s="4">
        <f>(Base[[#This Row],['[Maladies']Coûts_évités_par_salarié]]+Base[[#This Row],['[Travail']Coûts_évités_par_salarié]])/Base[[#This Row],[Budget_santé_salarié]]</f>
        <v>4.4051045245840817E-2</v>
      </c>
      <c r="Z625" s="4">
        <v>0.8</v>
      </c>
      <c r="AA625" s="4">
        <f>Base[[#This Row],[Coût]]*Base[[#This Row],[Part_société_dépenses_santé]]</f>
        <v>6.1410362769300963</v>
      </c>
      <c r="AB625" s="4">
        <v>67635124</v>
      </c>
      <c r="AC625" s="4">
        <v>82.297079063317852</v>
      </c>
      <c r="AD625" s="4">
        <v>0.1079</v>
      </c>
      <c r="AE625" s="4">
        <f>Base[[#This Row],['[SC']Prévalence_travail]]*Base[[#This Row],[Population_emploi]]</f>
        <v>2988830</v>
      </c>
      <c r="AF625" s="4">
        <f>Base[[#This Row],[Risque]]*Base[[#This Row],['[SC']Patients_en_emploi]]</f>
        <v>752109.57874797552</v>
      </c>
      <c r="AG625" s="4">
        <v>0</v>
      </c>
      <c r="AH625" s="4">
        <f>IFERROR(Base[[#This Row],['[SC']Prestations]]/Base[[#This Row],['[SC']Patients_en_emploi]],0)</f>
        <v>0</v>
      </c>
      <c r="AI625" s="4">
        <v>51.7</v>
      </c>
      <c r="AJ62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5" s="4">
        <f>Base[[#This Row],['[SC']'[Travail']Coûts_évités]]/Base[[#This Row],[Population_emploi]]</f>
        <v>1.754696083992344</v>
      </c>
      <c r="AL625" s="4">
        <f>Base[[#This Row],[Coût_société]]*10^9*Base[[#This Row],[Risque]]*Base[[#This Row],[Prévalence]]*Base[[#This Row],[Part_coûts_salarié]]/Base[[#This Row],[Population_emploi]]</f>
        <v>4.977593774042175</v>
      </c>
      <c r="AM625" s="4">
        <f>IF(Base[[#This Row],[Pathologie]]&lt;&gt;"Dépendance",0,14909.24243952)</f>
        <v>0</v>
      </c>
      <c r="AN625" s="4">
        <f>IF(Base[[#This Row],[Pathologie]]&lt;&gt;"Dépendance",0,1316000)</f>
        <v>0</v>
      </c>
      <c r="AO625" s="4">
        <f>IF(Base[[#This Row],[Pathologie]]&lt;&gt;"Dépendance",0,Base[[#This Row],['[SC']Coût_personne_dépendante]]*Base[[#This Row],['[SC']Nb_personnes_dépendantes]])</f>
        <v>0</v>
      </c>
      <c r="AP625" s="4">
        <f>IF(Base[[#This Row],[Pathologie]]&lt;&gt;"Dépendance",0,Base[[#This Row],['[SC']Coût_total_dépendance]]/Base[[#This Row],[Population_totale]])</f>
        <v>0</v>
      </c>
      <c r="AQ625" s="4">
        <f>IF(Base[[#This Row],[Pathologie]]&lt;&gt;"Dépendance",0,4.5)</f>
        <v>0</v>
      </c>
      <c r="AR625" s="4">
        <v>1.0077957276768601</v>
      </c>
      <c r="AS625" s="4">
        <f>Base[[#This Row],[Espérance_vie]]+Base[[#This Row],['[SC']Hausse_esp_de_vie]]-Base[[#This Row],['[SC']Durée_moyenne_dépendance_avt]]+Base[[#This Row],[Risque]]</f>
        <v>83.556514924005953</v>
      </c>
      <c r="AT62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5" s="4">
        <v>62.9</v>
      </c>
      <c r="AW625" s="4">
        <f t="shared" si="20"/>
        <v>336905600000</v>
      </c>
      <c r="AX625" s="4">
        <v>15049171</v>
      </c>
      <c r="AY625" s="4">
        <f>Base[[#This Row],['[SC']Budget_total_retraites]]/Base[[#This Row],['[SC']Nombre_de_retraités]]</f>
        <v>22386.987296509556</v>
      </c>
      <c r="AZ625" s="4">
        <f>Base[[#This Row],['[SC']Budget_par_retraité]]*Base[[#This Row],['[SC']Nb_personnes_dépendantes]]</f>
        <v>0</v>
      </c>
      <c r="BA625" s="4">
        <f>Base[[#This Row],['[SC']'[Dépendance']Coût_retraite_personnes_dépendantes]]/Base[[#This Row],[Population_totale]]</f>
        <v>0</v>
      </c>
      <c r="BB62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5" s="4">
        <f>Base[[#This Row],['[SC']'[Dépendance']Gains]]-Base[[#This Row],['[SC']'[Dépendance']Coûts]]</f>
        <v>0</v>
      </c>
      <c r="BD625" s="4">
        <f>IF(Base[[#This Row],[Pathologie]]&lt;&gt;"Mort prématurée",0,Base[[#This Row],[Risque]]*Base[[#This Row],[Prévalence]]*Base[[#This Row],[Population_totale]])</f>
        <v>0</v>
      </c>
      <c r="BE625" s="4">
        <v>52.74</v>
      </c>
      <c r="BF625" s="4">
        <f>Base[[#This Row],['[SC']Âge_moyen_retraite]]-Base[[#This Row],['[SC']'[Mort_prématurée']Âge_moyen_mort précoce]]</f>
        <v>10.159999999999997</v>
      </c>
      <c r="BG625" s="4">
        <f>Base[[#This Row],[Espérance_vie]]+Base[[#This Row],['[SC']Hausse_esp_de_vie]]-Base[[#This Row],['[SC']Âge_moyen_retraite]]</f>
        <v>20.404874790994718</v>
      </c>
      <c r="BH625" s="4">
        <v>106583.42676924677</v>
      </c>
      <c r="BI625" s="4">
        <v>97601.789429271477</v>
      </c>
      <c r="BJ625" s="4">
        <v>302038.31496633729</v>
      </c>
      <c r="BK625" s="4">
        <v>117293.58934859755</v>
      </c>
      <c r="BL625" s="4">
        <v>1523999.9999999995</v>
      </c>
      <c r="BM62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5" s="4">
        <v>294804.96027377353</v>
      </c>
      <c r="BO62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5" s="4">
        <f>(Base[[#This Row],['[SC']'[Mort_prématurée']Gains]]-Base[[#This Row],['[SC']'[Mort_prématurée']Coûts]])/Base[[#This Row],[Population_totale]]</f>
        <v>0</v>
      </c>
      <c r="BQ625" s="4">
        <f>IF(Base[[#This Row],[Pathologie]]&lt;&gt;"Mort prématurée",0,Base[[#This Row],[Risque]])</f>
        <v>0</v>
      </c>
      <c r="BR625" s="4">
        <v>2680</v>
      </c>
      <c r="BS62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5" s="4">
        <f>Base[[#This Row],[Prévalence_prod]]*(1-Base[[#This Row],[Risque]])*Base[[#This Row],[Durée_arrêt]]*Base[[#This Row],[Population_emploi]]</f>
        <v>9506061.7903211042</v>
      </c>
      <c r="BV625" s="4">
        <f>Base[[#This Row],['[Prod']'[Absentéisme']Total_jours_absence_avant]]-Base[[#This Row],['[Prod']'[Absentéisme']Total_jours_absence_après]]</f>
        <v>3196465.7096788939</v>
      </c>
      <c r="BW625" s="4">
        <f>IF(AND(Base[[#This Row],[Pathologie]]&lt;&gt;"Dépendance",Base[[#This Row],[Pathologie]]&lt;&gt;"Mort prématurée",Base[[#This Row],[Pathologie]]&lt;&gt;"Migraine"),0.0619,0)</f>
        <v>6.1899999999999997E-2</v>
      </c>
      <c r="BX625" s="4">
        <v>254</v>
      </c>
      <c r="BY625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5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5" s="4">
        <f>Base[[#This Row],[Prévalence_prod]]*Base[[#This Row],[Présentéisme]]*Base[[#This Row],['[Prod']Jours_ouvrés]]</f>
        <v>2.0966048999999995</v>
      </c>
      <c r="CB625" s="4">
        <f>Base[[#This Row],[Prévalence_prod]]*(1-Base[[#This Row],[Risque]])*Base[[#This Row],[Présentéisme]]*Base[[#This Row],['[Prod']Jours_ouvrés]]</f>
        <v>1.5690149640919888</v>
      </c>
      <c r="CC625" s="4">
        <f>Base[[#This Row],['[Prod']'[Présentéisme']Jours_avant]]-Base[[#This Row],['[Prod']'[Présentéisme']Jours_après]]</f>
        <v>0.52758993590801073</v>
      </c>
      <c r="CD625" s="4">
        <f>Base[[#This Row],['[Prod']'[Présentéisme']Jours_gagnés]]/Base[[#This Row],['[Prod']Jours_ouvrés]]</f>
        <v>2.0771257319213022E-3</v>
      </c>
      <c r="CE625">
        <v>9.3428413505841454E-2</v>
      </c>
      <c r="CF625">
        <v>2.1038737314955848E-2</v>
      </c>
      <c r="CG625" s="4">
        <v>11</v>
      </c>
      <c r="CH625" s="4">
        <v>0.78414927716175975</v>
      </c>
      <c r="CI625" s="4">
        <v>0.12835819090128339</v>
      </c>
      <c r="CJ625" s="4">
        <f>IF(Base[[#This Row],[Secteur]]&lt;&gt;"Moyenne",Base[[#This Row],['[Prod']'[Turnover']DMC_initiale]]*(1+Base[[#This Row],['[Prod']'[Turnover']Ecart_accidents]]*Base[[#This Row],['[Prod']Impact_motifs_turnover]]),CJ608*CI608+CJ609*CI609+CJ610*CI610+CJ611*CI611+CJ612*CI612+CJ613*CI613+CJ614*CI614+CJ615*CI615+CJ616*CI616+CJ617*CI617+CJ618*CI618+CJ619*CI619+CJ620*CI620+CJ621*CI621+CJ622*CI622+CJ623*CI623+CJ624*CI624)</f>
        <v>11.181472617237107</v>
      </c>
      <c r="CK625" s="4">
        <f>1/Base[[#This Row],['[Prod']'[Turnover']DMC_initiale]]</f>
        <v>9.0909090909090912E-2</v>
      </c>
      <c r="CL625" s="4">
        <f>1/Base[[#This Row],['[Prod']'[Turnover']DMC_finale]]</f>
        <v>8.9433658180088235E-2</v>
      </c>
    </row>
    <row r="626" spans="2:90" x14ac:dyDescent="0.25">
      <c r="B626" s="4" t="s">
        <v>330</v>
      </c>
      <c r="C626">
        <v>30</v>
      </c>
      <c r="D626" t="s">
        <v>85</v>
      </c>
      <c r="E626" t="s">
        <v>12</v>
      </c>
      <c r="F626" s="3">
        <v>0.251640133011237</v>
      </c>
      <c r="G626" s="3">
        <v>0.1079</v>
      </c>
      <c r="H626" s="3">
        <v>0.1079</v>
      </c>
      <c r="I626" s="3">
        <v>7.6499999999999999E-2</v>
      </c>
      <c r="J626" s="3">
        <v>7.67629534616262</v>
      </c>
      <c r="K626" s="3">
        <v>7.0000000000000007E-2</v>
      </c>
      <c r="L626" s="2">
        <f>Base[[#This Row],[Coût]]*Base[[#This Row],[Part_ménages_dépenses_santé]]</f>
        <v>0.53734067423138343</v>
      </c>
      <c r="M626" s="2">
        <v>0.82690611956969029</v>
      </c>
      <c r="N626" s="6">
        <v>27700000</v>
      </c>
      <c r="O626" s="7">
        <f>Base[[#This Row],[Coût_salarié]]*10^9*Base[[#This Row],[Risque]]*Base[[#This Row],[Prévalence]]*Base[[#This Row],[Part_coûts_salarié]]/Base[[#This Row],[Population_emploi]]</f>
        <v>0.43553945522869025</v>
      </c>
      <c r="P626">
        <v>50</v>
      </c>
      <c r="Q626">
        <v>50</v>
      </c>
      <c r="R626" s="2">
        <v>9.9999999999999978E-2</v>
      </c>
      <c r="S626" s="2">
        <v>0.33340000000000003</v>
      </c>
      <c r="T626" s="4">
        <v>0.1079</v>
      </c>
      <c r="U626" s="4">
        <f>IF(Bases_annexes!$F$5=0,16.6587111018772,0.77*Bases_annexes!$F$5/(IF(OR(ISBLANK('Données_d''entrée'!$E$44),'Données_d''entrée'!$E$44=0),35,'Données_d''entrée'!$E$44)*52))</f>
        <v>16.658711101877199</v>
      </c>
      <c r="V626" s="4">
        <v>4.25</v>
      </c>
      <c r="W62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6" s="4">
        <v>234.5</v>
      </c>
      <c r="Y626" s="4">
        <f>(Base[[#This Row],['[Maladies']Coûts_évités_par_salarié]]+Base[[#This Row],['[Travail']Coûts_évités_par_salarié]])/Base[[#This Row],[Budget_santé_salarié]]</f>
        <v>4.4051045245840817E-2</v>
      </c>
      <c r="Z626" s="4">
        <v>0.8</v>
      </c>
      <c r="AA626" s="4">
        <f>Base[[#This Row],[Coût]]*Base[[#This Row],[Part_société_dépenses_santé]]</f>
        <v>6.1410362769300963</v>
      </c>
      <c r="AB626" s="4">
        <v>67635124</v>
      </c>
      <c r="AC626" s="4">
        <v>82.297079063317852</v>
      </c>
      <c r="AD626" s="4">
        <v>0.1079</v>
      </c>
      <c r="AE626" s="4">
        <f>Base[[#This Row],['[SC']Prévalence_travail]]*Base[[#This Row],[Population_emploi]]</f>
        <v>2988830</v>
      </c>
      <c r="AF626" s="4">
        <f>Base[[#This Row],[Risque]]*Base[[#This Row],['[SC']Patients_en_emploi]]</f>
        <v>752109.57874797552</v>
      </c>
      <c r="AG626" s="4">
        <v>0</v>
      </c>
      <c r="AH626" s="4">
        <f>IFERROR(Base[[#This Row],['[SC']Prestations]]/Base[[#This Row],['[SC']Patients_en_emploi]],0)</f>
        <v>0</v>
      </c>
      <c r="AI626" s="4">
        <v>51.7</v>
      </c>
      <c r="AJ62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6" s="4">
        <f>Base[[#This Row],['[SC']'[Travail']Coûts_évités]]/Base[[#This Row],[Population_emploi]]</f>
        <v>1.754696083992344</v>
      </c>
      <c r="AL626" s="4">
        <f>Base[[#This Row],[Coût_société]]*10^9*Base[[#This Row],[Risque]]*Base[[#This Row],[Prévalence]]*Base[[#This Row],[Part_coûts_salarié]]/Base[[#This Row],[Population_emploi]]</f>
        <v>4.977593774042175</v>
      </c>
      <c r="AM626" s="4">
        <f>IF(Base[[#This Row],[Pathologie]]&lt;&gt;"Dépendance",0,14909.24243952)</f>
        <v>0</v>
      </c>
      <c r="AN626" s="4">
        <f>IF(Base[[#This Row],[Pathologie]]&lt;&gt;"Dépendance",0,1316000)</f>
        <v>0</v>
      </c>
      <c r="AO626" s="4">
        <f>IF(Base[[#This Row],[Pathologie]]&lt;&gt;"Dépendance",0,Base[[#This Row],['[SC']Coût_personne_dépendante]]*Base[[#This Row],['[SC']Nb_personnes_dépendantes]])</f>
        <v>0</v>
      </c>
      <c r="AP626" s="4">
        <f>IF(Base[[#This Row],[Pathologie]]&lt;&gt;"Dépendance",0,Base[[#This Row],['[SC']Coût_total_dépendance]]/Base[[#This Row],[Population_totale]])</f>
        <v>0</v>
      </c>
      <c r="AQ626" s="4">
        <f>IF(Base[[#This Row],[Pathologie]]&lt;&gt;"Dépendance",0,4.5)</f>
        <v>0</v>
      </c>
      <c r="AR626" s="4">
        <v>1.0077957276768601</v>
      </c>
      <c r="AS626" s="4">
        <f>Base[[#This Row],[Espérance_vie]]+Base[[#This Row],['[SC']Hausse_esp_de_vie]]-Base[[#This Row],['[SC']Durée_moyenne_dépendance_avt]]+Base[[#This Row],[Risque]]</f>
        <v>83.556514924005953</v>
      </c>
      <c r="AT62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6" s="4">
        <v>62.9</v>
      </c>
      <c r="AW626" s="4">
        <f t="shared" si="20"/>
        <v>336905600000</v>
      </c>
      <c r="AX626" s="4">
        <v>15049171</v>
      </c>
      <c r="AY626" s="4">
        <f>Base[[#This Row],['[SC']Budget_total_retraites]]/Base[[#This Row],['[SC']Nombre_de_retraités]]</f>
        <v>22386.987296509556</v>
      </c>
      <c r="AZ626" s="4">
        <f>Base[[#This Row],['[SC']Budget_par_retraité]]*Base[[#This Row],['[SC']Nb_personnes_dépendantes]]</f>
        <v>0</v>
      </c>
      <c r="BA626" s="4">
        <f>Base[[#This Row],['[SC']'[Dépendance']Coût_retraite_personnes_dépendantes]]/Base[[#This Row],[Population_totale]]</f>
        <v>0</v>
      </c>
      <c r="BB62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6" s="4">
        <f>Base[[#This Row],['[SC']'[Dépendance']Gains]]-Base[[#This Row],['[SC']'[Dépendance']Coûts]]</f>
        <v>0</v>
      </c>
      <c r="BD626" s="4">
        <f>IF(Base[[#This Row],[Pathologie]]&lt;&gt;"Mort prématurée",0,Base[[#This Row],[Risque]]*Base[[#This Row],[Prévalence]]*Base[[#This Row],[Population_totale]])</f>
        <v>0</v>
      </c>
      <c r="BE626" s="4">
        <v>52.74</v>
      </c>
      <c r="BF626" s="4">
        <f>Base[[#This Row],['[SC']Âge_moyen_retraite]]-Base[[#This Row],['[SC']'[Mort_prématurée']Âge_moyen_mort précoce]]</f>
        <v>10.159999999999997</v>
      </c>
      <c r="BG626" s="4">
        <f>Base[[#This Row],[Espérance_vie]]+Base[[#This Row],['[SC']Hausse_esp_de_vie]]-Base[[#This Row],['[SC']Âge_moyen_retraite]]</f>
        <v>20.404874790994718</v>
      </c>
      <c r="BH626" s="4">
        <v>106583.42676924677</v>
      </c>
      <c r="BI626" s="4">
        <v>97601.789429271477</v>
      </c>
      <c r="BJ626" s="4">
        <v>302038.31496633729</v>
      </c>
      <c r="BK626" s="4">
        <v>117293.58934859755</v>
      </c>
      <c r="BL626" s="4">
        <v>1523999.9999999995</v>
      </c>
      <c r="BM62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6" s="4">
        <v>294804.96027377353</v>
      </c>
      <c r="BO62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6" s="4">
        <f>(Base[[#This Row],['[SC']'[Mort_prématurée']Gains]]-Base[[#This Row],['[SC']'[Mort_prématurée']Coûts]])/Base[[#This Row],[Population_totale]]</f>
        <v>0</v>
      </c>
      <c r="BQ626" s="4">
        <f>IF(Base[[#This Row],[Pathologie]]&lt;&gt;"Mort prématurée",0,Base[[#This Row],[Risque]])</f>
        <v>0</v>
      </c>
      <c r="BR626" s="4">
        <v>2680</v>
      </c>
      <c r="BS62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6" s="4">
        <f>Base[[#This Row],[Prévalence_prod]]*(1-Base[[#This Row],[Risque]])*Base[[#This Row],[Durée_arrêt]]*Base[[#This Row],[Population_emploi]]</f>
        <v>9506061.7903211042</v>
      </c>
      <c r="BV626" s="4">
        <f>Base[[#This Row],['[Prod']'[Absentéisme']Total_jours_absence_avant]]-Base[[#This Row],['[Prod']'[Absentéisme']Total_jours_absence_après]]</f>
        <v>3196465.7096788939</v>
      </c>
      <c r="BW626" s="4">
        <f>IF(AND(Base[[#This Row],[Pathologie]]&lt;&gt;"Dépendance",Base[[#This Row],[Pathologie]]&lt;&gt;"Mort prématurée",Base[[#This Row],[Pathologie]]&lt;&gt;"Migraine"),0.0619,0)</f>
        <v>6.1899999999999997E-2</v>
      </c>
      <c r="BX626" s="4">
        <v>254</v>
      </c>
      <c r="BY626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6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6" s="4">
        <f>Base[[#This Row],[Prévalence_prod]]*Base[[#This Row],[Présentéisme]]*Base[[#This Row],['[Prod']Jours_ouvrés]]</f>
        <v>2.0966048999999995</v>
      </c>
      <c r="CB626" s="4">
        <f>Base[[#This Row],[Prévalence_prod]]*(1-Base[[#This Row],[Risque]])*Base[[#This Row],[Présentéisme]]*Base[[#This Row],['[Prod']Jours_ouvrés]]</f>
        <v>1.5690149640919888</v>
      </c>
      <c r="CC626" s="4">
        <f>Base[[#This Row],['[Prod']'[Présentéisme']Jours_avant]]-Base[[#This Row],['[Prod']'[Présentéisme']Jours_après]]</f>
        <v>0.52758993590801073</v>
      </c>
      <c r="CD626" s="4">
        <f>Base[[#This Row],['[Prod']'[Présentéisme']Jours_gagnés]]/Base[[#This Row],['[Prod']Jours_ouvrés]]</f>
        <v>2.0771257319213022E-3</v>
      </c>
      <c r="CE626">
        <v>9.3428413505841454E-2</v>
      </c>
      <c r="CF626">
        <v>2.1038737314955848E-2</v>
      </c>
      <c r="CG626" s="4">
        <v>11</v>
      </c>
      <c r="CH626" s="4">
        <v>0.99648427619813984</v>
      </c>
      <c r="CI626" s="4">
        <v>0.42377466100567313</v>
      </c>
      <c r="CJ626" s="4">
        <f>IF(Base[[#This Row],[Secteur]]&lt;&gt;"Moyenne",Base[[#This Row],['[Prod']'[Turnover']DMC_initiale]]*(1+Base[[#This Row],['[Prod']'[Turnover']Ecart_accidents]]*Base[[#This Row],['[Prod']Impact_motifs_turnover]]),CJ609*CI609+CJ610*CI610+CJ611*CI611+CJ612*CI612+CJ613*CI613+CJ614*CI614+CJ615*CI615+CJ616*CI616+CJ617*CI617+CJ618*CI618+CJ619*CI619+CJ620*CI620+CJ621*CI621+CJ622*CI622+CJ623*CI623+CJ624*CI624+CJ625*CI625)</f>
        <v>11.230612480179582</v>
      </c>
      <c r="CK626" s="4">
        <f>1/Base[[#This Row],['[Prod']'[Turnover']DMC_initiale]]</f>
        <v>9.0909090909090912E-2</v>
      </c>
      <c r="CL626" s="4">
        <f>1/Base[[#This Row],['[Prod']'[Turnover']DMC_finale]]</f>
        <v>8.9042338676083466E-2</v>
      </c>
    </row>
    <row r="627" spans="2:90" x14ac:dyDescent="0.25">
      <c r="B627" s="4" t="s">
        <v>331</v>
      </c>
      <c r="C627">
        <v>30</v>
      </c>
      <c r="D627" t="s">
        <v>85</v>
      </c>
      <c r="E627" t="s">
        <v>12</v>
      </c>
      <c r="F627" s="3">
        <v>0.251640133011237</v>
      </c>
      <c r="G627" s="3">
        <v>0.1079</v>
      </c>
      <c r="H627" s="3">
        <v>0.1079</v>
      </c>
      <c r="I627" s="3">
        <v>7.6499999999999999E-2</v>
      </c>
      <c r="J627" s="3">
        <v>7.67629534616262</v>
      </c>
      <c r="K627" s="3">
        <v>7.0000000000000007E-2</v>
      </c>
      <c r="L627" s="2">
        <f>Base[[#This Row],[Coût]]*Base[[#This Row],[Part_ménages_dépenses_santé]]</f>
        <v>0.53734067423138343</v>
      </c>
      <c r="M627" s="2">
        <v>0.82690611956969029</v>
      </c>
      <c r="N627" s="6">
        <v>27700000</v>
      </c>
      <c r="O627" s="7">
        <f>Base[[#This Row],[Coût_salarié]]*10^9*Base[[#This Row],[Risque]]*Base[[#This Row],[Prévalence]]*Base[[#This Row],[Part_coûts_salarié]]/Base[[#This Row],[Population_emploi]]</f>
        <v>0.43553945522869025</v>
      </c>
      <c r="P627">
        <v>50</v>
      </c>
      <c r="Q627">
        <v>50</v>
      </c>
      <c r="R627" s="2">
        <v>9.9999999999999978E-2</v>
      </c>
      <c r="S627" s="2">
        <v>0.33340000000000003</v>
      </c>
      <c r="T627" s="4">
        <v>0.1079</v>
      </c>
      <c r="U627" s="4">
        <f>IF(Bases_annexes!$F$5=0,16.6587111018772,0.77*Bases_annexes!$F$5/(IF(OR(ISBLANK('Données_d''entrée'!$E$44),'Données_d''entrée'!$E$44=0),35,'Données_d''entrée'!$E$44)*52))</f>
        <v>16.658711101877199</v>
      </c>
      <c r="V627" s="4">
        <v>4.25</v>
      </c>
      <c r="W62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7" s="4">
        <v>234.5</v>
      </c>
      <c r="Y627" s="4">
        <f>(Base[[#This Row],['[Maladies']Coûts_évités_par_salarié]]+Base[[#This Row],['[Travail']Coûts_évités_par_salarié]])/Base[[#This Row],[Budget_santé_salarié]]</f>
        <v>4.4051045245840817E-2</v>
      </c>
      <c r="Z627" s="4">
        <v>0.8</v>
      </c>
      <c r="AA627" s="4">
        <f>Base[[#This Row],[Coût]]*Base[[#This Row],[Part_société_dépenses_santé]]</f>
        <v>6.1410362769300963</v>
      </c>
      <c r="AB627" s="4">
        <v>67635124</v>
      </c>
      <c r="AC627" s="4">
        <v>82.297079063317852</v>
      </c>
      <c r="AD627" s="4">
        <v>0.1079</v>
      </c>
      <c r="AE627" s="4">
        <f>Base[[#This Row],['[SC']Prévalence_travail]]*Base[[#This Row],[Population_emploi]]</f>
        <v>2988830</v>
      </c>
      <c r="AF627" s="4">
        <f>Base[[#This Row],[Risque]]*Base[[#This Row],['[SC']Patients_en_emploi]]</f>
        <v>752109.57874797552</v>
      </c>
      <c r="AG627" s="4">
        <v>0</v>
      </c>
      <c r="AH627" s="4">
        <f>IFERROR(Base[[#This Row],['[SC']Prestations]]/Base[[#This Row],['[SC']Patients_en_emploi]],0)</f>
        <v>0</v>
      </c>
      <c r="AI627" s="4">
        <v>51.7</v>
      </c>
      <c r="AJ62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7" s="4">
        <f>Base[[#This Row],['[SC']'[Travail']Coûts_évités]]/Base[[#This Row],[Population_emploi]]</f>
        <v>1.754696083992344</v>
      </c>
      <c r="AL627" s="4">
        <f>Base[[#This Row],[Coût_société]]*10^9*Base[[#This Row],[Risque]]*Base[[#This Row],[Prévalence]]*Base[[#This Row],[Part_coûts_salarié]]/Base[[#This Row],[Population_emploi]]</f>
        <v>4.977593774042175</v>
      </c>
      <c r="AM627" s="4">
        <f>IF(Base[[#This Row],[Pathologie]]&lt;&gt;"Dépendance",0,14909.24243952)</f>
        <v>0</v>
      </c>
      <c r="AN627" s="4">
        <f>IF(Base[[#This Row],[Pathologie]]&lt;&gt;"Dépendance",0,1316000)</f>
        <v>0</v>
      </c>
      <c r="AO627" s="4">
        <f>IF(Base[[#This Row],[Pathologie]]&lt;&gt;"Dépendance",0,Base[[#This Row],['[SC']Coût_personne_dépendante]]*Base[[#This Row],['[SC']Nb_personnes_dépendantes]])</f>
        <v>0</v>
      </c>
      <c r="AP627" s="4">
        <f>IF(Base[[#This Row],[Pathologie]]&lt;&gt;"Dépendance",0,Base[[#This Row],['[SC']Coût_total_dépendance]]/Base[[#This Row],[Population_totale]])</f>
        <v>0</v>
      </c>
      <c r="AQ627" s="4">
        <f>IF(Base[[#This Row],[Pathologie]]&lt;&gt;"Dépendance",0,4.5)</f>
        <v>0</v>
      </c>
      <c r="AR627" s="4">
        <v>1.0077957276768601</v>
      </c>
      <c r="AS627" s="4">
        <f>Base[[#This Row],[Espérance_vie]]+Base[[#This Row],['[SC']Hausse_esp_de_vie]]-Base[[#This Row],['[SC']Durée_moyenne_dépendance_avt]]+Base[[#This Row],[Risque]]</f>
        <v>83.556514924005953</v>
      </c>
      <c r="AT62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7" s="4">
        <v>62.9</v>
      </c>
      <c r="AW627" s="4">
        <f t="shared" si="20"/>
        <v>336905600000</v>
      </c>
      <c r="AX627" s="4">
        <v>15049171</v>
      </c>
      <c r="AY627" s="4">
        <f>Base[[#This Row],['[SC']Budget_total_retraites]]/Base[[#This Row],['[SC']Nombre_de_retraités]]</f>
        <v>22386.987296509556</v>
      </c>
      <c r="AZ627" s="4">
        <f>Base[[#This Row],['[SC']Budget_par_retraité]]*Base[[#This Row],['[SC']Nb_personnes_dépendantes]]</f>
        <v>0</v>
      </c>
      <c r="BA627" s="4">
        <f>Base[[#This Row],['[SC']'[Dépendance']Coût_retraite_personnes_dépendantes]]/Base[[#This Row],[Population_totale]]</f>
        <v>0</v>
      </c>
      <c r="BB62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7" s="4">
        <f>Base[[#This Row],['[SC']'[Dépendance']Gains]]-Base[[#This Row],['[SC']'[Dépendance']Coûts]]</f>
        <v>0</v>
      </c>
      <c r="BD627" s="4">
        <f>IF(Base[[#This Row],[Pathologie]]&lt;&gt;"Mort prématurée",0,Base[[#This Row],[Risque]]*Base[[#This Row],[Prévalence]]*Base[[#This Row],[Population_totale]])</f>
        <v>0</v>
      </c>
      <c r="BE627" s="4">
        <v>52.74</v>
      </c>
      <c r="BF627" s="4">
        <f>Base[[#This Row],['[SC']Âge_moyen_retraite]]-Base[[#This Row],['[SC']'[Mort_prématurée']Âge_moyen_mort précoce]]</f>
        <v>10.159999999999997</v>
      </c>
      <c r="BG627" s="4">
        <f>Base[[#This Row],[Espérance_vie]]+Base[[#This Row],['[SC']Hausse_esp_de_vie]]-Base[[#This Row],['[SC']Âge_moyen_retraite]]</f>
        <v>20.404874790994718</v>
      </c>
      <c r="BH627" s="4">
        <v>106583.42676924677</v>
      </c>
      <c r="BI627" s="4">
        <v>97601.789429271477</v>
      </c>
      <c r="BJ627" s="4">
        <v>302038.31496633729</v>
      </c>
      <c r="BK627" s="4">
        <v>117293.58934859755</v>
      </c>
      <c r="BL627" s="4">
        <v>1523999.9999999995</v>
      </c>
      <c r="BM62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7" s="4">
        <v>294804.96027377353</v>
      </c>
      <c r="BO62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7" s="4">
        <f>(Base[[#This Row],['[SC']'[Mort_prématurée']Gains]]-Base[[#This Row],['[SC']'[Mort_prématurée']Coûts]])/Base[[#This Row],[Population_totale]]</f>
        <v>0</v>
      </c>
      <c r="BQ627" s="4">
        <f>IF(Base[[#This Row],[Pathologie]]&lt;&gt;"Mort prématurée",0,Base[[#This Row],[Risque]])</f>
        <v>0</v>
      </c>
      <c r="BR627" s="4">
        <v>2680</v>
      </c>
      <c r="BS62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7" s="4">
        <f>Base[[#This Row],[Prévalence_prod]]*(1-Base[[#This Row],[Risque]])*Base[[#This Row],[Durée_arrêt]]*Base[[#This Row],[Population_emploi]]</f>
        <v>9506061.7903211042</v>
      </c>
      <c r="BV627" s="4">
        <f>Base[[#This Row],['[Prod']'[Absentéisme']Total_jours_absence_avant]]-Base[[#This Row],['[Prod']'[Absentéisme']Total_jours_absence_après]]</f>
        <v>3196465.7096788939</v>
      </c>
      <c r="BW627" s="4">
        <f>IF(AND(Base[[#This Row],[Pathologie]]&lt;&gt;"Dépendance",Base[[#This Row],[Pathologie]]&lt;&gt;"Mort prématurée",Base[[#This Row],[Pathologie]]&lt;&gt;"Migraine"),0.0619,0)</f>
        <v>6.1899999999999997E-2</v>
      </c>
      <c r="BX627" s="4">
        <v>254</v>
      </c>
      <c r="BY627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7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7" s="4">
        <f>Base[[#This Row],[Prévalence_prod]]*Base[[#This Row],[Présentéisme]]*Base[[#This Row],['[Prod']Jours_ouvrés]]</f>
        <v>2.0966048999999995</v>
      </c>
      <c r="CB627" s="4">
        <f>Base[[#This Row],[Prévalence_prod]]*(1-Base[[#This Row],[Risque]])*Base[[#This Row],[Présentéisme]]*Base[[#This Row],['[Prod']Jours_ouvrés]]</f>
        <v>1.5690149640919888</v>
      </c>
      <c r="CC627" s="4">
        <f>Base[[#This Row],['[Prod']'[Présentéisme']Jours_avant]]-Base[[#This Row],['[Prod']'[Présentéisme']Jours_après]]</f>
        <v>0.52758993590801073</v>
      </c>
      <c r="CD627" s="4">
        <f>Base[[#This Row],['[Prod']'[Présentéisme']Jours_gagnés]]/Base[[#This Row],['[Prod']Jours_ouvrés]]</f>
        <v>2.0771257319213022E-3</v>
      </c>
      <c r="CE627">
        <v>9.3428413505841454E-2</v>
      </c>
      <c r="CF627">
        <v>2.1038737314955848E-2</v>
      </c>
      <c r="CG627" s="4">
        <v>11</v>
      </c>
      <c r="CH627" s="4">
        <v>1.1593596509901765</v>
      </c>
      <c r="CI627" s="4">
        <v>4.0741311947357597E-2</v>
      </c>
      <c r="CJ627" s="4">
        <f>IF(Base[[#This Row],[Secteur]]&lt;&gt;"Moyenne",Base[[#This Row],['[Prod']'[Turnover']DMC_initiale]]*(1+Base[[#This Row],['[Prod']'[Turnover']Ecart_accidents]]*Base[[#This Row],['[Prod']Impact_motifs_turnover]]),CJ610*CI610+CJ611*CI611+CJ612*CI612+CJ613*CI613+CJ614*CI614+CJ615*CI615+CJ616*CI616+CJ617*CI617+CJ618*CI618+CJ619*CI619+CJ620*CI620+CJ621*CI621+CJ622*CI622+CJ623*CI623+CJ624*CI624+CJ625*CI625+CJ626*CI626)</f>
        <v>11.268306094658152</v>
      </c>
      <c r="CK627" s="4">
        <f>1/Base[[#This Row],['[Prod']'[Turnover']DMC_initiale]]</f>
        <v>9.0909090909090912E-2</v>
      </c>
      <c r="CL627" s="4">
        <f>1/Base[[#This Row],['[Prod']'[Turnover']DMC_finale]]</f>
        <v>8.8744483119256007E-2</v>
      </c>
    </row>
    <row r="628" spans="2:90" x14ac:dyDescent="0.25">
      <c r="B628" s="4" t="s">
        <v>332</v>
      </c>
      <c r="C628">
        <v>30</v>
      </c>
      <c r="D628" t="s">
        <v>85</v>
      </c>
      <c r="E628" t="s">
        <v>12</v>
      </c>
      <c r="F628" s="3">
        <v>0.251640133011237</v>
      </c>
      <c r="G628" s="3">
        <v>0.1079</v>
      </c>
      <c r="H628" s="3">
        <v>0.1079</v>
      </c>
      <c r="I628" s="3">
        <v>7.6499999999999999E-2</v>
      </c>
      <c r="J628" s="3">
        <v>7.67629534616262</v>
      </c>
      <c r="K628" s="3">
        <v>7.0000000000000007E-2</v>
      </c>
      <c r="L628" s="2">
        <f>Base[[#This Row],[Coût]]*Base[[#This Row],[Part_ménages_dépenses_santé]]</f>
        <v>0.53734067423138343</v>
      </c>
      <c r="M628" s="2">
        <v>0.82690611956969029</v>
      </c>
      <c r="N628" s="6">
        <v>27700000</v>
      </c>
      <c r="O628" s="7">
        <f>Base[[#This Row],[Coût_salarié]]*10^9*Base[[#This Row],[Risque]]*Base[[#This Row],[Prévalence]]*Base[[#This Row],[Part_coûts_salarié]]/Base[[#This Row],[Population_emploi]]</f>
        <v>0.43553945522869025</v>
      </c>
      <c r="P628">
        <v>50</v>
      </c>
      <c r="Q628">
        <v>50</v>
      </c>
      <c r="R628" s="2">
        <v>9.9999999999999978E-2</v>
      </c>
      <c r="S628" s="2">
        <v>0.33340000000000003</v>
      </c>
      <c r="T628" s="4">
        <v>0.1079</v>
      </c>
      <c r="U628" s="4">
        <f>IF(Bases_annexes!$F$5=0,16.6587111018772,0.77*Bases_annexes!$F$5/(IF(OR(ISBLANK('Données_d''entrée'!$E$44),'Données_d''entrée'!$E$44=0),35,'Données_d''entrée'!$E$44)*52))</f>
        <v>16.658711101877199</v>
      </c>
      <c r="V628" s="4">
        <v>4.25</v>
      </c>
      <c r="W62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9.8944306549209813</v>
      </c>
      <c r="X628" s="4">
        <v>234.5</v>
      </c>
      <c r="Y628" s="4">
        <f>(Base[[#This Row],['[Maladies']Coûts_évités_par_salarié]]+Base[[#This Row],['[Travail']Coûts_évités_par_salarié]])/Base[[#This Row],[Budget_santé_salarié]]</f>
        <v>4.4051045245840817E-2</v>
      </c>
      <c r="Z628" s="4">
        <v>0.8</v>
      </c>
      <c r="AA628" s="4">
        <f>Base[[#This Row],[Coût]]*Base[[#This Row],[Part_société_dépenses_santé]]</f>
        <v>6.1410362769300963</v>
      </c>
      <c r="AB628" s="4">
        <v>67635124</v>
      </c>
      <c r="AC628" s="4">
        <v>82.297079063317852</v>
      </c>
      <c r="AD628" s="4">
        <v>0.1079</v>
      </c>
      <c r="AE628" s="4">
        <f>Base[[#This Row],['[SC']Prévalence_travail]]*Base[[#This Row],[Population_emploi]]</f>
        <v>2988830</v>
      </c>
      <c r="AF628" s="4">
        <f>Base[[#This Row],[Risque]]*Base[[#This Row],['[SC']Patients_en_emploi]]</f>
        <v>752109.57874797552</v>
      </c>
      <c r="AG628" s="4">
        <v>0</v>
      </c>
      <c r="AH628" s="4">
        <f>IFERROR(Base[[#This Row],['[SC']Prestations]]/Base[[#This Row],['[SC']Patients_en_emploi]],0)</f>
        <v>0</v>
      </c>
      <c r="AI628" s="4">
        <v>51.7</v>
      </c>
      <c r="AJ62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48605081.526587926</v>
      </c>
      <c r="AK628" s="4">
        <f>Base[[#This Row],['[SC']'[Travail']Coûts_évités]]/Base[[#This Row],[Population_emploi]]</f>
        <v>1.754696083992344</v>
      </c>
      <c r="AL628" s="4">
        <f>Base[[#This Row],[Coût_société]]*10^9*Base[[#This Row],[Risque]]*Base[[#This Row],[Prévalence]]*Base[[#This Row],[Part_coûts_salarié]]/Base[[#This Row],[Population_emploi]]</f>
        <v>4.977593774042175</v>
      </c>
      <c r="AM628" s="4">
        <f>IF(Base[[#This Row],[Pathologie]]&lt;&gt;"Dépendance",0,14909.24243952)</f>
        <v>0</v>
      </c>
      <c r="AN628" s="4">
        <f>IF(Base[[#This Row],[Pathologie]]&lt;&gt;"Dépendance",0,1316000)</f>
        <v>0</v>
      </c>
      <c r="AO628" s="4">
        <f>IF(Base[[#This Row],[Pathologie]]&lt;&gt;"Dépendance",0,Base[[#This Row],['[SC']Coût_personne_dépendante]]*Base[[#This Row],['[SC']Nb_personnes_dépendantes]])</f>
        <v>0</v>
      </c>
      <c r="AP628" s="4">
        <f>IF(Base[[#This Row],[Pathologie]]&lt;&gt;"Dépendance",0,Base[[#This Row],['[SC']Coût_total_dépendance]]/Base[[#This Row],[Population_totale]])</f>
        <v>0</v>
      </c>
      <c r="AQ628" s="4">
        <f>IF(Base[[#This Row],[Pathologie]]&lt;&gt;"Dépendance",0,4.5)</f>
        <v>0</v>
      </c>
      <c r="AR628" s="4">
        <v>1.0077957276768601</v>
      </c>
      <c r="AS628" s="4">
        <f>Base[[#This Row],[Espérance_vie]]+Base[[#This Row],['[SC']Hausse_esp_de_vie]]-Base[[#This Row],['[SC']Durée_moyenne_dépendance_avt]]+Base[[#This Row],[Risque]]</f>
        <v>83.556514924005953</v>
      </c>
      <c r="AT62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2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28" s="4">
        <v>62.9</v>
      </c>
      <c r="AW628" s="4">
        <f t="shared" si="20"/>
        <v>336905600000</v>
      </c>
      <c r="AX628" s="4">
        <v>15049171</v>
      </c>
      <c r="AY628" s="4">
        <f>Base[[#This Row],['[SC']Budget_total_retraites]]/Base[[#This Row],['[SC']Nombre_de_retraités]]</f>
        <v>22386.987296509556</v>
      </c>
      <c r="AZ628" s="4">
        <f>Base[[#This Row],['[SC']Budget_par_retraité]]*Base[[#This Row],['[SC']Nb_personnes_dépendantes]]</f>
        <v>0</v>
      </c>
      <c r="BA628" s="4">
        <f>Base[[#This Row],['[SC']'[Dépendance']Coût_retraite_personnes_dépendantes]]/Base[[#This Row],[Population_totale]]</f>
        <v>0</v>
      </c>
      <c r="BB62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28" s="4">
        <f>Base[[#This Row],['[SC']'[Dépendance']Gains]]-Base[[#This Row],['[SC']'[Dépendance']Coûts]]</f>
        <v>0</v>
      </c>
      <c r="BD628" s="4">
        <f>IF(Base[[#This Row],[Pathologie]]&lt;&gt;"Mort prématurée",0,Base[[#This Row],[Risque]]*Base[[#This Row],[Prévalence]]*Base[[#This Row],[Population_totale]])</f>
        <v>0</v>
      </c>
      <c r="BE628" s="4">
        <v>52.74</v>
      </c>
      <c r="BF628" s="4">
        <f>Base[[#This Row],['[SC']Âge_moyen_retraite]]-Base[[#This Row],['[SC']'[Mort_prématurée']Âge_moyen_mort précoce]]</f>
        <v>10.159999999999997</v>
      </c>
      <c r="BG628" s="4">
        <f>Base[[#This Row],[Espérance_vie]]+Base[[#This Row],['[SC']Hausse_esp_de_vie]]-Base[[#This Row],['[SC']Âge_moyen_retraite]]</f>
        <v>20.404874790994718</v>
      </c>
      <c r="BH628" s="4">
        <v>106583.42676924677</v>
      </c>
      <c r="BI628" s="4">
        <v>97601.789429271477</v>
      </c>
      <c r="BJ628" s="4">
        <v>302038.31496633729</v>
      </c>
      <c r="BK628" s="4">
        <v>117293.58934859755</v>
      </c>
      <c r="BL628" s="4">
        <v>1523999.9999999995</v>
      </c>
      <c r="BM62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8" s="4">
        <v>294804.96027377353</v>
      </c>
      <c r="BO62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8" s="4">
        <f>(Base[[#This Row],['[SC']'[Mort_prématurée']Gains]]-Base[[#This Row],['[SC']'[Mort_prématurée']Coûts]])/Base[[#This Row],[Population_totale]]</f>
        <v>0</v>
      </c>
      <c r="BQ628" s="4">
        <f>IF(Base[[#This Row],[Pathologie]]&lt;&gt;"Mort prématurée",0,Base[[#This Row],[Risque]])</f>
        <v>0</v>
      </c>
      <c r="BR628" s="4">
        <v>2680</v>
      </c>
      <c r="BS62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2.5120484544904919E-3</v>
      </c>
      <c r="BT62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12702527.499999998</v>
      </c>
      <c r="BU628" s="4">
        <f>Base[[#This Row],[Prévalence_prod]]*(1-Base[[#This Row],[Risque]])*Base[[#This Row],[Durée_arrêt]]*Base[[#This Row],[Population_emploi]]</f>
        <v>9506061.7903211042</v>
      </c>
      <c r="BV628" s="4">
        <f>Base[[#This Row],['[Prod']'[Absentéisme']Total_jours_absence_avant]]-Base[[#This Row],['[Prod']'[Absentéisme']Total_jours_absence_après]]</f>
        <v>3196465.7096788939</v>
      </c>
      <c r="BW628" s="4">
        <f>IF(AND(Base[[#This Row],[Pathologie]]&lt;&gt;"Dépendance",Base[[#This Row],[Pathologie]]&lt;&gt;"Mort prématurée",Base[[#This Row],[Pathologie]]&lt;&gt;"Migraine"),0.0619,0)</f>
        <v>6.1899999999999997E-2</v>
      </c>
      <c r="BX628" s="4">
        <v>254</v>
      </c>
      <c r="BY628" s="4">
        <f>Base[[#This Row],['[Prod']'[Absentéisme']Taux_initial]]*Base[[#This Row],['[Prod']Jours_ouvrés]]*Base[[#This Row],[Population_emploi]]*Base[[#This Row],['[Prod']'[Absentéisme']Total_jours_absence_avant]]/211051099.251489</f>
        <v>26212392.355978303</v>
      </c>
      <c r="BZ628" s="4">
        <f>(Base[[#This Row],['[Prod']'[Absentéisme']Jours_théoriques]]-Base[[#This Row],['[Prod']'[Absentéisme']Total_jours_absence_évités]])/(Base[[#This Row],[Population_emploi]]*Base[[#This Row],['[Prod']Jours_ouvrés]])</f>
        <v>3.2712593658573877E-3</v>
      </c>
      <c r="CA628" s="4">
        <f>Base[[#This Row],[Prévalence_prod]]*Base[[#This Row],[Présentéisme]]*Base[[#This Row],['[Prod']Jours_ouvrés]]</f>
        <v>2.0966048999999995</v>
      </c>
      <c r="CB628" s="4">
        <f>Base[[#This Row],[Prévalence_prod]]*(1-Base[[#This Row],[Risque]])*Base[[#This Row],[Présentéisme]]*Base[[#This Row],['[Prod']Jours_ouvrés]]</f>
        <v>1.5690149640919888</v>
      </c>
      <c r="CC628" s="4">
        <f>Base[[#This Row],['[Prod']'[Présentéisme']Jours_avant]]-Base[[#This Row],['[Prod']'[Présentéisme']Jours_après]]</f>
        <v>0.52758993590801073</v>
      </c>
      <c r="CD628" s="4">
        <f>Base[[#This Row],['[Prod']'[Présentéisme']Jours_gagnés]]/Base[[#This Row],['[Prod']Jours_ouvrés]]</f>
        <v>2.0771257319213022E-3</v>
      </c>
      <c r="CE628">
        <v>9.3428413505841454E-2</v>
      </c>
      <c r="CF628">
        <v>2.1038737314955848E-2</v>
      </c>
      <c r="CG628" s="4">
        <v>11</v>
      </c>
      <c r="CH628" s="4">
        <v>0.85076983926913452</v>
      </c>
      <c r="CI628" s="4">
        <v>0</v>
      </c>
      <c r="CJ628" s="4">
        <f>IF(Base[[#This Row],[Secteur]]&lt;&gt;"Moyenne",Base[[#This Row],['[Prod']'[Turnover']DMC_initiale]]*(1+Base[[#This Row],['[Prod']'[Turnover']Ecart_accidents]]*Base[[#This Row],['[Prod']Impact_motifs_turnover]]),CJ611*CI611+CJ612*CI612+CJ613*CI613+CJ614*CI614+CJ615*CI615+CJ616*CI616+CJ617*CI617+CJ618*CI618+CJ619*CI619+CJ620*CI620+CJ621*CI621+CJ622*CI622+CJ623*CI623+CJ624*CI624+CJ625*CI625+CJ626*CI626+CJ627*CI627)</f>
        <v>11.196890354802576</v>
      </c>
      <c r="CK628" s="4">
        <f>1/Base[[#This Row],['[Prod']'[Turnover']DMC_initiale]]</f>
        <v>9.0909090909090912E-2</v>
      </c>
      <c r="CL628" s="4">
        <f>1/Base[[#This Row],['[Prod']'[Turnover']DMC_finale]]</f>
        <v>8.9310511071592255E-2</v>
      </c>
    </row>
    <row r="629" spans="2:90" x14ac:dyDescent="0.25">
      <c r="B629" s="4" t="s">
        <v>315</v>
      </c>
      <c r="C629">
        <v>30</v>
      </c>
      <c r="D629" t="s">
        <v>85</v>
      </c>
      <c r="E629" t="s">
        <v>42</v>
      </c>
      <c r="F629" s="3">
        <v>4.4901789846988658</v>
      </c>
      <c r="G629" s="3">
        <v>0.371</v>
      </c>
      <c r="H629" s="3">
        <v>0.371</v>
      </c>
      <c r="I629" s="3">
        <v>0</v>
      </c>
      <c r="J629" s="3">
        <v>0</v>
      </c>
      <c r="K629" s="3">
        <v>7.0000000000000007E-2</v>
      </c>
      <c r="L629" s="2">
        <f>Base[[#This Row],[Coût]]*Base[[#This Row],[Part_ménages_dépenses_santé]]</f>
        <v>0</v>
      </c>
      <c r="M629" s="2">
        <v>0</v>
      </c>
      <c r="N629" s="6">
        <v>27700000</v>
      </c>
      <c r="O629" s="7">
        <f>Base[[#This Row],[Coût_salarié]]*10^9*Base[[#This Row],[Risque]]*Base[[#This Row],[Prévalence]]*Base[[#This Row],[Part_coûts_salarié]]/Base[[#This Row],[Population_emploi]]</f>
        <v>0</v>
      </c>
      <c r="P629">
        <v>50</v>
      </c>
      <c r="Q629">
        <v>50</v>
      </c>
      <c r="R629" s="2">
        <v>9.9999999999999978E-2</v>
      </c>
      <c r="S629" s="2">
        <v>0.33340000000000003</v>
      </c>
      <c r="T629" s="4">
        <v>0</v>
      </c>
      <c r="U629" s="4">
        <f>IF(Bases_annexes!$F$5=0,16.6587111018772,0.77*Bases_annexes!$F$5/(IF(OR(ISBLANK('Données_d''entrée'!$E$44),'Données_d''entrée'!$E$44=0),35,'Données_d''entrée'!$E$44)*52))</f>
        <v>16.658711101877199</v>
      </c>
      <c r="V629" s="4">
        <v>0</v>
      </c>
      <c r="W62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29" s="4">
        <v>234.5</v>
      </c>
      <c r="Y629" s="4">
        <f>(Base[[#This Row],['[Maladies']Coûts_évités_par_salarié]]+Base[[#This Row],['[Travail']Coûts_évités_par_salarié]])/Base[[#This Row],[Budget_santé_salarié]]</f>
        <v>0</v>
      </c>
      <c r="Z629" s="4">
        <v>0.8</v>
      </c>
      <c r="AA629" s="4">
        <f>Base[[#This Row],[Coût]]*Base[[#This Row],[Part_société_dépenses_santé]]</f>
        <v>0</v>
      </c>
      <c r="AB629" s="4">
        <v>67635124</v>
      </c>
      <c r="AC629" s="4">
        <v>82.297079063317852</v>
      </c>
      <c r="AD629" s="4">
        <v>0</v>
      </c>
      <c r="AE629" s="4">
        <f>Base[[#This Row],['[SC']Prévalence_travail]]*Base[[#This Row],[Population_emploi]]</f>
        <v>0</v>
      </c>
      <c r="AF629" s="4">
        <f>Base[[#This Row],[Risque]]*Base[[#This Row],['[SC']Patients_en_emploi]]</f>
        <v>0</v>
      </c>
      <c r="AG629" s="4">
        <v>0</v>
      </c>
      <c r="AH629" s="4">
        <f>IFERROR(Base[[#This Row],['[SC']Prestations]]/Base[[#This Row],['[SC']Patients_en_emploi]],0)</f>
        <v>0</v>
      </c>
      <c r="AI629" s="4">
        <v>51.7</v>
      </c>
      <c r="AJ62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29" s="4">
        <f>Base[[#This Row],['[SC']'[Travail']Coûts_évités]]/Base[[#This Row],[Population_emploi]]</f>
        <v>0</v>
      </c>
      <c r="AL629" s="4">
        <f>Base[[#This Row],[Coût_société]]*10^9*Base[[#This Row],[Risque]]*Base[[#This Row],[Prévalence]]*Base[[#This Row],[Part_coûts_salarié]]/Base[[#This Row],[Population_emploi]]</f>
        <v>0</v>
      </c>
      <c r="AM629" s="4">
        <f>IF(Base[[#This Row],[Pathologie]]&lt;&gt;"Dépendance",0,14909.24243952)</f>
        <v>14909.24243952</v>
      </c>
      <c r="AN629" s="4">
        <f>IF(Base[[#This Row],[Pathologie]]&lt;&gt;"Dépendance",0,1316000)</f>
        <v>1316000</v>
      </c>
      <c r="AO629" s="4">
        <f>IF(Base[[#This Row],[Pathologie]]&lt;&gt;"Dépendance",0,Base[[#This Row],['[SC']Coût_personne_dépendante]]*Base[[#This Row],['[SC']Nb_personnes_dépendantes]])</f>
        <v>19620563050.408321</v>
      </c>
      <c r="AP629" s="4">
        <f>IF(Base[[#This Row],[Pathologie]]&lt;&gt;"Dépendance",0,Base[[#This Row],['[SC']Coût_total_dépendance]]/Base[[#This Row],[Population_totale]])</f>
        <v>290.09428666691468</v>
      </c>
      <c r="AQ629" s="4">
        <f>IF(Base[[#This Row],[Pathologie]]&lt;&gt;"Dépendance",0,4.5)</f>
        <v>4.5</v>
      </c>
      <c r="AR629" s="4">
        <v>1.0077957276768601</v>
      </c>
      <c r="AS629" s="4">
        <f>Base[[#This Row],[Espérance_vie]]+Base[[#This Row],['[SC']Hausse_esp_de_vie]]-Base[[#This Row],['[SC']Durée_moyenne_dépendance_avt]]+Base[[#This Row],[Risque]]</f>
        <v>83.295053775693589</v>
      </c>
      <c r="AT62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2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29" s="4">
        <v>62.9</v>
      </c>
      <c r="AW629" s="4">
        <f t="shared" si="0"/>
        <v>336905600000</v>
      </c>
      <c r="AX629" s="4">
        <v>15049171</v>
      </c>
      <c r="AY629" s="4">
        <f>Base[[#This Row],['[SC']Budget_total_retraites]]/Base[[#This Row],['[SC']Nombre_de_retraités]]</f>
        <v>22386.987296509556</v>
      </c>
      <c r="AZ629" s="4">
        <f>Base[[#This Row],['[SC']Budget_par_retraité]]*Base[[#This Row],['[SC']Nb_personnes_dépendantes]]</f>
        <v>29461275282.206577</v>
      </c>
      <c r="BA629" s="4">
        <f>Base[[#This Row],['[SC']'[Dépendance']Coût_retraite_personnes_dépendantes]]/Base[[#This Row],[Population_totale]]</f>
        <v>435.59135460750508</v>
      </c>
      <c r="BB629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29" s="4">
        <f>Base[[#This Row],['[SC']'[Dépendance']Gains]]-Base[[#This Row],['[SC']'[Dépendance']Coûts]]</f>
        <v>131.21638512372317</v>
      </c>
      <c r="BD629" s="4">
        <f>IF(Base[[#This Row],[Pathologie]]&lt;&gt;"Mort prématurée",0,Base[[#This Row],[Risque]]*Base[[#This Row],[Prévalence]]*Base[[#This Row],[Population_totale]])</f>
        <v>0</v>
      </c>
      <c r="BE629" s="4">
        <v>52.74</v>
      </c>
      <c r="BF629" s="4">
        <f>Base[[#This Row],['[SC']Âge_moyen_retraite]]-Base[[#This Row],['[SC']'[Mort_prématurée']Âge_moyen_mort précoce]]</f>
        <v>10.159999999999997</v>
      </c>
      <c r="BG629" s="4">
        <f>Base[[#This Row],[Espérance_vie]]+Base[[#This Row],['[SC']Hausse_esp_de_vie]]-Base[[#This Row],['[SC']Âge_moyen_retraite]]</f>
        <v>20.404874790994718</v>
      </c>
      <c r="BH629" s="4">
        <v>106583.42676924677</v>
      </c>
      <c r="BI629" s="4">
        <v>97601.789429271477</v>
      </c>
      <c r="BJ629" s="4">
        <v>302038.31496633729</v>
      </c>
      <c r="BK629" s="4">
        <v>117293.58934859755</v>
      </c>
      <c r="BL629" s="4">
        <v>1523999.9999999995</v>
      </c>
      <c r="BM62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29" s="4">
        <v>294804.96027377353</v>
      </c>
      <c r="BO62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29" s="4">
        <f>(Base[[#This Row],['[SC']'[Mort_prématurée']Gains]]-Base[[#This Row],['[SC']'[Mort_prématurée']Coûts]])/Base[[#This Row],[Population_totale]]</f>
        <v>0</v>
      </c>
      <c r="BQ629" s="4">
        <f>IF(Base[[#This Row],[Pathologie]]&lt;&gt;"Mort prématurée",0,Base[[#This Row],[Risque]])</f>
        <v>0</v>
      </c>
      <c r="BR629" s="4">
        <v>2680</v>
      </c>
      <c r="BS62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2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29" s="4">
        <f>Base[[#This Row],[Prévalence_prod]]*(1-Base[[#This Row],[Risque]])*Base[[#This Row],[Durée_arrêt]]*Base[[#This Row],[Population_emploi]]</f>
        <v>0</v>
      </c>
      <c r="BV629" s="4">
        <f>Base[[#This Row],['[Prod']'[Absentéisme']Total_jours_absence_avant]]-Base[[#This Row],['[Prod']'[Absentéisme']Total_jours_absence_après]]</f>
        <v>0</v>
      </c>
      <c r="BW629" s="4">
        <f>IF(AND(Base[[#This Row],[Pathologie]]&lt;&gt;"Dépendance",Base[[#This Row],[Pathologie]]&lt;&gt;"Mort prématurée",Base[[#This Row],[Pathologie]]&lt;&gt;"Migraine"),0.0619,0)</f>
        <v>0</v>
      </c>
      <c r="BX629" s="4">
        <v>254</v>
      </c>
      <c r="BY62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2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29" s="4">
        <f>Base[[#This Row],[Prévalence_prod]]*Base[[#This Row],[Présentéisme]]*Base[[#This Row],['[Prod']Jours_ouvrés]]</f>
        <v>0</v>
      </c>
      <c r="CB629" s="4">
        <f>Base[[#This Row],[Prévalence_prod]]*(1-Base[[#This Row],[Risque]])*Base[[#This Row],[Présentéisme]]*Base[[#This Row],['[Prod']Jours_ouvrés]]</f>
        <v>0</v>
      </c>
      <c r="CC629" s="4">
        <f>Base[[#This Row],['[Prod']'[Présentéisme']Jours_avant]]-Base[[#This Row],['[Prod']'[Présentéisme']Jours_après]]</f>
        <v>0</v>
      </c>
      <c r="CD629" s="4">
        <f>Base[[#This Row],['[Prod']'[Présentéisme']Jours_gagnés]]/Base[[#This Row],['[Prod']Jours_ouvrés]]</f>
        <v>0</v>
      </c>
      <c r="CE629">
        <v>9.3428413505841454E-2</v>
      </c>
      <c r="CF629">
        <v>2.1038737314955848E-2</v>
      </c>
      <c r="CG629" s="4">
        <v>11</v>
      </c>
      <c r="CH629" s="4">
        <v>1.3966184516047948</v>
      </c>
      <c r="CI629" s="4">
        <v>1.4392894727292521E-2</v>
      </c>
      <c r="CJ629" s="4">
        <f>IF(Base[[#This Row],[Secteur]]&lt;&gt;"Moyenne",Base[[#This Row],['[Prod']'[Turnover']DMC_initiale]]*(1+Base[[#This Row],['[Prod']'[Turnover']Ecart_accidents]]*Base[[#This Row],['[Prod']Impact_motifs_turnover]]),CJ612*CI612+CJ613*CI613+CJ614*CI614+CJ615*CI615+CJ616*CI616+CJ617*CI617+CJ618*CI618+CJ619*CI619+CJ620*CI620+CJ621*CI621+CJ622*CI622+CJ623*CI623+CJ624*CI624+CJ625*CI625+CJ626*CI626+CJ627*CI627+CJ628*CI628)</f>
        <v>11.32321397605787</v>
      </c>
      <c r="CK629" s="4">
        <f>1/Base[[#This Row],['[Prod']'[Turnover']DMC_initiale]]</f>
        <v>9.0909090909090912E-2</v>
      </c>
      <c r="CL629" s="4">
        <f>1/Base[[#This Row],['[Prod']'[Turnover']DMC_finale]]</f>
        <v>8.8314148448879345E-2</v>
      </c>
    </row>
    <row r="630" spans="2:90" x14ac:dyDescent="0.25">
      <c r="B630" s="4" t="s">
        <v>316</v>
      </c>
      <c r="C630">
        <v>30</v>
      </c>
      <c r="D630" t="s">
        <v>85</v>
      </c>
      <c r="E630" t="s">
        <v>42</v>
      </c>
      <c r="F630" s="3">
        <v>4.4901789846988658</v>
      </c>
      <c r="G630" s="3">
        <v>0.371</v>
      </c>
      <c r="H630" s="3">
        <v>0.371</v>
      </c>
      <c r="I630" s="3">
        <v>0</v>
      </c>
      <c r="J630" s="3">
        <v>0</v>
      </c>
      <c r="K630" s="3">
        <v>7.0000000000000007E-2</v>
      </c>
      <c r="L630" s="2">
        <f>Base[[#This Row],[Coût]]*Base[[#This Row],[Part_ménages_dépenses_santé]]</f>
        <v>0</v>
      </c>
      <c r="M630" s="2">
        <v>0</v>
      </c>
      <c r="N630" s="6">
        <v>27700000</v>
      </c>
      <c r="O630" s="7">
        <f>Base[[#This Row],[Coût_salarié]]*10^9*Base[[#This Row],[Risque]]*Base[[#This Row],[Prévalence]]*Base[[#This Row],[Part_coûts_salarié]]/Base[[#This Row],[Population_emploi]]</f>
        <v>0</v>
      </c>
      <c r="P630">
        <v>50</v>
      </c>
      <c r="Q630">
        <v>50</v>
      </c>
      <c r="R630" s="2">
        <v>9.9999999999999978E-2</v>
      </c>
      <c r="S630" s="2">
        <v>0.33340000000000003</v>
      </c>
      <c r="T630" s="4">
        <v>0</v>
      </c>
      <c r="U630" s="4">
        <f>IF(Bases_annexes!$F$5=0,16.6587111018772,0.77*Bases_annexes!$F$5/(IF(OR(ISBLANK('Données_d''entrée'!$E$44),'Données_d''entrée'!$E$44=0),35,'Données_d''entrée'!$E$44)*52))</f>
        <v>16.658711101877199</v>
      </c>
      <c r="V630" s="4">
        <v>0</v>
      </c>
      <c r="W63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0" s="4">
        <v>234.5</v>
      </c>
      <c r="Y630" s="4">
        <f>(Base[[#This Row],['[Maladies']Coûts_évités_par_salarié]]+Base[[#This Row],['[Travail']Coûts_évités_par_salarié]])/Base[[#This Row],[Budget_santé_salarié]]</f>
        <v>0</v>
      </c>
      <c r="Z630" s="4">
        <v>0.8</v>
      </c>
      <c r="AA630" s="4">
        <f>Base[[#This Row],[Coût]]*Base[[#This Row],[Part_société_dépenses_santé]]</f>
        <v>0</v>
      </c>
      <c r="AB630" s="4">
        <v>67635124</v>
      </c>
      <c r="AC630" s="4">
        <v>82.297079063317852</v>
      </c>
      <c r="AD630" s="4">
        <v>0</v>
      </c>
      <c r="AE630" s="4">
        <f>Base[[#This Row],['[SC']Prévalence_travail]]*Base[[#This Row],[Population_emploi]]</f>
        <v>0</v>
      </c>
      <c r="AF630" s="4">
        <f>Base[[#This Row],[Risque]]*Base[[#This Row],['[SC']Patients_en_emploi]]</f>
        <v>0</v>
      </c>
      <c r="AG630" s="4">
        <v>0</v>
      </c>
      <c r="AH630" s="4">
        <f>IFERROR(Base[[#This Row],['[SC']Prestations]]/Base[[#This Row],['[SC']Patients_en_emploi]],0)</f>
        <v>0</v>
      </c>
      <c r="AI630" s="4">
        <v>51.7</v>
      </c>
      <c r="AJ63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0" s="4">
        <f>Base[[#This Row],['[SC']'[Travail']Coûts_évités]]/Base[[#This Row],[Population_emploi]]</f>
        <v>0</v>
      </c>
      <c r="AL630" s="4">
        <f>Base[[#This Row],[Coût_société]]*10^9*Base[[#This Row],[Risque]]*Base[[#This Row],[Prévalence]]*Base[[#This Row],[Part_coûts_salarié]]/Base[[#This Row],[Population_emploi]]</f>
        <v>0</v>
      </c>
      <c r="AM630" s="4">
        <f>IF(Base[[#This Row],[Pathologie]]&lt;&gt;"Dépendance",0,14909.24243952)</f>
        <v>14909.24243952</v>
      </c>
      <c r="AN630" s="4">
        <f>IF(Base[[#This Row],[Pathologie]]&lt;&gt;"Dépendance",0,1316000)</f>
        <v>1316000</v>
      </c>
      <c r="AO630" s="4">
        <f>IF(Base[[#This Row],[Pathologie]]&lt;&gt;"Dépendance",0,Base[[#This Row],['[SC']Coût_personne_dépendante]]*Base[[#This Row],['[SC']Nb_personnes_dépendantes]])</f>
        <v>19620563050.408321</v>
      </c>
      <c r="AP630" s="4">
        <f>IF(Base[[#This Row],[Pathologie]]&lt;&gt;"Dépendance",0,Base[[#This Row],['[SC']Coût_total_dépendance]]/Base[[#This Row],[Population_totale]])</f>
        <v>290.09428666691468</v>
      </c>
      <c r="AQ630" s="4">
        <f>IF(Base[[#This Row],[Pathologie]]&lt;&gt;"Dépendance",0,4.5)</f>
        <v>4.5</v>
      </c>
      <c r="AR630" s="4">
        <v>1.0077957276768601</v>
      </c>
      <c r="AS630" s="4">
        <f>Base[[#This Row],[Espérance_vie]]+Base[[#This Row],['[SC']Hausse_esp_de_vie]]-Base[[#This Row],['[SC']Durée_moyenne_dépendance_avt]]+Base[[#This Row],[Risque]]</f>
        <v>83.295053775693589</v>
      </c>
      <c r="AT63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0" s="4">
        <v>62.9</v>
      </c>
      <c r="AW630" s="4">
        <f t="shared" ref="AW630:AW646" si="21">336905600000</f>
        <v>336905600000</v>
      </c>
      <c r="AX630" s="4">
        <v>15049171</v>
      </c>
      <c r="AY630" s="4">
        <f>Base[[#This Row],['[SC']Budget_total_retraites]]/Base[[#This Row],['[SC']Nombre_de_retraités]]</f>
        <v>22386.987296509556</v>
      </c>
      <c r="AZ630" s="4">
        <f>Base[[#This Row],['[SC']Budget_par_retraité]]*Base[[#This Row],['[SC']Nb_personnes_dépendantes]]</f>
        <v>29461275282.206577</v>
      </c>
      <c r="BA630" s="4">
        <f>Base[[#This Row],['[SC']'[Dépendance']Coût_retraite_personnes_dépendantes]]/Base[[#This Row],[Population_totale]]</f>
        <v>435.59135460750508</v>
      </c>
      <c r="BB630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0" s="4">
        <f>Base[[#This Row],['[SC']'[Dépendance']Gains]]-Base[[#This Row],['[SC']'[Dépendance']Coûts]]</f>
        <v>131.21638512372317</v>
      </c>
      <c r="BD630" s="4">
        <f>IF(Base[[#This Row],[Pathologie]]&lt;&gt;"Mort prématurée",0,Base[[#This Row],[Risque]]*Base[[#This Row],[Prévalence]]*Base[[#This Row],[Population_totale]])</f>
        <v>0</v>
      </c>
      <c r="BE630" s="4">
        <v>52.74</v>
      </c>
      <c r="BF630" s="4">
        <f>Base[[#This Row],['[SC']Âge_moyen_retraite]]-Base[[#This Row],['[SC']'[Mort_prématurée']Âge_moyen_mort précoce]]</f>
        <v>10.159999999999997</v>
      </c>
      <c r="BG630" s="4">
        <f>Base[[#This Row],[Espérance_vie]]+Base[[#This Row],['[SC']Hausse_esp_de_vie]]-Base[[#This Row],['[SC']Âge_moyen_retraite]]</f>
        <v>20.404874790994718</v>
      </c>
      <c r="BH630" s="4">
        <v>106583.42676924677</v>
      </c>
      <c r="BI630" s="4">
        <v>97601.789429271477</v>
      </c>
      <c r="BJ630" s="4">
        <v>302038.31496633729</v>
      </c>
      <c r="BK630" s="4">
        <v>117293.58934859755</v>
      </c>
      <c r="BL630" s="4">
        <v>1523999.9999999995</v>
      </c>
      <c r="BM63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0" s="4">
        <v>294804.96027377353</v>
      </c>
      <c r="BO63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0" s="4">
        <f>(Base[[#This Row],['[SC']'[Mort_prématurée']Gains]]-Base[[#This Row],['[SC']'[Mort_prématurée']Coûts]])/Base[[#This Row],[Population_totale]]</f>
        <v>0</v>
      </c>
      <c r="BQ630" s="4">
        <f>IF(Base[[#This Row],[Pathologie]]&lt;&gt;"Mort prématurée",0,Base[[#This Row],[Risque]])</f>
        <v>0</v>
      </c>
      <c r="BR630" s="4">
        <v>2680</v>
      </c>
      <c r="BS63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0" s="4">
        <f>Base[[#This Row],[Prévalence_prod]]*(1-Base[[#This Row],[Risque]])*Base[[#This Row],[Durée_arrêt]]*Base[[#This Row],[Population_emploi]]</f>
        <v>0</v>
      </c>
      <c r="BV630" s="4">
        <f>Base[[#This Row],['[Prod']'[Absentéisme']Total_jours_absence_avant]]-Base[[#This Row],['[Prod']'[Absentéisme']Total_jours_absence_après]]</f>
        <v>0</v>
      </c>
      <c r="BW630" s="4">
        <f>IF(AND(Base[[#This Row],[Pathologie]]&lt;&gt;"Dépendance",Base[[#This Row],[Pathologie]]&lt;&gt;"Mort prématurée",Base[[#This Row],[Pathologie]]&lt;&gt;"Migraine"),0.0619,0)</f>
        <v>0</v>
      </c>
      <c r="BX630" s="4">
        <v>254</v>
      </c>
      <c r="BY63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0" s="4">
        <f>Base[[#This Row],[Prévalence_prod]]*Base[[#This Row],[Présentéisme]]*Base[[#This Row],['[Prod']Jours_ouvrés]]</f>
        <v>0</v>
      </c>
      <c r="CB630" s="4">
        <f>Base[[#This Row],[Prévalence_prod]]*(1-Base[[#This Row],[Risque]])*Base[[#This Row],[Présentéisme]]*Base[[#This Row],['[Prod']Jours_ouvrés]]</f>
        <v>0</v>
      </c>
      <c r="CC630" s="4">
        <f>Base[[#This Row],['[Prod']'[Présentéisme']Jours_avant]]-Base[[#This Row],['[Prod']'[Présentéisme']Jours_après]]</f>
        <v>0</v>
      </c>
      <c r="CD630" s="4">
        <f>Base[[#This Row],['[Prod']'[Présentéisme']Jours_gagnés]]/Base[[#This Row],['[Prod']Jours_ouvrés]]</f>
        <v>0</v>
      </c>
      <c r="CE630">
        <v>9.3428413505841454E-2</v>
      </c>
      <c r="CF630">
        <v>2.1038737314955848E-2</v>
      </c>
      <c r="CG630" s="4">
        <v>11</v>
      </c>
      <c r="CH630" s="4">
        <v>0.68054183762612652</v>
      </c>
      <c r="CI630" s="4">
        <v>1.2135452577082654E-2</v>
      </c>
      <c r="CJ630" s="4">
        <f>IF(Base[[#This Row],[Secteur]]&lt;&gt;"Moyenne",Base[[#This Row],['[Prod']'[Turnover']DMC_initiale]]*(1+Base[[#This Row],['[Prod']'[Turnover']Ecart_accidents]]*Base[[#This Row],['[Prod']Impact_motifs_turnover]]),CJ613*CI613+CJ614*CI614+CJ615*CI615+CJ616*CI616+CJ617*CI617+CJ618*CI618+CJ619*CI619+CJ620*CI620+CJ621*CI621+CJ622*CI622+CJ623*CI623+CJ624*CI624+CJ625*CI625+CJ626*CI626+CJ627*CI627+CJ628*CI628+CJ629*CI629)</f>
        <v>11.157495150490188</v>
      </c>
      <c r="CK630" s="4">
        <f>1/Base[[#This Row],['[Prod']'[Turnover']DMC_initiale]]</f>
        <v>9.0909090909090912E-2</v>
      </c>
      <c r="CL630" s="4">
        <f>1/Base[[#This Row],['[Prod']'[Turnover']DMC_finale]]</f>
        <v>8.9625851189015879E-2</v>
      </c>
    </row>
    <row r="631" spans="2:90" x14ac:dyDescent="0.25">
      <c r="B631" s="4" t="s">
        <v>317</v>
      </c>
      <c r="C631">
        <v>30</v>
      </c>
      <c r="D631" t="s">
        <v>85</v>
      </c>
      <c r="E631" t="s">
        <v>42</v>
      </c>
      <c r="F631" s="3">
        <v>4.4901789846988658</v>
      </c>
      <c r="G631" s="3">
        <v>0.371</v>
      </c>
      <c r="H631" s="3">
        <v>0.371</v>
      </c>
      <c r="I631" s="3">
        <v>0</v>
      </c>
      <c r="J631" s="3">
        <v>0</v>
      </c>
      <c r="K631" s="3">
        <v>7.0000000000000007E-2</v>
      </c>
      <c r="L631" s="2">
        <f>Base[[#This Row],[Coût]]*Base[[#This Row],[Part_ménages_dépenses_santé]]</f>
        <v>0</v>
      </c>
      <c r="M631" s="2">
        <v>0</v>
      </c>
      <c r="N631" s="6">
        <v>27700000</v>
      </c>
      <c r="O631" s="7">
        <f>Base[[#This Row],[Coût_salarié]]*10^9*Base[[#This Row],[Risque]]*Base[[#This Row],[Prévalence]]*Base[[#This Row],[Part_coûts_salarié]]/Base[[#This Row],[Population_emploi]]</f>
        <v>0</v>
      </c>
      <c r="P631">
        <v>50</v>
      </c>
      <c r="Q631">
        <v>50</v>
      </c>
      <c r="R631" s="2">
        <v>9.9999999999999978E-2</v>
      </c>
      <c r="S631" s="2">
        <v>0.33340000000000003</v>
      </c>
      <c r="T631" s="4">
        <v>0</v>
      </c>
      <c r="U631" s="4">
        <f>IF(Bases_annexes!$F$5=0,16.6587111018772,0.77*Bases_annexes!$F$5/(IF(OR(ISBLANK('Données_d''entrée'!$E$44),'Données_d''entrée'!$E$44=0),35,'Données_d''entrée'!$E$44)*52))</f>
        <v>16.658711101877199</v>
      </c>
      <c r="V631" s="4">
        <v>0</v>
      </c>
      <c r="W63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1" s="4">
        <v>234.5</v>
      </c>
      <c r="Y631" s="4">
        <f>(Base[[#This Row],['[Maladies']Coûts_évités_par_salarié]]+Base[[#This Row],['[Travail']Coûts_évités_par_salarié]])/Base[[#This Row],[Budget_santé_salarié]]</f>
        <v>0</v>
      </c>
      <c r="Z631" s="4">
        <v>0.8</v>
      </c>
      <c r="AA631" s="4">
        <f>Base[[#This Row],[Coût]]*Base[[#This Row],[Part_société_dépenses_santé]]</f>
        <v>0</v>
      </c>
      <c r="AB631" s="4">
        <v>67635124</v>
      </c>
      <c r="AC631" s="4">
        <v>82.297079063317852</v>
      </c>
      <c r="AD631" s="4">
        <v>0</v>
      </c>
      <c r="AE631" s="4">
        <f>Base[[#This Row],['[SC']Prévalence_travail]]*Base[[#This Row],[Population_emploi]]</f>
        <v>0</v>
      </c>
      <c r="AF631" s="4">
        <f>Base[[#This Row],[Risque]]*Base[[#This Row],['[SC']Patients_en_emploi]]</f>
        <v>0</v>
      </c>
      <c r="AG631" s="4">
        <v>0</v>
      </c>
      <c r="AH631" s="4">
        <f>IFERROR(Base[[#This Row],['[SC']Prestations]]/Base[[#This Row],['[SC']Patients_en_emploi]],0)</f>
        <v>0</v>
      </c>
      <c r="AI631" s="4">
        <v>51.7</v>
      </c>
      <c r="AJ63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1" s="4">
        <f>Base[[#This Row],['[SC']'[Travail']Coûts_évités]]/Base[[#This Row],[Population_emploi]]</f>
        <v>0</v>
      </c>
      <c r="AL631" s="4">
        <f>Base[[#This Row],[Coût_société]]*10^9*Base[[#This Row],[Risque]]*Base[[#This Row],[Prévalence]]*Base[[#This Row],[Part_coûts_salarié]]/Base[[#This Row],[Population_emploi]]</f>
        <v>0</v>
      </c>
      <c r="AM631" s="4">
        <f>IF(Base[[#This Row],[Pathologie]]&lt;&gt;"Dépendance",0,14909.24243952)</f>
        <v>14909.24243952</v>
      </c>
      <c r="AN631" s="4">
        <f>IF(Base[[#This Row],[Pathologie]]&lt;&gt;"Dépendance",0,1316000)</f>
        <v>1316000</v>
      </c>
      <c r="AO631" s="4">
        <f>IF(Base[[#This Row],[Pathologie]]&lt;&gt;"Dépendance",0,Base[[#This Row],['[SC']Coût_personne_dépendante]]*Base[[#This Row],['[SC']Nb_personnes_dépendantes]])</f>
        <v>19620563050.408321</v>
      </c>
      <c r="AP631" s="4">
        <f>IF(Base[[#This Row],[Pathologie]]&lt;&gt;"Dépendance",0,Base[[#This Row],['[SC']Coût_total_dépendance]]/Base[[#This Row],[Population_totale]])</f>
        <v>290.09428666691468</v>
      </c>
      <c r="AQ631" s="4">
        <f>IF(Base[[#This Row],[Pathologie]]&lt;&gt;"Dépendance",0,4.5)</f>
        <v>4.5</v>
      </c>
      <c r="AR631" s="4">
        <v>1.0077957276768601</v>
      </c>
      <c r="AS631" s="4">
        <f>Base[[#This Row],[Espérance_vie]]+Base[[#This Row],['[SC']Hausse_esp_de_vie]]-Base[[#This Row],['[SC']Durée_moyenne_dépendance_avt]]+Base[[#This Row],[Risque]]</f>
        <v>83.295053775693589</v>
      </c>
      <c r="AT63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1" s="4">
        <v>62.9</v>
      </c>
      <c r="AW631" s="4">
        <f t="shared" si="21"/>
        <v>336905600000</v>
      </c>
      <c r="AX631" s="4">
        <v>15049171</v>
      </c>
      <c r="AY631" s="4">
        <f>Base[[#This Row],['[SC']Budget_total_retraites]]/Base[[#This Row],['[SC']Nombre_de_retraités]]</f>
        <v>22386.987296509556</v>
      </c>
      <c r="AZ631" s="4">
        <f>Base[[#This Row],['[SC']Budget_par_retraité]]*Base[[#This Row],['[SC']Nb_personnes_dépendantes]]</f>
        <v>29461275282.206577</v>
      </c>
      <c r="BA631" s="4">
        <f>Base[[#This Row],['[SC']'[Dépendance']Coût_retraite_personnes_dépendantes]]/Base[[#This Row],[Population_totale]]</f>
        <v>435.59135460750508</v>
      </c>
      <c r="BB631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1" s="4">
        <f>Base[[#This Row],['[SC']'[Dépendance']Gains]]-Base[[#This Row],['[SC']'[Dépendance']Coûts]]</f>
        <v>131.21638512372317</v>
      </c>
      <c r="BD631" s="4">
        <f>IF(Base[[#This Row],[Pathologie]]&lt;&gt;"Mort prématurée",0,Base[[#This Row],[Risque]]*Base[[#This Row],[Prévalence]]*Base[[#This Row],[Population_totale]])</f>
        <v>0</v>
      </c>
      <c r="BE631" s="4">
        <v>52.74</v>
      </c>
      <c r="BF631" s="4">
        <f>Base[[#This Row],['[SC']Âge_moyen_retraite]]-Base[[#This Row],['[SC']'[Mort_prématurée']Âge_moyen_mort précoce]]</f>
        <v>10.159999999999997</v>
      </c>
      <c r="BG631" s="4">
        <f>Base[[#This Row],[Espérance_vie]]+Base[[#This Row],['[SC']Hausse_esp_de_vie]]-Base[[#This Row],['[SC']Âge_moyen_retraite]]</f>
        <v>20.404874790994718</v>
      </c>
      <c r="BH631" s="4">
        <v>106583.42676924677</v>
      </c>
      <c r="BI631" s="4">
        <v>97601.789429271477</v>
      </c>
      <c r="BJ631" s="4">
        <v>302038.31496633729</v>
      </c>
      <c r="BK631" s="4">
        <v>117293.58934859755</v>
      </c>
      <c r="BL631" s="4">
        <v>1523999.9999999995</v>
      </c>
      <c r="BM63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1" s="4">
        <v>294804.96027377353</v>
      </c>
      <c r="BO63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1" s="4">
        <f>(Base[[#This Row],['[SC']'[Mort_prématurée']Gains]]-Base[[#This Row],['[SC']'[Mort_prématurée']Coûts]])/Base[[#This Row],[Population_totale]]</f>
        <v>0</v>
      </c>
      <c r="BQ631" s="4">
        <f>IF(Base[[#This Row],[Pathologie]]&lt;&gt;"Mort prématurée",0,Base[[#This Row],[Risque]])</f>
        <v>0</v>
      </c>
      <c r="BR631" s="4">
        <v>2680</v>
      </c>
      <c r="BS63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1" s="4">
        <f>Base[[#This Row],[Prévalence_prod]]*(1-Base[[#This Row],[Risque]])*Base[[#This Row],[Durée_arrêt]]*Base[[#This Row],[Population_emploi]]</f>
        <v>0</v>
      </c>
      <c r="BV631" s="4">
        <f>Base[[#This Row],['[Prod']'[Absentéisme']Total_jours_absence_avant]]-Base[[#This Row],['[Prod']'[Absentéisme']Total_jours_absence_après]]</f>
        <v>0</v>
      </c>
      <c r="BW631" s="4">
        <f>IF(AND(Base[[#This Row],[Pathologie]]&lt;&gt;"Dépendance",Base[[#This Row],[Pathologie]]&lt;&gt;"Mort prématurée",Base[[#This Row],[Pathologie]]&lt;&gt;"Migraine"),0.0619,0)</f>
        <v>0</v>
      </c>
      <c r="BX631" s="4">
        <v>254</v>
      </c>
      <c r="BY63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1" s="4">
        <f>Base[[#This Row],[Prévalence_prod]]*Base[[#This Row],[Présentéisme]]*Base[[#This Row],['[Prod']Jours_ouvrés]]</f>
        <v>0</v>
      </c>
      <c r="CB631" s="4">
        <f>Base[[#This Row],[Prévalence_prod]]*(1-Base[[#This Row],[Risque]])*Base[[#This Row],[Présentéisme]]*Base[[#This Row],['[Prod']Jours_ouvrés]]</f>
        <v>0</v>
      </c>
      <c r="CC631" s="4">
        <f>Base[[#This Row],['[Prod']'[Présentéisme']Jours_avant]]-Base[[#This Row],['[Prod']'[Présentéisme']Jours_après]]</f>
        <v>0</v>
      </c>
      <c r="CD631" s="4">
        <f>Base[[#This Row],['[Prod']'[Présentéisme']Jours_gagnés]]/Base[[#This Row],['[Prod']Jours_ouvrés]]</f>
        <v>0</v>
      </c>
      <c r="CE631">
        <v>9.3428413505841454E-2</v>
      </c>
      <c r="CF631">
        <v>2.1038737314955848E-2</v>
      </c>
      <c r="CG631" s="4">
        <v>11</v>
      </c>
      <c r="CH631" s="4">
        <v>0.31563677172153043</v>
      </c>
      <c r="CI631" s="4">
        <v>1.3003350630813707E-4</v>
      </c>
      <c r="CJ631" s="4">
        <f>IF(Base[[#This Row],[Secteur]]&lt;&gt;"Moyenne",Base[[#This Row],['[Prod']'[Turnover']DMC_initiale]]*(1+Base[[#This Row],['[Prod']'[Turnover']Ecart_accidents]]*Base[[#This Row],['[Prod']Impact_motifs_turnover]]),CJ614*CI614+CJ615*CI615+CJ616*CI616+CJ617*CI617+CJ618*CI618+CJ619*CI619+CJ620*CI620+CJ621*CI621+CJ622*CI622+CJ623*CI623+CJ624*CI624+CJ625*CI625+CJ626*CI626+CJ627*CI627+CJ628*CI628+CJ629*CI629+CJ630*CI630)</f>
        <v>11.073046590399091</v>
      </c>
      <c r="CK631" s="4">
        <f>1/Base[[#This Row],['[Prod']'[Turnover']DMC_initiale]]</f>
        <v>9.0909090909090912E-2</v>
      </c>
      <c r="CL631" s="4">
        <f>1/Base[[#This Row],['[Prod']'[Turnover']DMC_finale]]</f>
        <v>9.030938250246795E-2</v>
      </c>
    </row>
    <row r="632" spans="2:90" x14ac:dyDescent="0.25">
      <c r="B632" s="4" t="s">
        <v>318</v>
      </c>
      <c r="C632">
        <v>30</v>
      </c>
      <c r="D632" t="s">
        <v>85</v>
      </c>
      <c r="E632" t="s">
        <v>42</v>
      </c>
      <c r="F632" s="3">
        <v>4.4901789846988658</v>
      </c>
      <c r="G632" s="3">
        <v>0.371</v>
      </c>
      <c r="H632" s="3">
        <v>0.371</v>
      </c>
      <c r="I632" s="3">
        <v>0</v>
      </c>
      <c r="J632" s="3">
        <v>0</v>
      </c>
      <c r="K632" s="3">
        <v>7.0000000000000007E-2</v>
      </c>
      <c r="L632" s="2">
        <f>Base[[#This Row],[Coût]]*Base[[#This Row],[Part_ménages_dépenses_santé]]</f>
        <v>0</v>
      </c>
      <c r="M632" s="2">
        <v>0</v>
      </c>
      <c r="N632" s="6">
        <v>27700000</v>
      </c>
      <c r="O632" s="7">
        <f>Base[[#This Row],[Coût_salarié]]*10^9*Base[[#This Row],[Risque]]*Base[[#This Row],[Prévalence]]*Base[[#This Row],[Part_coûts_salarié]]/Base[[#This Row],[Population_emploi]]</f>
        <v>0</v>
      </c>
      <c r="P632">
        <v>50</v>
      </c>
      <c r="Q632">
        <v>50</v>
      </c>
      <c r="R632" s="2">
        <v>9.9999999999999978E-2</v>
      </c>
      <c r="S632" s="2">
        <v>0.33340000000000003</v>
      </c>
      <c r="T632" s="4">
        <v>0</v>
      </c>
      <c r="U632" s="4">
        <f>IF(Bases_annexes!$F$5=0,16.6587111018772,0.77*Bases_annexes!$F$5/(IF(OR(ISBLANK('Données_d''entrée'!$E$44),'Données_d''entrée'!$E$44=0),35,'Données_d''entrée'!$E$44)*52))</f>
        <v>16.658711101877199</v>
      </c>
      <c r="V632" s="4">
        <v>0</v>
      </c>
      <c r="W63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2" s="4">
        <v>234.5</v>
      </c>
      <c r="Y632" s="4">
        <f>(Base[[#This Row],['[Maladies']Coûts_évités_par_salarié]]+Base[[#This Row],['[Travail']Coûts_évités_par_salarié]])/Base[[#This Row],[Budget_santé_salarié]]</f>
        <v>0</v>
      </c>
      <c r="Z632" s="4">
        <v>0.8</v>
      </c>
      <c r="AA632" s="4">
        <f>Base[[#This Row],[Coût]]*Base[[#This Row],[Part_société_dépenses_santé]]</f>
        <v>0</v>
      </c>
      <c r="AB632" s="4">
        <v>67635124</v>
      </c>
      <c r="AC632" s="4">
        <v>82.297079063317852</v>
      </c>
      <c r="AD632" s="4">
        <v>0</v>
      </c>
      <c r="AE632" s="4">
        <f>Base[[#This Row],['[SC']Prévalence_travail]]*Base[[#This Row],[Population_emploi]]</f>
        <v>0</v>
      </c>
      <c r="AF632" s="4">
        <f>Base[[#This Row],[Risque]]*Base[[#This Row],['[SC']Patients_en_emploi]]</f>
        <v>0</v>
      </c>
      <c r="AG632" s="4">
        <v>0</v>
      </c>
      <c r="AH632" s="4">
        <f>IFERROR(Base[[#This Row],['[SC']Prestations]]/Base[[#This Row],['[SC']Patients_en_emploi]],0)</f>
        <v>0</v>
      </c>
      <c r="AI632" s="4">
        <v>51.7</v>
      </c>
      <c r="AJ63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2" s="4">
        <f>Base[[#This Row],['[SC']'[Travail']Coûts_évités]]/Base[[#This Row],[Population_emploi]]</f>
        <v>0</v>
      </c>
      <c r="AL632" s="4">
        <f>Base[[#This Row],[Coût_société]]*10^9*Base[[#This Row],[Risque]]*Base[[#This Row],[Prévalence]]*Base[[#This Row],[Part_coûts_salarié]]/Base[[#This Row],[Population_emploi]]</f>
        <v>0</v>
      </c>
      <c r="AM632" s="4">
        <f>IF(Base[[#This Row],[Pathologie]]&lt;&gt;"Dépendance",0,14909.24243952)</f>
        <v>14909.24243952</v>
      </c>
      <c r="AN632" s="4">
        <f>IF(Base[[#This Row],[Pathologie]]&lt;&gt;"Dépendance",0,1316000)</f>
        <v>1316000</v>
      </c>
      <c r="AO632" s="4">
        <f>IF(Base[[#This Row],[Pathologie]]&lt;&gt;"Dépendance",0,Base[[#This Row],['[SC']Coût_personne_dépendante]]*Base[[#This Row],['[SC']Nb_personnes_dépendantes]])</f>
        <v>19620563050.408321</v>
      </c>
      <c r="AP632" s="4">
        <f>IF(Base[[#This Row],[Pathologie]]&lt;&gt;"Dépendance",0,Base[[#This Row],['[SC']Coût_total_dépendance]]/Base[[#This Row],[Population_totale]])</f>
        <v>290.09428666691468</v>
      </c>
      <c r="AQ632" s="4">
        <f>IF(Base[[#This Row],[Pathologie]]&lt;&gt;"Dépendance",0,4.5)</f>
        <v>4.5</v>
      </c>
      <c r="AR632" s="4">
        <v>1.0077957276768601</v>
      </c>
      <c r="AS632" s="4">
        <f>Base[[#This Row],[Espérance_vie]]+Base[[#This Row],['[SC']Hausse_esp_de_vie]]-Base[[#This Row],['[SC']Durée_moyenne_dépendance_avt]]+Base[[#This Row],[Risque]]</f>
        <v>83.295053775693589</v>
      </c>
      <c r="AT63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2" s="4">
        <v>62.9</v>
      </c>
      <c r="AW632" s="4">
        <f t="shared" si="21"/>
        <v>336905600000</v>
      </c>
      <c r="AX632" s="4">
        <v>15049171</v>
      </c>
      <c r="AY632" s="4">
        <f>Base[[#This Row],['[SC']Budget_total_retraites]]/Base[[#This Row],['[SC']Nombre_de_retraités]]</f>
        <v>22386.987296509556</v>
      </c>
      <c r="AZ632" s="4">
        <f>Base[[#This Row],['[SC']Budget_par_retraité]]*Base[[#This Row],['[SC']Nb_personnes_dépendantes]]</f>
        <v>29461275282.206577</v>
      </c>
      <c r="BA632" s="4">
        <f>Base[[#This Row],['[SC']'[Dépendance']Coût_retraite_personnes_dépendantes]]/Base[[#This Row],[Population_totale]]</f>
        <v>435.59135460750508</v>
      </c>
      <c r="BB632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2" s="4">
        <f>Base[[#This Row],['[SC']'[Dépendance']Gains]]-Base[[#This Row],['[SC']'[Dépendance']Coûts]]</f>
        <v>131.21638512372317</v>
      </c>
      <c r="BD632" s="4">
        <f>IF(Base[[#This Row],[Pathologie]]&lt;&gt;"Mort prématurée",0,Base[[#This Row],[Risque]]*Base[[#This Row],[Prévalence]]*Base[[#This Row],[Population_totale]])</f>
        <v>0</v>
      </c>
      <c r="BE632" s="4">
        <v>52.74</v>
      </c>
      <c r="BF632" s="4">
        <f>Base[[#This Row],['[SC']Âge_moyen_retraite]]-Base[[#This Row],['[SC']'[Mort_prématurée']Âge_moyen_mort précoce]]</f>
        <v>10.159999999999997</v>
      </c>
      <c r="BG632" s="4">
        <f>Base[[#This Row],[Espérance_vie]]+Base[[#This Row],['[SC']Hausse_esp_de_vie]]-Base[[#This Row],['[SC']Âge_moyen_retraite]]</f>
        <v>20.404874790994718</v>
      </c>
      <c r="BH632" s="4">
        <v>106583.42676924677</v>
      </c>
      <c r="BI632" s="4">
        <v>97601.789429271477</v>
      </c>
      <c r="BJ632" s="4">
        <v>302038.31496633729</v>
      </c>
      <c r="BK632" s="4">
        <v>117293.58934859755</v>
      </c>
      <c r="BL632" s="4">
        <v>1523999.9999999995</v>
      </c>
      <c r="BM63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2" s="4">
        <v>294804.96027377353</v>
      </c>
      <c r="BO63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2" s="4">
        <f>(Base[[#This Row],['[SC']'[Mort_prématurée']Gains]]-Base[[#This Row],['[SC']'[Mort_prématurée']Coûts]])/Base[[#This Row],[Population_totale]]</f>
        <v>0</v>
      </c>
      <c r="BQ632" s="4">
        <f>IF(Base[[#This Row],[Pathologie]]&lt;&gt;"Mort prématurée",0,Base[[#This Row],[Risque]])</f>
        <v>0</v>
      </c>
      <c r="BR632" s="4">
        <v>2680</v>
      </c>
      <c r="BS63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2" s="4">
        <f>Base[[#This Row],[Prévalence_prod]]*(1-Base[[#This Row],[Risque]])*Base[[#This Row],[Durée_arrêt]]*Base[[#This Row],[Population_emploi]]</f>
        <v>0</v>
      </c>
      <c r="BV632" s="4">
        <f>Base[[#This Row],['[Prod']'[Absentéisme']Total_jours_absence_avant]]-Base[[#This Row],['[Prod']'[Absentéisme']Total_jours_absence_après]]</f>
        <v>0</v>
      </c>
      <c r="BW632" s="4">
        <f>IF(AND(Base[[#This Row],[Pathologie]]&lt;&gt;"Dépendance",Base[[#This Row],[Pathologie]]&lt;&gt;"Mort prématurée",Base[[#This Row],[Pathologie]]&lt;&gt;"Migraine"),0.0619,0)</f>
        <v>0</v>
      </c>
      <c r="BX632" s="4">
        <v>254</v>
      </c>
      <c r="BY63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2" s="4">
        <f>Base[[#This Row],[Prévalence_prod]]*Base[[#This Row],[Présentéisme]]*Base[[#This Row],['[Prod']Jours_ouvrés]]</f>
        <v>0</v>
      </c>
      <c r="CB632" s="4">
        <f>Base[[#This Row],[Prévalence_prod]]*(1-Base[[#This Row],[Risque]])*Base[[#This Row],[Présentéisme]]*Base[[#This Row],['[Prod']Jours_ouvrés]]</f>
        <v>0</v>
      </c>
      <c r="CC632" s="4">
        <f>Base[[#This Row],['[Prod']'[Présentéisme']Jours_avant]]-Base[[#This Row],['[Prod']'[Présentéisme']Jours_après]]</f>
        <v>0</v>
      </c>
      <c r="CD632" s="4">
        <f>Base[[#This Row],['[Prod']'[Présentéisme']Jours_gagnés]]/Base[[#This Row],['[Prod']Jours_ouvrés]]</f>
        <v>0</v>
      </c>
      <c r="CE632">
        <v>9.3428413505841454E-2</v>
      </c>
      <c r="CF632">
        <v>2.1038737314955848E-2</v>
      </c>
      <c r="CG632" s="4">
        <v>11</v>
      </c>
      <c r="CH632" s="4">
        <v>1.1688035738877327</v>
      </c>
      <c r="CI632" s="4">
        <v>9.6557438521367826E-3</v>
      </c>
      <c r="CJ632" s="4">
        <f>IF(Base[[#This Row],[Secteur]]&lt;&gt;"Moyenne",Base[[#This Row],['[Prod']'[Turnover']DMC_initiale]]*(1+Base[[#This Row],['[Prod']'[Turnover']Ecart_accidents]]*Base[[#This Row],['[Prod']Impact_motifs_turnover]]),CJ615*CI615+CJ616*CI616+CJ617*CI617+CJ618*CI618+CJ619*CI619+CJ620*CI620+CJ621*CI621+CJ622*CI622+CJ623*CI623+CJ624*CI624+CJ625*CI625+CJ626*CI626+CJ627*CI627+CJ628*CI628+CJ629*CI629+CJ630*CI630+CJ631*CI631)</f>
        <v>11.270491665001861</v>
      </c>
      <c r="CK632" s="4">
        <f>1/Base[[#This Row],['[Prod']'[Turnover']DMC_initiale]]</f>
        <v>9.0909090909090912E-2</v>
      </c>
      <c r="CL632" s="4">
        <f>1/Base[[#This Row],['[Prod']'[Turnover']DMC_finale]]</f>
        <v>8.8727273815861069E-2</v>
      </c>
    </row>
    <row r="633" spans="2:90" x14ac:dyDescent="0.25">
      <c r="B633" s="4" t="s">
        <v>319</v>
      </c>
      <c r="C633">
        <v>30</v>
      </c>
      <c r="D633" t="s">
        <v>85</v>
      </c>
      <c r="E633" t="s">
        <v>42</v>
      </c>
      <c r="F633" s="3">
        <v>4.4901789846988658</v>
      </c>
      <c r="G633" s="3">
        <v>0.371</v>
      </c>
      <c r="H633" s="3">
        <v>0.371</v>
      </c>
      <c r="I633" s="3">
        <v>0</v>
      </c>
      <c r="J633" s="3">
        <v>0</v>
      </c>
      <c r="K633" s="3">
        <v>7.0000000000000007E-2</v>
      </c>
      <c r="L633" s="2">
        <f>Base[[#This Row],[Coût]]*Base[[#This Row],[Part_ménages_dépenses_santé]]</f>
        <v>0</v>
      </c>
      <c r="M633" s="2">
        <v>0</v>
      </c>
      <c r="N633" s="6">
        <v>27700000</v>
      </c>
      <c r="O633" s="7">
        <f>Base[[#This Row],[Coût_salarié]]*10^9*Base[[#This Row],[Risque]]*Base[[#This Row],[Prévalence]]*Base[[#This Row],[Part_coûts_salarié]]/Base[[#This Row],[Population_emploi]]</f>
        <v>0</v>
      </c>
      <c r="P633">
        <v>50</v>
      </c>
      <c r="Q633">
        <v>50</v>
      </c>
      <c r="R633" s="2">
        <v>9.9999999999999978E-2</v>
      </c>
      <c r="S633" s="2">
        <v>0.33340000000000003</v>
      </c>
      <c r="T633" s="4">
        <v>0</v>
      </c>
      <c r="U633" s="4">
        <f>IF(Bases_annexes!$F$5=0,16.6587111018772,0.77*Bases_annexes!$F$5/(IF(OR(ISBLANK('Données_d''entrée'!$E$44),'Données_d''entrée'!$E$44=0),35,'Données_d''entrée'!$E$44)*52))</f>
        <v>16.658711101877199</v>
      </c>
      <c r="V633" s="4">
        <v>0</v>
      </c>
      <c r="W63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3" s="4">
        <v>234.5</v>
      </c>
      <c r="Y633" s="4">
        <f>(Base[[#This Row],['[Maladies']Coûts_évités_par_salarié]]+Base[[#This Row],['[Travail']Coûts_évités_par_salarié]])/Base[[#This Row],[Budget_santé_salarié]]</f>
        <v>0</v>
      </c>
      <c r="Z633" s="4">
        <v>0.8</v>
      </c>
      <c r="AA633" s="4">
        <f>Base[[#This Row],[Coût]]*Base[[#This Row],[Part_société_dépenses_santé]]</f>
        <v>0</v>
      </c>
      <c r="AB633" s="4">
        <v>67635124</v>
      </c>
      <c r="AC633" s="4">
        <v>82.297079063317852</v>
      </c>
      <c r="AD633" s="4">
        <v>0</v>
      </c>
      <c r="AE633" s="4">
        <f>Base[[#This Row],['[SC']Prévalence_travail]]*Base[[#This Row],[Population_emploi]]</f>
        <v>0</v>
      </c>
      <c r="AF633" s="4">
        <f>Base[[#This Row],[Risque]]*Base[[#This Row],['[SC']Patients_en_emploi]]</f>
        <v>0</v>
      </c>
      <c r="AG633" s="4">
        <v>0</v>
      </c>
      <c r="AH633" s="4">
        <f>IFERROR(Base[[#This Row],['[SC']Prestations]]/Base[[#This Row],['[SC']Patients_en_emploi]],0)</f>
        <v>0</v>
      </c>
      <c r="AI633" s="4">
        <v>51.7</v>
      </c>
      <c r="AJ63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3" s="4">
        <f>Base[[#This Row],['[SC']'[Travail']Coûts_évités]]/Base[[#This Row],[Population_emploi]]</f>
        <v>0</v>
      </c>
      <c r="AL633" s="4">
        <f>Base[[#This Row],[Coût_société]]*10^9*Base[[#This Row],[Risque]]*Base[[#This Row],[Prévalence]]*Base[[#This Row],[Part_coûts_salarié]]/Base[[#This Row],[Population_emploi]]</f>
        <v>0</v>
      </c>
      <c r="AM633" s="4">
        <f>IF(Base[[#This Row],[Pathologie]]&lt;&gt;"Dépendance",0,14909.24243952)</f>
        <v>14909.24243952</v>
      </c>
      <c r="AN633" s="4">
        <f>IF(Base[[#This Row],[Pathologie]]&lt;&gt;"Dépendance",0,1316000)</f>
        <v>1316000</v>
      </c>
      <c r="AO633" s="4">
        <f>IF(Base[[#This Row],[Pathologie]]&lt;&gt;"Dépendance",0,Base[[#This Row],['[SC']Coût_personne_dépendante]]*Base[[#This Row],['[SC']Nb_personnes_dépendantes]])</f>
        <v>19620563050.408321</v>
      </c>
      <c r="AP633" s="4">
        <f>IF(Base[[#This Row],[Pathologie]]&lt;&gt;"Dépendance",0,Base[[#This Row],['[SC']Coût_total_dépendance]]/Base[[#This Row],[Population_totale]])</f>
        <v>290.09428666691468</v>
      </c>
      <c r="AQ633" s="4">
        <f>IF(Base[[#This Row],[Pathologie]]&lt;&gt;"Dépendance",0,4.5)</f>
        <v>4.5</v>
      </c>
      <c r="AR633" s="4">
        <v>1.0077957276768601</v>
      </c>
      <c r="AS633" s="4">
        <f>Base[[#This Row],[Espérance_vie]]+Base[[#This Row],['[SC']Hausse_esp_de_vie]]-Base[[#This Row],['[SC']Durée_moyenne_dépendance_avt]]+Base[[#This Row],[Risque]]</f>
        <v>83.295053775693589</v>
      </c>
      <c r="AT63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3" s="4">
        <v>62.9</v>
      </c>
      <c r="AW633" s="4">
        <f t="shared" si="21"/>
        <v>336905600000</v>
      </c>
      <c r="AX633" s="4">
        <v>15049171</v>
      </c>
      <c r="AY633" s="4">
        <f>Base[[#This Row],['[SC']Budget_total_retraites]]/Base[[#This Row],['[SC']Nombre_de_retraités]]</f>
        <v>22386.987296509556</v>
      </c>
      <c r="AZ633" s="4">
        <f>Base[[#This Row],['[SC']Budget_par_retraité]]*Base[[#This Row],['[SC']Nb_personnes_dépendantes]]</f>
        <v>29461275282.206577</v>
      </c>
      <c r="BA633" s="4">
        <f>Base[[#This Row],['[SC']'[Dépendance']Coût_retraite_personnes_dépendantes]]/Base[[#This Row],[Population_totale]]</f>
        <v>435.59135460750508</v>
      </c>
      <c r="BB633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3" s="4">
        <f>Base[[#This Row],['[SC']'[Dépendance']Gains]]-Base[[#This Row],['[SC']'[Dépendance']Coûts]]</f>
        <v>131.21638512372317</v>
      </c>
      <c r="BD633" s="4">
        <f>IF(Base[[#This Row],[Pathologie]]&lt;&gt;"Mort prématurée",0,Base[[#This Row],[Risque]]*Base[[#This Row],[Prévalence]]*Base[[#This Row],[Population_totale]])</f>
        <v>0</v>
      </c>
      <c r="BE633" s="4">
        <v>52.74</v>
      </c>
      <c r="BF633" s="4">
        <f>Base[[#This Row],['[SC']Âge_moyen_retraite]]-Base[[#This Row],['[SC']'[Mort_prématurée']Âge_moyen_mort précoce]]</f>
        <v>10.159999999999997</v>
      </c>
      <c r="BG633" s="4">
        <f>Base[[#This Row],[Espérance_vie]]+Base[[#This Row],['[SC']Hausse_esp_de_vie]]-Base[[#This Row],['[SC']Âge_moyen_retraite]]</f>
        <v>20.404874790994718</v>
      </c>
      <c r="BH633" s="4">
        <v>106583.42676924677</v>
      </c>
      <c r="BI633" s="4">
        <v>97601.789429271477</v>
      </c>
      <c r="BJ633" s="4">
        <v>302038.31496633729</v>
      </c>
      <c r="BK633" s="4">
        <v>117293.58934859755</v>
      </c>
      <c r="BL633" s="4">
        <v>1523999.9999999995</v>
      </c>
      <c r="BM63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3" s="4">
        <v>294804.96027377353</v>
      </c>
      <c r="BO63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3" s="4">
        <f>(Base[[#This Row],['[SC']'[Mort_prématurée']Gains]]-Base[[#This Row],['[SC']'[Mort_prématurée']Coûts]])/Base[[#This Row],[Population_totale]]</f>
        <v>0</v>
      </c>
      <c r="BQ633" s="4">
        <f>IF(Base[[#This Row],[Pathologie]]&lt;&gt;"Mort prématurée",0,Base[[#This Row],[Risque]])</f>
        <v>0</v>
      </c>
      <c r="BR633" s="4">
        <v>2680</v>
      </c>
      <c r="BS63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3" s="4">
        <f>Base[[#This Row],[Prévalence_prod]]*(1-Base[[#This Row],[Risque]])*Base[[#This Row],[Durée_arrêt]]*Base[[#This Row],[Population_emploi]]</f>
        <v>0</v>
      </c>
      <c r="BV633" s="4">
        <f>Base[[#This Row],['[Prod']'[Absentéisme']Total_jours_absence_avant]]-Base[[#This Row],['[Prod']'[Absentéisme']Total_jours_absence_après]]</f>
        <v>0</v>
      </c>
      <c r="BW633" s="4">
        <f>IF(AND(Base[[#This Row],[Pathologie]]&lt;&gt;"Dépendance",Base[[#This Row],[Pathologie]]&lt;&gt;"Mort prématurée",Base[[#This Row],[Pathologie]]&lt;&gt;"Migraine"),0.0619,0)</f>
        <v>0</v>
      </c>
      <c r="BX633" s="4">
        <v>254</v>
      </c>
      <c r="BY63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3" s="4">
        <f>Base[[#This Row],[Prévalence_prod]]*Base[[#This Row],[Présentéisme]]*Base[[#This Row],['[Prod']Jours_ouvrés]]</f>
        <v>0</v>
      </c>
      <c r="CB633" s="4">
        <f>Base[[#This Row],[Prévalence_prod]]*(1-Base[[#This Row],[Risque]])*Base[[#This Row],[Présentéisme]]*Base[[#This Row],['[Prod']Jours_ouvrés]]</f>
        <v>0</v>
      </c>
      <c r="CC633" s="4">
        <f>Base[[#This Row],['[Prod']'[Présentéisme']Jours_avant]]-Base[[#This Row],['[Prod']'[Présentéisme']Jours_après]]</f>
        <v>0</v>
      </c>
      <c r="CD633" s="4">
        <f>Base[[#This Row],['[Prod']'[Présentéisme']Jours_gagnés]]/Base[[#This Row],['[Prod']Jours_ouvrés]]</f>
        <v>0</v>
      </c>
      <c r="CE633">
        <v>9.3428413505841454E-2</v>
      </c>
      <c r="CF633">
        <v>2.1038737314955848E-2</v>
      </c>
      <c r="CG633" s="4">
        <v>11</v>
      </c>
      <c r="CH633" s="4">
        <v>0.52204401140486179</v>
      </c>
      <c r="CI633" s="4">
        <v>1.2443904150185675E-2</v>
      </c>
      <c r="CJ633" s="4">
        <f>IF(Base[[#This Row],[Secteur]]&lt;&gt;"Moyenne",Base[[#This Row],['[Prod']'[Turnover']DMC_initiale]]*(1+Base[[#This Row],['[Prod']'[Turnover']Ecart_accidents]]*Base[[#This Row],['[Prod']Impact_motifs_turnover]]),CJ616*CI616+CJ617*CI617+CJ618*CI618+CJ619*CI619+CJ620*CI620+CJ621*CI621+CJ622*CI622+CJ623*CI623+CJ624*CI624+CJ625*CI625+CJ626*CI626+CJ627*CI627+CJ628*CI628+CJ629*CI629+CJ630*CI630+CJ631*CI631+CJ632*CI632)</f>
        <v>11.120814615050721</v>
      </c>
      <c r="CK633" s="4">
        <f>1/Base[[#This Row],['[Prod']'[Turnover']DMC_initiale]]</f>
        <v>9.0909090909090912E-2</v>
      </c>
      <c r="CL633" s="4">
        <f>1/Base[[#This Row],['[Prod']'[Turnover']DMC_finale]]</f>
        <v>8.9921470199369843E-2</v>
      </c>
    </row>
    <row r="634" spans="2:90" x14ac:dyDescent="0.25">
      <c r="B634" s="4" t="s">
        <v>320</v>
      </c>
      <c r="C634">
        <v>30</v>
      </c>
      <c r="D634" t="s">
        <v>85</v>
      </c>
      <c r="E634" t="s">
        <v>42</v>
      </c>
      <c r="F634" s="3">
        <v>4.4901789846988658</v>
      </c>
      <c r="G634" s="3">
        <v>0.371</v>
      </c>
      <c r="H634" s="3">
        <v>0.371</v>
      </c>
      <c r="I634" s="3">
        <v>0</v>
      </c>
      <c r="J634" s="3">
        <v>0</v>
      </c>
      <c r="K634" s="3">
        <v>7.0000000000000007E-2</v>
      </c>
      <c r="L634" s="2">
        <f>Base[[#This Row],[Coût]]*Base[[#This Row],[Part_ménages_dépenses_santé]]</f>
        <v>0</v>
      </c>
      <c r="M634" s="2">
        <v>0</v>
      </c>
      <c r="N634" s="6">
        <v>27700000</v>
      </c>
      <c r="O634" s="7">
        <f>Base[[#This Row],[Coût_salarié]]*10^9*Base[[#This Row],[Risque]]*Base[[#This Row],[Prévalence]]*Base[[#This Row],[Part_coûts_salarié]]/Base[[#This Row],[Population_emploi]]</f>
        <v>0</v>
      </c>
      <c r="P634">
        <v>50</v>
      </c>
      <c r="Q634">
        <v>50</v>
      </c>
      <c r="R634" s="2">
        <v>9.9999999999999978E-2</v>
      </c>
      <c r="S634" s="2">
        <v>0.33340000000000003</v>
      </c>
      <c r="T634" s="4">
        <v>0</v>
      </c>
      <c r="U634" s="4">
        <f>IF(Bases_annexes!$F$5=0,16.6587111018772,0.77*Bases_annexes!$F$5/(IF(OR(ISBLANK('Données_d''entrée'!$E$44),'Données_d''entrée'!$E$44=0),35,'Données_d''entrée'!$E$44)*52))</f>
        <v>16.658711101877199</v>
      </c>
      <c r="V634" s="4">
        <v>0</v>
      </c>
      <c r="W63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4" s="4">
        <v>234.5</v>
      </c>
      <c r="Y634" s="4">
        <f>(Base[[#This Row],['[Maladies']Coûts_évités_par_salarié]]+Base[[#This Row],['[Travail']Coûts_évités_par_salarié]])/Base[[#This Row],[Budget_santé_salarié]]</f>
        <v>0</v>
      </c>
      <c r="Z634" s="4">
        <v>0.8</v>
      </c>
      <c r="AA634" s="4">
        <f>Base[[#This Row],[Coût]]*Base[[#This Row],[Part_société_dépenses_santé]]</f>
        <v>0</v>
      </c>
      <c r="AB634" s="4">
        <v>67635124</v>
      </c>
      <c r="AC634" s="4">
        <v>82.297079063317852</v>
      </c>
      <c r="AD634" s="4">
        <v>0</v>
      </c>
      <c r="AE634" s="4">
        <f>Base[[#This Row],['[SC']Prévalence_travail]]*Base[[#This Row],[Population_emploi]]</f>
        <v>0</v>
      </c>
      <c r="AF634" s="4">
        <f>Base[[#This Row],[Risque]]*Base[[#This Row],['[SC']Patients_en_emploi]]</f>
        <v>0</v>
      </c>
      <c r="AG634" s="4">
        <v>0</v>
      </c>
      <c r="AH634" s="4">
        <f>IFERROR(Base[[#This Row],['[SC']Prestations]]/Base[[#This Row],['[SC']Patients_en_emploi]],0)</f>
        <v>0</v>
      </c>
      <c r="AI634" s="4">
        <v>51.7</v>
      </c>
      <c r="AJ63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4" s="4">
        <f>Base[[#This Row],['[SC']'[Travail']Coûts_évités]]/Base[[#This Row],[Population_emploi]]</f>
        <v>0</v>
      </c>
      <c r="AL634" s="4">
        <f>Base[[#This Row],[Coût_société]]*10^9*Base[[#This Row],[Risque]]*Base[[#This Row],[Prévalence]]*Base[[#This Row],[Part_coûts_salarié]]/Base[[#This Row],[Population_emploi]]</f>
        <v>0</v>
      </c>
      <c r="AM634" s="4">
        <f>IF(Base[[#This Row],[Pathologie]]&lt;&gt;"Dépendance",0,14909.24243952)</f>
        <v>14909.24243952</v>
      </c>
      <c r="AN634" s="4">
        <f>IF(Base[[#This Row],[Pathologie]]&lt;&gt;"Dépendance",0,1316000)</f>
        <v>1316000</v>
      </c>
      <c r="AO634" s="4">
        <f>IF(Base[[#This Row],[Pathologie]]&lt;&gt;"Dépendance",0,Base[[#This Row],['[SC']Coût_personne_dépendante]]*Base[[#This Row],['[SC']Nb_personnes_dépendantes]])</f>
        <v>19620563050.408321</v>
      </c>
      <c r="AP634" s="4">
        <f>IF(Base[[#This Row],[Pathologie]]&lt;&gt;"Dépendance",0,Base[[#This Row],['[SC']Coût_total_dépendance]]/Base[[#This Row],[Population_totale]])</f>
        <v>290.09428666691468</v>
      </c>
      <c r="AQ634" s="4">
        <f>IF(Base[[#This Row],[Pathologie]]&lt;&gt;"Dépendance",0,4.5)</f>
        <v>4.5</v>
      </c>
      <c r="AR634" s="4">
        <v>1.0077957276768601</v>
      </c>
      <c r="AS634" s="4">
        <f>Base[[#This Row],[Espérance_vie]]+Base[[#This Row],['[SC']Hausse_esp_de_vie]]-Base[[#This Row],['[SC']Durée_moyenne_dépendance_avt]]+Base[[#This Row],[Risque]]</f>
        <v>83.295053775693589</v>
      </c>
      <c r="AT63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4" s="4">
        <v>62.9</v>
      </c>
      <c r="AW634" s="4">
        <f t="shared" si="21"/>
        <v>336905600000</v>
      </c>
      <c r="AX634" s="4">
        <v>15049171</v>
      </c>
      <c r="AY634" s="4">
        <f>Base[[#This Row],['[SC']Budget_total_retraites]]/Base[[#This Row],['[SC']Nombre_de_retraités]]</f>
        <v>22386.987296509556</v>
      </c>
      <c r="AZ634" s="4">
        <f>Base[[#This Row],['[SC']Budget_par_retraité]]*Base[[#This Row],['[SC']Nb_personnes_dépendantes]]</f>
        <v>29461275282.206577</v>
      </c>
      <c r="BA634" s="4">
        <f>Base[[#This Row],['[SC']'[Dépendance']Coût_retraite_personnes_dépendantes]]/Base[[#This Row],[Population_totale]]</f>
        <v>435.59135460750508</v>
      </c>
      <c r="BB634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4" s="4">
        <f>Base[[#This Row],['[SC']'[Dépendance']Gains]]-Base[[#This Row],['[SC']'[Dépendance']Coûts]]</f>
        <v>131.21638512372317</v>
      </c>
      <c r="BD634" s="4">
        <f>IF(Base[[#This Row],[Pathologie]]&lt;&gt;"Mort prématurée",0,Base[[#This Row],[Risque]]*Base[[#This Row],[Prévalence]]*Base[[#This Row],[Population_totale]])</f>
        <v>0</v>
      </c>
      <c r="BE634" s="4">
        <v>52.74</v>
      </c>
      <c r="BF634" s="4">
        <f>Base[[#This Row],['[SC']Âge_moyen_retraite]]-Base[[#This Row],['[SC']'[Mort_prématurée']Âge_moyen_mort précoce]]</f>
        <v>10.159999999999997</v>
      </c>
      <c r="BG634" s="4">
        <f>Base[[#This Row],[Espérance_vie]]+Base[[#This Row],['[SC']Hausse_esp_de_vie]]-Base[[#This Row],['[SC']Âge_moyen_retraite]]</f>
        <v>20.404874790994718</v>
      </c>
      <c r="BH634" s="4">
        <v>106583.42676924677</v>
      </c>
      <c r="BI634" s="4">
        <v>97601.789429271477</v>
      </c>
      <c r="BJ634" s="4">
        <v>302038.31496633729</v>
      </c>
      <c r="BK634" s="4">
        <v>117293.58934859755</v>
      </c>
      <c r="BL634" s="4">
        <v>1523999.9999999995</v>
      </c>
      <c r="BM63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4" s="4">
        <v>294804.96027377353</v>
      </c>
      <c r="BO63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4" s="4">
        <f>(Base[[#This Row],['[SC']'[Mort_prématurée']Gains]]-Base[[#This Row],['[SC']'[Mort_prématurée']Coûts]])/Base[[#This Row],[Population_totale]]</f>
        <v>0</v>
      </c>
      <c r="BQ634" s="4">
        <f>IF(Base[[#This Row],[Pathologie]]&lt;&gt;"Mort prématurée",0,Base[[#This Row],[Risque]])</f>
        <v>0</v>
      </c>
      <c r="BR634" s="4">
        <v>2680</v>
      </c>
      <c r="BS63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4" s="4">
        <f>Base[[#This Row],[Prévalence_prod]]*(1-Base[[#This Row],[Risque]])*Base[[#This Row],[Durée_arrêt]]*Base[[#This Row],[Population_emploi]]</f>
        <v>0</v>
      </c>
      <c r="BV634" s="4">
        <f>Base[[#This Row],['[Prod']'[Absentéisme']Total_jours_absence_avant]]-Base[[#This Row],['[Prod']'[Absentéisme']Total_jours_absence_après]]</f>
        <v>0</v>
      </c>
      <c r="BW634" s="4">
        <f>IF(AND(Base[[#This Row],[Pathologie]]&lt;&gt;"Dépendance",Base[[#This Row],[Pathologie]]&lt;&gt;"Mort prématurée",Base[[#This Row],[Pathologie]]&lt;&gt;"Migraine"),0.0619,0)</f>
        <v>0</v>
      </c>
      <c r="BX634" s="4">
        <v>254</v>
      </c>
      <c r="BY63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4" s="4">
        <f>Base[[#This Row],[Prévalence_prod]]*Base[[#This Row],[Présentéisme]]*Base[[#This Row],['[Prod']Jours_ouvrés]]</f>
        <v>0</v>
      </c>
      <c r="CB634" s="4">
        <f>Base[[#This Row],[Prévalence_prod]]*(1-Base[[#This Row],[Risque]])*Base[[#This Row],[Présentéisme]]*Base[[#This Row],['[Prod']Jours_ouvrés]]</f>
        <v>0</v>
      </c>
      <c r="CC634" s="4">
        <f>Base[[#This Row],['[Prod']'[Présentéisme']Jours_avant]]-Base[[#This Row],['[Prod']'[Présentéisme']Jours_après]]</f>
        <v>0</v>
      </c>
      <c r="CD634" s="4">
        <f>Base[[#This Row],['[Prod']'[Présentéisme']Jours_gagnés]]/Base[[#This Row],['[Prod']Jours_ouvrés]]</f>
        <v>0</v>
      </c>
      <c r="CE634">
        <v>9.3428413505841454E-2</v>
      </c>
      <c r="CF634">
        <v>2.1038737314955848E-2</v>
      </c>
      <c r="CG634" s="4">
        <v>11</v>
      </c>
      <c r="CH634" s="4">
        <v>0.49446424657188709</v>
      </c>
      <c r="CI634" s="4">
        <v>1.0795805058605798E-2</v>
      </c>
      <c r="CJ634" s="4">
        <f>IF(Base[[#This Row],[Secteur]]&lt;&gt;"Moyenne",Base[[#This Row],['[Prod']'[Turnover']DMC_initiale]]*(1+Base[[#This Row],['[Prod']'[Turnover']Ecart_accidents]]*Base[[#This Row],['[Prod']Impact_motifs_turnover]]),CJ617*CI617+CJ618*CI618+CJ619*CI619+CJ620*CI620+CJ621*CI621+CJ622*CI622+CJ623*CI623+CJ624*CI624+CJ625*CI625+CJ626*CI626+CJ627*CI627+CJ628*CI628+CJ629*CI629+CJ630*CI630+CJ631*CI631+CJ632*CI632+CJ633*CI633)</f>
        <v>11.114431937347899</v>
      </c>
      <c r="CK634" s="4">
        <f>1/Base[[#This Row],['[Prod']'[Turnover']DMC_initiale]]</f>
        <v>9.0909090909090912E-2</v>
      </c>
      <c r="CL634" s="4">
        <f>1/Base[[#This Row],['[Prod']'[Turnover']DMC_finale]]</f>
        <v>8.9973109344409538E-2</v>
      </c>
    </row>
    <row r="635" spans="2:90" x14ac:dyDescent="0.25">
      <c r="B635" s="4" t="s">
        <v>321</v>
      </c>
      <c r="C635">
        <v>30</v>
      </c>
      <c r="D635" t="s">
        <v>85</v>
      </c>
      <c r="E635" t="s">
        <v>42</v>
      </c>
      <c r="F635" s="3">
        <v>4.4901789846988658</v>
      </c>
      <c r="G635" s="3">
        <v>0.371</v>
      </c>
      <c r="H635" s="3">
        <v>0.371</v>
      </c>
      <c r="I635" s="3">
        <v>0</v>
      </c>
      <c r="J635" s="3">
        <v>0</v>
      </c>
      <c r="K635" s="3">
        <v>7.0000000000000007E-2</v>
      </c>
      <c r="L635" s="2">
        <f>Base[[#This Row],[Coût]]*Base[[#This Row],[Part_ménages_dépenses_santé]]</f>
        <v>0</v>
      </c>
      <c r="M635" s="2">
        <v>0</v>
      </c>
      <c r="N635" s="6">
        <v>27700000</v>
      </c>
      <c r="O635" s="7">
        <f>Base[[#This Row],[Coût_salarié]]*10^9*Base[[#This Row],[Risque]]*Base[[#This Row],[Prévalence]]*Base[[#This Row],[Part_coûts_salarié]]/Base[[#This Row],[Population_emploi]]</f>
        <v>0</v>
      </c>
      <c r="P635">
        <v>50</v>
      </c>
      <c r="Q635">
        <v>50</v>
      </c>
      <c r="R635" s="2">
        <v>9.9999999999999978E-2</v>
      </c>
      <c r="S635" s="2">
        <v>0.33340000000000003</v>
      </c>
      <c r="T635" s="4">
        <v>0</v>
      </c>
      <c r="U635" s="4">
        <f>IF(Bases_annexes!$F$5=0,16.6587111018772,0.77*Bases_annexes!$F$5/(IF(OR(ISBLANK('Données_d''entrée'!$E$44),'Données_d''entrée'!$E$44=0),35,'Données_d''entrée'!$E$44)*52))</f>
        <v>16.658711101877199</v>
      </c>
      <c r="V635" s="4">
        <v>0</v>
      </c>
      <c r="W63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5" s="4">
        <v>234.5</v>
      </c>
      <c r="Y635" s="4">
        <f>(Base[[#This Row],['[Maladies']Coûts_évités_par_salarié]]+Base[[#This Row],['[Travail']Coûts_évités_par_salarié]])/Base[[#This Row],[Budget_santé_salarié]]</f>
        <v>0</v>
      </c>
      <c r="Z635" s="4">
        <v>0.8</v>
      </c>
      <c r="AA635" s="4">
        <f>Base[[#This Row],[Coût]]*Base[[#This Row],[Part_société_dépenses_santé]]</f>
        <v>0</v>
      </c>
      <c r="AB635" s="4">
        <v>67635124</v>
      </c>
      <c r="AC635" s="4">
        <v>82.297079063317852</v>
      </c>
      <c r="AD635" s="4">
        <v>0</v>
      </c>
      <c r="AE635" s="4">
        <f>Base[[#This Row],['[SC']Prévalence_travail]]*Base[[#This Row],[Population_emploi]]</f>
        <v>0</v>
      </c>
      <c r="AF635" s="4">
        <f>Base[[#This Row],[Risque]]*Base[[#This Row],['[SC']Patients_en_emploi]]</f>
        <v>0</v>
      </c>
      <c r="AG635" s="4">
        <v>0</v>
      </c>
      <c r="AH635" s="4">
        <f>IFERROR(Base[[#This Row],['[SC']Prestations]]/Base[[#This Row],['[SC']Patients_en_emploi]],0)</f>
        <v>0</v>
      </c>
      <c r="AI635" s="4">
        <v>51.7</v>
      </c>
      <c r="AJ63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5" s="4">
        <f>Base[[#This Row],['[SC']'[Travail']Coûts_évités]]/Base[[#This Row],[Population_emploi]]</f>
        <v>0</v>
      </c>
      <c r="AL635" s="4">
        <f>Base[[#This Row],[Coût_société]]*10^9*Base[[#This Row],[Risque]]*Base[[#This Row],[Prévalence]]*Base[[#This Row],[Part_coûts_salarié]]/Base[[#This Row],[Population_emploi]]</f>
        <v>0</v>
      </c>
      <c r="AM635" s="4">
        <f>IF(Base[[#This Row],[Pathologie]]&lt;&gt;"Dépendance",0,14909.24243952)</f>
        <v>14909.24243952</v>
      </c>
      <c r="AN635" s="4">
        <f>IF(Base[[#This Row],[Pathologie]]&lt;&gt;"Dépendance",0,1316000)</f>
        <v>1316000</v>
      </c>
      <c r="AO635" s="4">
        <f>IF(Base[[#This Row],[Pathologie]]&lt;&gt;"Dépendance",0,Base[[#This Row],['[SC']Coût_personne_dépendante]]*Base[[#This Row],['[SC']Nb_personnes_dépendantes]])</f>
        <v>19620563050.408321</v>
      </c>
      <c r="AP635" s="4">
        <f>IF(Base[[#This Row],[Pathologie]]&lt;&gt;"Dépendance",0,Base[[#This Row],['[SC']Coût_total_dépendance]]/Base[[#This Row],[Population_totale]])</f>
        <v>290.09428666691468</v>
      </c>
      <c r="AQ635" s="4">
        <f>IF(Base[[#This Row],[Pathologie]]&lt;&gt;"Dépendance",0,4.5)</f>
        <v>4.5</v>
      </c>
      <c r="AR635" s="4">
        <v>1.0077957276768601</v>
      </c>
      <c r="AS635" s="4">
        <f>Base[[#This Row],[Espérance_vie]]+Base[[#This Row],['[SC']Hausse_esp_de_vie]]-Base[[#This Row],['[SC']Durée_moyenne_dépendance_avt]]+Base[[#This Row],[Risque]]</f>
        <v>83.295053775693589</v>
      </c>
      <c r="AT63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5" s="4">
        <v>62.9</v>
      </c>
      <c r="AW635" s="4">
        <f t="shared" si="21"/>
        <v>336905600000</v>
      </c>
      <c r="AX635" s="4">
        <v>15049171</v>
      </c>
      <c r="AY635" s="4">
        <f>Base[[#This Row],['[SC']Budget_total_retraites]]/Base[[#This Row],['[SC']Nombre_de_retraités]]</f>
        <v>22386.987296509556</v>
      </c>
      <c r="AZ635" s="4">
        <f>Base[[#This Row],['[SC']Budget_par_retraité]]*Base[[#This Row],['[SC']Nb_personnes_dépendantes]]</f>
        <v>29461275282.206577</v>
      </c>
      <c r="BA635" s="4">
        <f>Base[[#This Row],['[SC']'[Dépendance']Coût_retraite_personnes_dépendantes]]/Base[[#This Row],[Population_totale]]</f>
        <v>435.59135460750508</v>
      </c>
      <c r="BB635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5" s="4">
        <f>Base[[#This Row],['[SC']'[Dépendance']Gains]]-Base[[#This Row],['[SC']'[Dépendance']Coûts]]</f>
        <v>131.21638512372317</v>
      </c>
      <c r="BD635" s="4">
        <f>IF(Base[[#This Row],[Pathologie]]&lt;&gt;"Mort prématurée",0,Base[[#This Row],[Risque]]*Base[[#This Row],[Prévalence]]*Base[[#This Row],[Population_totale]])</f>
        <v>0</v>
      </c>
      <c r="BE635" s="4">
        <v>52.74</v>
      </c>
      <c r="BF635" s="4">
        <f>Base[[#This Row],['[SC']Âge_moyen_retraite]]-Base[[#This Row],['[SC']'[Mort_prématurée']Âge_moyen_mort précoce]]</f>
        <v>10.159999999999997</v>
      </c>
      <c r="BG635" s="4">
        <f>Base[[#This Row],[Espérance_vie]]+Base[[#This Row],['[SC']Hausse_esp_de_vie]]-Base[[#This Row],['[SC']Âge_moyen_retraite]]</f>
        <v>20.404874790994718</v>
      </c>
      <c r="BH635" s="4">
        <v>106583.42676924677</v>
      </c>
      <c r="BI635" s="4">
        <v>97601.789429271477</v>
      </c>
      <c r="BJ635" s="4">
        <v>302038.31496633729</v>
      </c>
      <c r="BK635" s="4">
        <v>117293.58934859755</v>
      </c>
      <c r="BL635" s="4">
        <v>1523999.9999999995</v>
      </c>
      <c r="BM63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5" s="4">
        <v>294804.96027377353</v>
      </c>
      <c r="BO63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5" s="4">
        <f>(Base[[#This Row],['[SC']'[Mort_prématurée']Gains]]-Base[[#This Row],['[SC']'[Mort_prématurée']Coûts]])/Base[[#This Row],[Population_totale]]</f>
        <v>0</v>
      </c>
      <c r="BQ635" s="4">
        <f>IF(Base[[#This Row],[Pathologie]]&lt;&gt;"Mort prématurée",0,Base[[#This Row],[Risque]])</f>
        <v>0</v>
      </c>
      <c r="BR635" s="4">
        <v>2680</v>
      </c>
      <c r="BS63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5" s="4">
        <f>Base[[#This Row],[Prévalence_prod]]*(1-Base[[#This Row],[Risque]])*Base[[#This Row],[Durée_arrêt]]*Base[[#This Row],[Population_emploi]]</f>
        <v>0</v>
      </c>
      <c r="BV635" s="4">
        <f>Base[[#This Row],['[Prod']'[Absentéisme']Total_jours_absence_avant]]-Base[[#This Row],['[Prod']'[Absentéisme']Total_jours_absence_après]]</f>
        <v>0</v>
      </c>
      <c r="BW635" s="4">
        <f>IF(AND(Base[[#This Row],[Pathologie]]&lt;&gt;"Dépendance",Base[[#This Row],[Pathologie]]&lt;&gt;"Mort prématurée",Base[[#This Row],[Pathologie]]&lt;&gt;"Migraine"),0.0619,0)</f>
        <v>0</v>
      </c>
      <c r="BX635" s="4">
        <v>254</v>
      </c>
      <c r="BY63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5" s="4">
        <f>Base[[#This Row],[Prévalence_prod]]*Base[[#This Row],[Présentéisme]]*Base[[#This Row],['[Prod']Jours_ouvrés]]</f>
        <v>0</v>
      </c>
      <c r="CB635" s="4">
        <f>Base[[#This Row],[Prévalence_prod]]*(1-Base[[#This Row],[Risque]])*Base[[#This Row],[Présentéisme]]*Base[[#This Row],['[Prod']Jours_ouvrés]]</f>
        <v>0</v>
      </c>
      <c r="CC635" s="4">
        <f>Base[[#This Row],['[Prod']'[Présentéisme']Jours_avant]]-Base[[#This Row],['[Prod']'[Présentéisme']Jours_après]]</f>
        <v>0</v>
      </c>
      <c r="CD635" s="4">
        <f>Base[[#This Row],['[Prod']'[Présentéisme']Jours_gagnés]]/Base[[#This Row],['[Prod']Jours_ouvrés]]</f>
        <v>0</v>
      </c>
      <c r="CE635">
        <v>9.3428413505841454E-2</v>
      </c>
      <c r="CF635">
        <v>2.1038737314955848E-2</v>
      </c>
      <c r="CG635" s="4">
        <v>11</v>
      </c>
      <c r="CH635" s="4">
        <v>0.85274500894619554</v>
      </c>
      <c r="CI635" s="4">
        <v>4.2903496994109176E-2</v>
      </c>
      <c r="CJ635" s="4">
        <f>IF(Base[[#This Row],[Secteur]]&lt;&gt;"Moyenne",Base[[#This Row],['[Prod']'[Turnover']DMC_initiale]]*(1+Base[[#This Row],['[Prod']'[Turnover']Ecart_accidents]]*Base[[#This Row],['[Prod']Impact_motifs_turnover]]),CJ618*CI618+CJ619*CI619+CJ620*CI620+CJ621*CI621+CJ622*CI622+CJ623*CI623+CJ624*CI624+CJ625*CI625+CJ626*CI626+CJ627*CI627+CJ628*CI628+CJ629*CI629+CJ630*CI630+CJ631*CI631+CJ632*CI632+CJ633*CI633+CJ634*CI634)</f>
        <v>11.197347460638447</v>
      </c>
      <c r="CK635" s="4">
        <f>1/Base[[#This Row],['[Prod']'[Turnover']DMC_initiale]]</f>
        <v>9.0909090909090912E-2</v>
      </c>
      <c r="CL635" s="4">
        <f>1/Base[[#This Row],['[Prod']'[Turnover']DMC_finale]]</f>
        <v>8.930686517635153E-2</v>
      </c>
    </row>
    <row r="636" spans="2:90" x14ac:dyDescent="0.25">
      <c r="B636" s="4" t="s">
        <v>322</v>
      </c>
      <c r="C636">
        <v>30</v>
      </c>
      <c r="D636" t="s">
        <v>85</v>
      </c>
      <c r="E636" t="s">
        <v>42</v>
      </c>
      <c r="F636" s="3">
        <v>4.4901789846988658</v>
      </c>
      <c r="G636" s="3">
        <v>0.371</v>
      </c>
      <c r="H636" s="3">
        <v>0.371</v>
      </c>
      <c r="I636" s="3">
        <v>0</v>
      </c>
      <c r="J636" s="3">
        <v>0</v>
      </c>
      <c r="K636" s="3">
        <v>7.0000000000000007E-2</v>
      </c>
      <c r="L636" s="2">
        <f>Base[[#This Row],[Coût]]*Base[[#This Row],[Part_ménages_dépenses_santé]]</f>
        <v>0</v>
      </c>
      <c r="M636" s="2">
        <v>0</v>
      </c>
      <c r="N636" s="6">
        <v>27700000</v>
      </c>
      <c r="O636" s="7">
        <f>Base[[#This Row],[Coût_salarié]]*10^9*Base[[#This Row],[Risque]]*Base[[#This Row],[Prévalence]]*Base[[#This Row],[Part_coûts_salarié]]/Base[[#This Row],[Population_emploi]]</f>
        <v>0</v>
      </c>
      <c r="P636">
        <v>50</v>
      </c>
      <c r="Q636">
        <v>50</v>
      </c>
      <c r="R636" s="2">
        <v>9.9999999999999978E-2</v>
      </c>
      <c r="S636" s="2">
        <v>0.33340000000000003</v>
      </c>
      <c r="T636" s="4">
        <v>0</v>
      </c>
      <c r="U636" s="4">
        <f>IF(Bases_annexes!$F$5=0,16.6587111018772,0.77*Bases_annexes!$F$5/(IF(OR(ISBLANK('Données_d''entrée'!$E$44),'Données_d''entrée'!$E$44=0),35,'Données_d''entrée'!$E$44)*52))</f>
        <v>16.658711101877199</v>
      </c>
      <c r="V636" s="4">
        <v>0</v>
      </c>
      <c r="W63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6" s="4">
        <v>234.5</v>
      </c>
      <c r="Y636" s="4">
        <f>(Base[[#This Row],['[Maladies']Coûts_évités_par_salarié]]+Base[[#This Row],['[Travail']Coûts_évités_par_salarié]])/Base[[#This Row],[Budget_santé_salarié]]</f>
        <v>0</v>
      </c>
      <c r="Z636" s="4">
        <v>0.8</v>
      </c>
      <c r="AA636" s="4">
        <f>Base[[#This Row],[Coût]]*Base[[#This Row],[Part_société_dépenses_santé]]</f>
        <v>0</v>
      </c>
      <c r="AB636" s="4">
        <v>67635124</v>
      </c>
      <c r="AC636" s="4">
        <v>82.297079063317852</v>
      </c>
      <c r="AD636" s="4">
        <v>0</v>
      </c>
      <c r="AE636" s="4">
        <f>Base[[#This Row],['[SC']Prévalence_travail]]*Base[[#This Row],[Population_emploi]]</f>
        <v>0</v>
      </c>
      <c r="AF636" s="4">
        <f>Base[[#This Row],[Risque]]*Base[[#This Row],['[SC']Patients_en_emploi]]</f>
        <v>0</v>
      </c>
      <c r="AG636" s="4">
        <v>0</v>
      </c>
      <c r="AH636" s="4">
        <f>IFERROR(Base[[#This Row],['[SC']Prestations]]/Base[[#This Row],['[SC']Patients_en_emploi]],0)</f>
        <v>0</v>
      </c>
      <c r="AI636" s="4">
        <v>51.7</v>
      </c>
      <c r="AJ63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6" s="4">
        <f>Base[[#This Row],['[SC']'[Travail']Coûts_évités]]/Base[[#This Row],[Population_emploi]]</f>
        <v>0</v>
      </c>
      <c r="AL636" s="4">
        <f>Base[[#This Row],[Coût_société]]*10^9*Base[[#This Row],[Risque]]*Base[[#This Row],[Prévalence]]*Base[[#This Row],[Part_coûts_salarié]]/Base[[#This Row],[Population_emploi]]</f>
        <v>0</v>
      </c>
      <c r="AM636" s="4">
        <f>IF(Base[[#This Row],[Pathologie]]&lt;&gt;"Dépendance",0,14909.24243952)</f>
        <v>14909.24243952</v>
      </c>
      <c r="AN636" s="4">
        <f>IF(Base[[#This Row],[Pathologie]]&lt;&gt;"Dépendance",0,1316000)</f>
        <v>1316000</v>
      </c>
      <c r="AO636" s="4">
        <f>IF(Base[[#This Row],[Pathologie]]&lt;&gt;"Dépendance",0,Base[[#This Row],['[SC']Coût_personne_dépendante]]*Base[[#This Row],['[SC']Nb_personnes_dépendantes]])</f>
        <v>19620563050.408321</v>
      </c>
      <c r="AP636" s="4">
        <f>IF(Base[[#This Row],[Pathologie]]&lt;&gt;"Dépendance",0,Base[[#This Row],['[SC']Coût_total_dépendance]]/Base[[#This Row],[Population_totale]])</f>
        <v>290.09428666691468</v>
      </c>
      <c r="AQ636" s="4">
        <f>IF(Base[[#This Row],[Pathologie]]&lt;&gt;"Dépendance",0,4.5)</f>
        <v>4.5</v>
      </c>
      <c r="AR636" s="4">
        <v>1.0077957276768601</v>
      </c>
      <c r="AS636" s="4">
        <f>Base[[#This Row],[Espérance_vie]]+Base[[#This Row],['[SC']Hausse_esp_de_vie]]-Base[[#This Row],['[SC']Durée_moyenne_dépendance_avt]]+Base[[#This Row],[Risque]]</f>
        <v>83.295053775693589</v>
      </c>
      <c r="AT63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6" s="4">
        <v>62.9</v>
      </c>
      <c r="AW636" s="4">
        <f t="shared" si="21"/>
        <v>336905600000</v>
      </c>
      <c r="AX636" s="4">
        <v>15049171</v>
      </c>
      <c r="AY636" s="4">
        <f>Base[[#This Row],['[SC']Budget_total_retraites]]/Base[[#This Row],['[SC']Nombre_de_retraités]]</f>
        <v>22386.987296509556</v>
      </c>
      <c r="AZ636" s="4">
        <f>Base[[#This Row],['[SC']Budget_par_retraité]]*Base[[#This Row],['[SC']Nb_personnes_dépendantes]]</f>
        <v>29461275282.206577</v>
      </c>
      <c r="BA636" s="4">
        <f>Base[[#This Row],['[SC']'[Dépendance']Coût_retraite_personnes_dépendantes]]/Base[[#This Row],[Population_totale]]</f>
        <v>435.59135460750508</v>
      </c>
      <c r="BB636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6" s="4">
        <f>Base[[#This Row],['[SC']'[Dépendance']Gains]]-Base[[#This Row],['[SC']'[Dépendance']Coûts]]</f>
        <v>131.21638512372317</v>
      </c>
      <c r="BD636" s="4">
        <f>IF(Base[[#This Row],[Pathologie]]&lt;&gt;"Mort prématurée",0,Base[[#This Row],[Risque]]*Base[[#This Row],[Prévalence]]*Base[[#This Row],[Population_totale]])</f>
        <v>0</v>
      </c>
      <c r="BE636" s="4">
        <v>52.74</v>
      </c>
      <c r="BF636" s="4">
        <f>Base[[#This Row],['[SC']Âge_moyen_retraite]]-Base[[#This Row],['[SC']'[Mort_prématurée']Âge_moyen_mort précoce]]</f>
        <v>10.159999999999997</v>
      </c>
      <c r="BG636" s="4">
        <f>Base[[#This Row],[Espérance_vie]]+Base[[#This Row],['[SC']Hausse_esp_de_vie]]-Base[[#This Row],['[SC']Âge_moyen_retraite]]</f>
        <v>20.404874790994718</v>
      </c>
      <c r="BH636" s="4">
        <v>106583.42676924677</v>
      </c>
      <c r="BI636" s="4">
        <v>97601.789429271477</v>
      </c>
      <c r="BJ636" s="4">
        <v>302038.31496633729</v>
      </c>
      <c r="BK636" s="4">
        <v>117293.58934859755</v>
      </c>
      <c r="BL636" s="4">
        <v>1523999.9999999995</v>
      </c>
      <c r="BM63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6" s="4">
        <v>294804.96027377353</v>
      </c>
      <c r="BO63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6" s="4">
        <f>(Base[[#This Row],['[SC']'[Mort_prématurée']Gains]]-Base[[#This Row],['[SC']'[Mort_prématurée']Coûts]])/Base[[#This Row],[Population_totale]]</f>
        <v>0</v>
      </c>
      <c r="BQ636" s="4">
        <f>IF(Base[[#This Row],[Pathologie]]&lt;&gt;"Mort prématurée",0,Base[[#This Row],[Risque]])</f>
        <v>0</v>
      </c>
      <c r="BR636" s="4">
        <v>2680</v>
      </c>
      <c r="BS63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6" s="4">
        <f>Base[[#This Row],[Prévalence_prod]]*(1-Base[[#This Row],[Risque]])*Base[[#This Row],[Durée_arrêt]]*Base[[#This Row],[Population_emploi]]</f>
        <v>0</v>
      </c>
      <c r="BV636" s="4">
        <f>Base[[#This Row],['[Prod']'[Absentéisme']Total_jours_absence_avant]]-Base[[#This Row],['[Prod']'[Absentéisme']Total_jours_absence_après]]</f>
        <v>0</v>
      </c>
      <c r="BW636" s="4">
        <f>IF(AND(Base[[#This Row],[Pathologie]]&lt;&gt;"Dépendance",Base[[#This Row],[Pathologie]]&lt;&gt;"Mort prématurée",Base[[#This Row],[Pathologie]]&lt;&gt;"Migraine"),0.0619,0)</f>
        <v>0</v>
      </c>
      <c r="BX636" s="4">
        <v>254</v>
      </c>
      <c r="BY63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6" s="4">
        <f>Base[[#This Row],[Prévalence_prod]]*Base[[#This Row],[Présentéisme]]*Base[[#This Row],['[Prod']Jours_ouvrés]]</f>
        <v>0</v>
      </c>
      <c r="CB636" s="4">
        <f>Base[[#This Row],[Prévalence_prod]]*(1-Base[[#This Row],[Risque]])*Base[[#This Row],[Présentéisme]]*Base[[#This Row],['[Prod']Jours_ouvrés]]</f>
        <v>0</v>
      </c>
      <c r="CC636" s="4">
        <f>Base[[#This Row],['[Prod']'[Présentéisme']Jours_avant]]-Base[[#This Row],['[Prod']'[Présentéisme']Jours_après]]</f>
        <v>0</v>
      </c>
      <c r="CD636" s="4">
        <f>Base[[#This Row],['[Prod']'[Présentéisme']Jours_gagnés]]/Base[[#This Row],['[Prod']Jours_ouvrés]]</f>
        <v>0</v>
      </c>
      <c r="CE636">
        <v>9.3428413505841454E-2</v>
      </c>
      <c r="CF636">
        <v>2.1038737314955848E-2</v>
      </c>
      <c r="CG636" s="4">
        <v>11</v>
      </c>
      <c r="CH636" s="4">
        <v>1.6219398392978641</v>
      </c>
      <c r="CI636" s="4">
        <v>9.628527536862988E-2</v>
      </c>
      <c r="CJ636" s="4">
        <f>IF(Base[[#This Row],[Secteur]]&lt;&gt;"Moyenne",Base[[#This Row],['[Prod']'[Turnover']DMC_initiale]]*(1+Base[[#This Row],['[Prod']'[Turnover']Ecart_accidents]]*Base[[#This Row],['[Prod']Impact_motifs_turnover]]),CJ619*CI619+CJ620*CI620+CJ621*CI621+CJ622*CI622+CJ623*CI623+CJ624*CI624+CJ625*CI625+CJ626*CI626+CJ627*CI627+CJ628*CI628+CJ629*CI629+CJ630*CI630+CJ631*CI631+CJ632*CI632+CJ633*CI633+CJ634*CI634+CJ635*CI635)</f>
        <v>11.375359228416144</v>
      </c>
      <c r="CK636" s="4">
        <f>1/Base[[#This Row],['[Prod']'[Turnover']DMC_initiale]]</f>
        <v>9.0909090909090912E-2</v>
      </c>
      <c r="CL636" s="4">
        <f>1/Base[[#This Row],['[Prod']'[Turnover']DMC_finale]]</f>
        <v>8.7909311690303041E-2</v>
      </c>
    </row>
    <row r="637" spans="2:90" x14ac:dyDescent="0.25">
      <c r="B637" s="4" t="s">
        <v>323</v>
      </c>
      <c r="C637">
        <v>30</v>
      </c>
      <c r="D637" t="s">
        <v>85</v>
      </c>
      <c r="E637" t="s">
        <v>42</v>
      </c>
      <c r="F637" s="3">
        <v>4.4901789846988658</v>
      </c>
      <c r="G637" s="3">
        <v>0.371</v>
      </c>
      <c r="H637" s="3">
        <v>0.371</v>
      </c>
      <c r="I637" s="3">
        <v>0</v>
      </c>
      <c r="J637" s="3">
        <v>0</v>
      </c>
      <c r="K637" s="3">
        <v>7.0000000000000007E-2</v>
      </c>
      <c r="L637" s="2">
        <f>Base[[#This Row],[Coût]]*Base[[#This Row],[Part_ménages_dépenses_santé]]</f>
        <v>0</v>
      </c>
      <c r="M637" s="2">
        <v>0</v>
      </c>
      <c r="N637" s="6">
        <v>27700000</v>
      </c>
      <c r="O637" s="7">
        <f>Base[[#This Row],[Coût_salarié]]*10^9*Base[[#This Row],[Risque]]*Base[[#This Row],[Prévalence]]*Base[[#This Row],[Part_coûts_salarié]]/Base[[#This Row],[Population_emploi]]</f>
        <v>0</v>
      </c>
      <c r="P637">
        <v>50</v>
      </c>
      <c r="Q637">
        <v>50</v>
      </c>
      <c r="R637" s="2">
        <v>9.9999999999999978E-2</v>
      </c>
      <c r="S637" s="2">
        <v>0.33340000000000003</v>
      </c>
      <c r="T637" s="4">
        <v>0</v>
      </c>
      <c r="U637" s="4">
        <f>IF(Bases_annexes!$F$5=0,16.6587111018772,0.77*Bases_annexes!$F$5/(IF(OR(ISBLANK('Données_d''entrée'!$E$44),'Données_d''entrée'!$E$44=0),35,'Données_d''entrée'!$E$44)*52))</f>
        <v>16.658711101877199</v>
      </c>
      <c r="V637" s="4">
        <v>0</v>
      </c>
      <c r="W63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7" s="4">
        <v>234.5</v>
      </c>
      <c r="Y637" s="4">
        <f>(Base[[#This Row],['[Maladies']Coûts_évités_par_salarié]]+Base[[#This Row],['[Travail']Coûts_évités_par_salarié]])/Base[[#This Row],[Budget_santé_salarié]]</f>
        <v>0</v>
      </c>
      <c r="Z637" s="4">
        <v>0.8</v>
      </c>
      <c r="AA637" s="4">
        <f>Base[[#This Row],[Coût]]*Base[[#This Row],[Part_société_dépenses_santé]]</f>
        <v>0</v>
      </c>
      <c r="AB637" s="4">
        <v>67635124</v>
      </c>
      <c r="AC637" s="4">
        <v>82.297079063317852</v>
      </c>
      <c r="AD637" s="4">
        <v>0</v>
      </c>
      <c r="AE637" s="4">
        <f>Base[[#This Row],['[SC']Prévalence_travail]]*Base[[#This Row],[Population_emploi]]</f>
        <v>0</v>
      </c>
      <c r="AF637" s="4">
        <f>Base[[#This Row],[Risque]]*Base[[#This Row],['[SC']Patients_en_emploi]]</f>
        <v>0</v>
      </c>
      <c r="AG637" s="4">
        <v>0</v>
      </c>
      <c r="AH637" s="4">
        <f>IFERROR(Base[[#This Row],['[SC']Prestations]]/Base[[#This Row],['[SC']Patients_en_emploi]],0)</f>
        <v>0</v>
      </c>
      <c r="AI637" s="4">
        <v>51.7</v>
      </c>
      <c r="AJ63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7" s="4">
        <f>Base[[#This Row],['[SC']'[Travail']Coûts_évités]]/Base[[#This Row],[Population_emploi]]</f>
        <v>0</v>
      </c>
      <c r="AL637" s="4">
        <f>Base[[#This Row],[Coût_société]]*10^9*Base[[#This Row],[Risque]]*Base[[#This Row],[Prévalence]]*Base[[#This Row],[Part_coûts_salarié]]/Base[[#This Row],[Population_emploi]]</f>
        <v>0</v>
      </c>
      <c r="AM637" s="4">
        <f>IF(Base[[#This Row],[Pathologie]]&lt;&gt;"Dépendance",0,14909.24243952)</f>
        <v>14909.24243952</v>
      </c>
      <c r="AN637" s="4">
        <f>IF(Base[[#This Row],[Pathologie]]&lt;&gt;"Dépendance",0,1316000)</f>
        <v>1316000</v>
      </c>
      <c r="AO637" s="4">
        <f>IF(Base[[#This Row],[Pathologie]]&lt;&gt;"Dépendance",0,Base[[#This Row],['[SC']Coût_personne_dépendante]]*Base[[#This Row],['[SC']Nb_personnes_dépendantes]])</f>
        <v>19620563050.408321</v>
      </c>
      <c r="AP637" s="4">
        <f>IF(Base[[#This Row],[Pathologie]]&lt;&gt;"Dépendance",0,Base[[#This Row],['[SC']Coût_total_dépendance]]/Base[[#This Row],[Population_totale]])</f>
        <v>290.09428666691468</v>
      </c>
      <c r="AQ637" s="4">
        <f>IF(Base[[#This Row],[Pathologie]]&lt;&gt;"Dépendance",0,4.5)</f>
        <v>4.5</v>
      </c>
      <c r="AR637" s="4">
        <v>1.0077957276768601</v>
      </c>
      <c r="AS637" s="4">
        <f>Base[[#This Row],[Espérance_vie]]+Base[[#This Row],['[SC']Hausse_esp_de_vie]]-Base[[#This Row],['[SC']Durée_moyenne_dépendance_avt]]+Base[[#This Row],[Risque]]</f>
        <v>83.295053775693589</v>
      </c>
      <c r="AT63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7" s="4">
        <v>62.9</v>
      </c>
      <c r="AW637" s="4">
        <f t="shared" si="21"/>
        <v>336905600000</v>
      </c>
      <c r="AX637" s="4">
        <v>15049171</v>
      </c>
      <c r="AY637" s="4">
        <f>Base[[#This Row],['[SC']Budget_total_retraites]]/Base[[#This Row],['[SC']Nombre_de_retraités]]</f>
        <v>22386.987296509556</v>
      </c>
      <c r="AZ637" s="4">
        <f>Base[[#This Row],['[SC']Budget_par_retraité]]*Base[[#This Row],['[SC']Nb_personnes_dépendantes]]</f>
        <v>29461275282.206577</v>
      </c>
      <c r="BA637" s="4">
        <f>Base[[#This Row],['[SC']'[Dépendance']Coût_retraite_personnes_dépendantes]]/Base[[#This Row],[Population_totale]]</f>
        <v>435.59135460750508</v>
      </c>
      <c r="BB637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7" s="4">
        <f>Base[[#This Row],['[SC']'[Dépendance']Gains]]-Base[[#This Row],['[SC']'[Dépendance']Coûts]]</f>
        <v>131.21638512372317</v>
      </c>
      <c r="BD637" s="4">
        <f>IF(Base[[#This Row],[Pathologie]]&lt;&gt;"Mort prématurée",0,Base[[#This Row],[Risque]]*Base[[#This Row],[Prévalence]]*Base[[#This Row],[Population_totale]])</f>
        <v>0</v>
      </c>
      <c r="BE637" s="4">
        <v>52.74</v>
      </c>
      <c r="BF637" s="4">
        <f>Base[[#This Row],['[SC']Âge_moyen_retraite]]-Base[[#This Row],['[SC']'[Mort_prématurée']Âge_moyen_mort précoce]]</f>
        <v>10.159999999999997</v>
      </c>
      <c r="BG637" s="4">
        <f>Base[[#This Row],[Espérance_vie]]+Base[[#This Row],['[SC']Hausse_esp_de_vie]]-Base[[#This Row],['[SC']Âge_moyen_retraite]]</f>
        <v>20.404874790994718</v>
      </c>
      <c r="BH637" s="4">
        <v>106583.42676924677</v>
      </c>
      <c r="BI637" s="4">
        <v>97601.789429271477</v>
      </c>
      <c r="BJ637" s="4">
        <v>302038.31496633729</v>
      </c>
      <c r="BK637" s="4">
        <v>117293.58934859755</v>
      </c>
      <c r="BL637" s="4">
        <v>1523999.9999999995</v>
      </c>
      <c r="BM63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7" s="4">
        <v>294804.96027377353</v>
      </c>
      <c r="BO63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7" s="4">
        <f>(Base[[#This Row],['[SC']'[Mort_prématurée']Gains]]-Base[[#This Row],['[SC']'[Mort_prématurée']Coûts]])/Base[[#This Row],[Population_totale]]</f>
        <v>0</v>
      </c>
      <c r="BQ637" s="4">
        <f>IF(Base[[#This Row],[Pathologie]]&lt;&gt;"Mort prématurée",0,Base[[#This Row],[Risque]])</f>
        <v>0</v>
      </c>
      <c r="BR637" s="4">
        <v>2680</v>
      </c>
      <c r="BS63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7" s="4">
        <f>Base[[#This Row],[Prévalence_prod]]*(1-Base[[#This Row],[Risque]])*Base[[#This Row],[Durée_arrêt]]*Base[[#This Row],[Population_emploi]]</f>
        <v>0</v>
      </c>
      <c r="BV637" s="4">
        <f>Base[[#This Row],['[Prod']'[Absentéisme']Total_jours_absence_avant]]-Base[[#This Row],['[Prod']'[Absentéisme']Total_jours_absence_après]]</f>
        <v>0</v>
      </c>
      <c r="BW637" s="4">
        <f>IF(AND(Base[[#This Row],[Pathologie]]&lt;&gt;"Dépendance",Base[[#This Row],[Pathologie]]&lt;&gt;"Mort prématurée",Base[[#This Row],[Pathologie]]&lt;&gt;"Migraine"),0.0619,0)</f>
        <v>0</v>
      </c>
      <c r="BX637" s="4">
        <v>254</v>
      </c>
      <c r="BY63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7" s="4">
        <f>Base[[#This Row],[Prévalence_prod]]*Base[[#This Row],[Présentéisme]]*Base[[#This Row],['[Prod']Jours_ouvrés]]</f>
        <v>0</v>
      </c>
      <c r="CB637" s="4">
        <f>Base[[#This Row],[Prévalence_prod]]*(1-Base[[#This Row],[Risque]])*Base[[#This Row],[Présentéisme]]*Base[[#This Row],['[Prod']Jours_ouvrés]]</f>
        <v>0</v>
      </c>
      <c r="CC637" s="4">
        <f>Base[[#This Row],['[Prod']'[Présentéisme']Jours_avant]]-Base[[#This Row],['[Prod']'[Présentéisme']Jours_après]]</f>
        <v>0</v>
      </c>
      <c r="CD637" s="4">
        <f>Base[[#This Row],['[Prod']'[Présentéisme']Jours_gagnés]]/Base[[#This Row],['[Prod']Jours_ouvrés]]</f>
        <v>0</v>
      </c>
      <c r="CE637">
        <v>9.3428413505841454E-2</v>
      </c>
      <c r="CF637">
        <v>2.1038737314955848E-2</v>
      </c>
      <c r="CG637" s="4">
        <v>11</v>
      </c>
      <c r="CH637" s="4">
        <v>0.96913802401210614</v>
      </c>
      <c r="CI637" s="4">
        <v>0.10293966445307301</v>
      </c>
      <c r="CJ637" s="4">
        <f>IF(Base[[#This Row],[Secteur]]&lt;&gt;"Moyenne",Base[[#This Row],['[Prod']'[Turnover']DMC_initiale]]*(1+Base[[#This Row],['[Prod']'[Turnover']Ecart_accidents]]*Base[[#This Row],['[Prod']Impact_motifs_turnover]]),CJ620*CI620+CJ621*CI621+CJ622*CI622+CJ623*CI623+CJ624*CI624+CJ625*CI625+CJ626*CI626+CJ627*CI627+CJ628*CI628+CJ629*CI629+CJ630*CI630+CJ631*CI631+CJ632*CI632+CJ633*CI633+CJ634*CI634+CJ635*CI635+CJ636*CI636)</f>
        <v>11.224283843400386</v>
      </c>
      <c r="CK637" s="4">
        <f>1/Base[[#This Row],['[Prod']'[Turnover']DMC_initiale]]</f>
        <v>9.0909090909090912E-2</v>
      </c>
      <c r="CL637" s="4">
        <f>1/Base[[#This Row],['[Prod']'[Turnover']DMC_finale]]</f>
        <v>8.9092543805186858E-2</v>
      </c>
    </row>
    <row r="638" spans="2:90" x14ac:dyDescent="0.25">
      <c r="B638" s="4" t="s">
        <v>324</v>
      </c>
      <c r="C638">
        <v>30</v>
      </c>
      <c r="D638" t="s">
        <v>85</v>
      </c>
      <c r="E638" t="s">
        <v>42</v>
      </c>
      <c r="F638" s="3">
        <v>4.4901789846988658</v>
      </c>
      <c r="G638" s="3">
        <v>0.371</v>
      </c>
      <c r="H638" s="3">
        <v>0.371</v>
      </c>
      <c r="I638" s="3">
        <v>0</v>
      </c>
      <c r="J638" s="3">
        <v>0</v>
      </c>
      <c r="K638" s="3">
        <v>7.0000000000000007E-2</v>
      </c>
      <c r="L638" s="2">
        <f>Base[[#This Row],[Coût]]*Base[[#This Row],[Part_ménages_dépenses_santé]]</f>
        <v>0</v>
      </c>
      <c r="M638" s="2">
        <v>0</v>
      </c>
      <c r="N638" s="6">
        <v>27700000</v>
      </c>
      <c r="O638" s="7">
        <f>Base[[#This Row],[Coût_salarié]]*10^9*Base[[#This Row],[Risque]]*Base[[#This Row],[Prévalence]]*Base[[#This Row],[Part_coûts_salarié]]/Base[[#This Row],[Population_emploi]]</f>
        <v>0</v>
      </c>
      <c r="P638">
        <v>50</v>
      </c>
      <c r="Q638">
        <v>50</v>
      </c>
      <c r="R638" s="2">
        <v>9.9999999999999978E-2</v>
      </c>
      <c r="S638" s="2">
        <v>0.33340000000000003</v>
      </c>
      <c r="T638" s="4">
        <v>0</v>
      </c>
      <c r="U638" s="4">
        <f>IF(Bases_annexes!$F$5=0,16.6587111018772,0.77*Bases_annexes!$F$5/(IF(OR(ISBLANK('Données_d''entrée'!$E$44),'Données_d''entrée'!$E$44=0),35,'Données_d''entrée'!$E$44)*52))</f>
        <v>16.658711101877199</v>
      </c>
      <c r="V638" s="4">
        <v>0</v>
      </c>
      <c r="W63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8" s="4">
        <v>234.5</v>
      </c>
      <c r="Y638" s="4">
        <f>(Base[[#This Row],['[Maladies']Coûts_évités_par_salarié]]+Base[[#This Row],['[Travail']Coûts_évités_par_salarié]])/Base[[#This Row],[Budget_santé_salarié]]</f>
        <v>0</v>
      </c>
      <c r="Z638" s="4">
        <v>0.8</v>
      </c>
      <c r="AA638" s="4">
        <f>Base[[#This Row],[Coût]]*Base[[#This Row],[Part_société_dépenses_santé]]</f>
        <v>0</v>
      </c>
      <c r="AB638" s="4">
        <v>67635124</v>
      </c>
      <c r="AC638" s="4">
        <v>82.297079063317852</v>
      </c>
      <c r="AD638" s="4">
        <v>0</v>
      </c>
      <c r="AE638" s="4">
        <f>Base[[#This Row],['[SC']Prévalence_travail]]*Base[[#This Row],[Population_emploi]]</f>
        <v>0</v>
      </c>
      <c r="AF638" s="4">
        <f>Base[[#This Row],[Risque]]*Base[[#This Row],['[SC']Patients_en_emploi]]</f>
        <v>0</v>
      </c>
      <c r="AG638" s="4">
        <v>0</v>
      </c>
      <c r="AH638" s="4">
        <f>IFERROR(Base[[#This Row],['[SC']Prestations]]/Base[[#This Row],['[SC']Patients_en_emploi]],0)</f>
        <v>0</v>
      </c>
      <c r="AI638" s="4">
        <v>51.7</v>
      </c>
      <c r="AJ63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8" s="4">
        <f>Base[[#This Row],['[SC']'[Travail']Coûts_évités]]/Base[[#This Row],[Population_emploi]]</f>
        <v>0</v>
      </c>
      <c r="AL638" s="4">
        <f>Base[[#This Row],[Coût_société]]*10^9*Base[[#This Row],[Risque]]*Base[[#This Row],[Prévalence]]*Base[[#This Row],[Part_coûts_salarié]]/Base[[#This Row],[Population_emploi]]</f>
        <v>0</v>
      </c>
      <c r="AM638" s="4">
        <f>IF(Base[[#This Row],[Pathologie]]&lt;&gt;"Dépendance",0,14909.24243952)</f>
        <v>14909.24243952</v>
      </c>
      <c r="AN638" s="4">
        <f>IF(Base[[#This Row],[Pathologie]]&lt;&gt;"Dépendance",0,1316000)</f>
        <v>1316000</v>
      </c>
      <c r="AO638" s="4">
        <f>IF(Base[[#This Row],[Pathologie]]&lt;&gt;"Dépendance",0,Base[[#This Row],['[SC']Coût_personne_dépendante]]*Base[[#This Row],['[SC']Nb_personnes_dépendantes]])</f>
        <v>19620563050.408321</v>
      </c>
      <c r="AP638" s="4">
        <f>IF(Base[[#This Row],[Pathologie]]&lt;&gt;"Dépendance",0,Base[[#This Row],['[SC']Coût_total_dépendance]]/Base[[#This Row],[Population_totale]])</f>
        <v>290.09428666691468</v>
      </c>
      <c r="AQ638" s="4">
        <f>IF(Base[[#This Row],[Pathologie]]&lt;&gt;"Dépendance",0,4.5)</f>
        <v>4.5</v>
      </c>
      <c r="AR638" s="4">
        <v>1.0077957276768601</v>
      </c>
      <c r="AS638" s="4">
        <f>Base[[#This Row],[Espérance_vie]]+Base[[#This Row],['[SC']Hausse_esp_de_vie]]-Base[[#This Row],['[SC']Durée_moyenne_dépendance_avt]]+Base[[#This Row],[Risque]]</f>
        <v>83.295053775693589</v>
      </c>
      <c r="AT63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8" s="4">
        <v>62.9</v>
      </c>
      <c r="AW638" s="4">
        <f t="shared" si="21"/>
        <v>336905600000</v>
      </c>
      <c r="AX638" s="4">
        <v>15049171</v>
      </c>
      <c r="AY638" s="4">
        <f>Base[[#This Row],['[SC']Budget_total_retraites]]/Base[[#This Row],['[SC']Nombre_de_retraités]]</f>
        <v>22386.987296509556</v>
      </c>
      <c r="AZ638" s="4">
        <f>Base[[#This Row],['[SC']Budget_par_retraité]]*Base[[#This Row],['[SC']Nb_personnes_dépendantes]]</f>
        <v>29461275282.206577</v>
      </c>
      <c r="BA638" s="4">
        <f>Base[[#This Row],['[SC']'[Dépendance']Coût_retraite_personnes_dépendantes]]/Base[[#This Row],[Population_totale]]</f>
        <v>435.59135460750508</v>
      </c>
      <c r="BB638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8" s="4">
        <f>Base[[#This Row],['[SC']'[Dépendance']Gains]]-Base[[#This Row],['[SC']'[Dépendance']Coûts]]</f>
        <v>131.21638512372317</v>
      </c>
      <c r="BD638" s="4">
        <f>IF(Base[[#This Row],[Pathologie]]&lt;&gt;"Mort prématurée",0,Base[[#This Row],[Risque]]*Base[[#This Row],[Prévalence]]*Base[[#This Row],[Population_totale]])</f>
        <v>0</v>
      </c>
      <c r="BE638" s="4">
        <v>52.74</v>
      </c>
      <c r="BF638" s="4">
        <f>Base[[#This Row],['[SC']Âge_moyen_retraite]]-Base[[#This Row],['[SC']'[Mort_prématurée']Âge_moyen_mort précoce]]</f>
        <v>10.159999999999997</v>
      </c>
      <c r="BG638" s="4">
        <f>Base[[#This Row],[Espérance_vie]]+Base[[#This Row],['[SC']Hausse_esp_de_vie]]-Base[[#This Row],['[SC']Âge_moyen_retraite]]</f>
        <v>20.404874790994718</v>
      </c>
      <c r="BH638" s="4">
        <v>106583.42676924677</v>
      </c>
      <c r="BI638" s="4">
        <v>97601.789429271477</v>
      </c>
      <c r="BJ638" s="4">
        <v>302038.31496633729</v>
      </c>
      <c r="BK638" s="4">
        <v>117293.58934859755</v>
      </c>
      <c r="BL638" s="4">
        <v>1523999.9999999995</v>
      </c>
      <c r="BM63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8" s="4">
        <v>294804.96027377353</v>
      </c>
      <c r="BO63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8" s="4">
        <f>(Base[[#This Row],['[SC']'[Mort_prématurée']Gains]]-Base[[#This Row],['[SC']'[Mort_prématurée']Coûts]])/Base[[#This Row],[Population_totale]]</f>
        <v>0</v>
      </c>
      <c r="BQ638" s="4">
        <f>IF(Base[[#This Row],[Pathologie]]&lt;&gt;"Mort prématurée",0,Base[[#This Row],[Risque]])</f>
        <v>0</v>
      </c>
      <c r="BR638" s="4">
        <v>2680</v>
      </c>
      <c r="BS63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8" s="4">
        <f>Base[[#This Row],[Prévalence_prod]]*(1-Base[[#This Row],[Risque]])*Base[[#This Row],[Durée_arrêt]]*Base[[#This Row],[Population_emploi]]</f>
        <v>0</v>
      </c>
      <c r="BV638" s="4">
        <f>Base[[#This Row],['[Prod']'[Absentéisme']Total_jours_absence_avant]]-Base[[#This Row],['[Prod']'[Absentéisme']Total_jours_absence_après]]</f>
        <v>0</v>
      </c>
      <c r="BW638" s="4">
        <f>IF(AND(Base[[#This Row],[Pathologie]]&lt;&gt;"Dépendance",Base[[#This Row],[Pathologie]]&lt;&gt;"Mort prématurée",Base[[#This Row],[Pathologie]]&lt;&gt;"Migraine"),0.0619,0)</f>
        <v>0</v>
      </c>
      <c r="BX638" s="4">
        <v>254</v>
      </c>
      <c r="BY63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8" s="4">
        <f>Base[[#This Row],[Prévalence_prod]]*Base[[#This Row],[Présentéisme]]*Base[[#This Row],['[Prod']Jours_ouvrés]]</f>
        <v>0</v>
      </c>
      <c r="CB638" s="4">
        <f>Base[[#This Row],[Prévalence_prod]]*(1-Base[[#This Row],[Risque]])*Base[[#This Row],[Présentéisme]]*Base[[#This Row],['[Prod']Jours_ouvrés]]</f>
        <v>0</v>
      </c>
      <c r="CC638" s="4">
        <f>Base[[#This Row],['[Prod']'[Présentéisme']Jours_avant]]-Base[[#This Row],['[Prod']'[Présentéisme']Jours_après]]</f>
        <v>0</v>
      </c>
      <c r="CD638" s="4">
        <f>Base[[#This Row],['[Prod']'[Présentéisme']Jours_gagnés]]/Base[[#This Row],['[Prod']Jours_ouvrés]]</f>
        <v>0</v>
      </c>
      <c r="CE638">
        <v>9.3428413505841454E-2</v>
      </c>
      <c r="CF638">
        <v>2.1038737314955848E-2</v>
      </c>
      <c r="CG638" s="4">
        <v>11</v>
      </c>
      <c r="CH638" s="4">
        <v>1.3987208237662601</v>
      </c>
      <c r="CI638" s="4">
        <v>2.1768516166491274E-2</v>
      </c>
      <c r="CJ638" s="4">
        <f>IF(Base[[#This Row],[Secteur]]&lt;&gt;"Moyenne",Base[[#This Row],['[Prod']'[Turnover']DMC_initiale]]*(1+Base[[#This Row],['[Prod']'[Turnover']Ecart_accidents]]*Base[[#This Row],['[Prod']Impact_motifs_turnover]]),CJ621*CI621+CJ622*CI622+CJ623*CI623+CJ624*CI624+CJ625*CI625+CJ626*CI626+CJ627*CI627+CJ628*CI628+CJ629*CI629+CJ630*CI630+CJ631*CI631+CJ632*CI632+CJ633*CI633+CJ634*CI634+CJ635*CI635+CJ636*CI636+CJ637*CI637)</f>
        <v>11.323700519869947</v>
      </c>
      <c r="CK638" s="4">
        <f>1/Base[[#This Row],['[Prod']'[Turnover']DMC_initiale]]</f>
        <v>9.0909090909090912E-2</v>
      </c>
      <c r="CL638" s="4">
        <f>1/Base[[#This Row],['[Prod']'[Turnover']DMC_finale]]</f>
        <v>8.8310353867561045E-2</v>
      </c>
    </row>
    <row r="639" spans="2:90" x14ac:dyDescent="0.25">
      <c r="B639" s="4" t="s">
        <v>325</v>
      </c>
      <c r="C639">
        <v>30</v>
      </c>
      <c r="D639" t="s">
        <v>85</v>
      </c>
      <c r="E639" t="s">
        <v>42</v>
      </c>
      <c r="F639" s="3">
        <v>4.4901789846988658</v>
      </c>
      <c r="G639" s="3">
        <v>0.371</v>
      </c>
      <c r="H639" s="3">
        <v>0.371</v>
      </c>
      <c r="I639" s="3">
        <v>0</v>
      </c>
      <c r="J639" s="3">
        <v>0</v>
      </c>
      <c r="K639" s="3">
        <v>7.0000000000000007E-2</v>
      </c>
      <c r="L639" s="2">
        <f>Base[[#This Row],[Coût]]*Base[[#This Row],[Part_ménages_dépenses_santé]]</f>
        <v>0</v>
      </c>
      <c r="M639" s="2">
        <v>0</v>
      </c>
      <c r="N639" s="6">
        <v>27700000</v>
      </c>
      <c r="O639" s="7">
        <f>Base[[#This Row],[Coût_salarié]]*10^9*Base[[#This Row],[Risque]]*Base[[#This Row],[Prévalence]]*Base[[#This Row],[Part_coûts_salarié]]/Base[[#This Row],[Population_emploi]]</f>
        <v>0</v>
      </c>
      <c r="P639">
        <v>50</v>
      </c>
      <c r="Q639">
        <v>50</v>
      </c>
      <c r="R639" s="2">
        <v>9.9999999999999978E-2</v>
      </c>
      <c r="S639" s="2">
        <v>0.33340000000000003</v>
      </c>
      <c r="T639" s="4">
        <v>0</v>
      </c>
      <c r="U639" s="4">
        <f>IF(Bases_annexes!$F$5=0,16.6587111018772,0.77*Bases_annexes!$F$5/(IF(OR(ISBLANK('Données_d''entrée'!$E$44),'Données_d''entrée'!$E$44=0),35,'Données_d''entrée'!$E$44)*52))</f>
        <v>16.658711101877199</v>
      </c>
      <c r="V639" s="4">
        <v>0</v>
      </c>
      <c r="W63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39" s="4">
        <v>234.5</v>
      </c>
      <c r="Y639" s="4">
        <f>(Base[[#This Row],['[Maladies']Coûts_évités_par_salarié]]+Base[[#This Row],['[Travail']Coûts_évités_par_salarié]])/Base[[#This Row],[Budget_santé_salarié]]</f>
        <v>0</v>
      </c>
      <c r="Z639" s="4">
        <v>0.8</v>
      </c>
      <c r="AA639" s="4">
        <f>Base[[#This Row],[Coût]]*Base[[#This Row],[Part_société_dépenses_santé]]</f>
        <v>0</v>
      </c>
      <c r="AB639" s="4">
        <v>67635124</v>
      </c>
      <c r="AC639" s="4">
        <v>82.297079063317852</v>
      </c>
      <c r="AD639" s="4">
        <v>0</v>
      </c>
      <c r="AE639" s="4">
        <f>Base[[#This Row],['[SC']Prévalence_travail]]*Base[[#This Row],[Population_emploi]]</f>
        <v>0</v>
      </c>
      <c r="AF639" s="4">
        <f>Base[[#This Row],[Risque]]*Base[[#This Row],['[SC']Patients_en_emploi]]</f>
        <v>0</v>
      </c>
      <c r="AG639" s="4">
        <v>0</v>
      </c>
      <c r="AH639" s="4">
        <f>IFERROR(Base[[#This Row],['[SC']Prestations]]/Base[[#This Row],['[SC']Patients_en_emploi]],0)</f>
        <v>0</v>
      </c>
      <c r="AI639" s="4">
        <v>51.7</v>
      </c>
      <c r="AJ63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39" s="4">
        <f>Base[[#This Row],['[SC']'[Travail']Coûts_évités]]/Base[[#This Row],[Population_emploi]]</f>
        <v>0</v>
      </c>
      <c r="AL639" s="4">
        <f>Base[[#This Row],[Coût_société]]*10^9*Base[[#This Row],[Risque]]*Base[[#This Row],[Prévalence]]*Base[[#This Row],[Part_coûts_salarié]]/Base[[#This Row],[Population_emploi]]</f>
        <v>0</v>
      </c>
      <c r="AM639" s="4">
        <f>IF(Base[[#This Row],[Pathologie]]&lt;&gt;"Dépendance",0,14909.24243952)</f>
        <v>14909.24243952</v>
      </c>
      <c r="AN639" s="4">
        <f>IF(Base[[#This Row],[Pathologie]]&lt;&gt;"Dépendance",0,1316000)</f>
        <v>1316000</v>
      </c>
      <c r="AO639" s="4">
        <f>IF(Base[[#This Row],[Pathologie]]&lt;&gt;"Dépendance",0,Base[[#This Row],['[SC']Coût_personne_dépendante]]*Base[[#This Row],['[SC']Nb_personnes_dépendantes]])</f>
        <v>19620563050.408321</v>
      </c>
      <c r="AP639" s="4">
        <f>IF(Base[[#This Row],[Pathologie]]&lt;&gt;"Dépendance",0,Base[[#This Row],['[SC']Coût_total_dépendance]]/Base[[#This Row],[Population_totale]])</f>
        <v>290.09428666691468</v>
      </c>
      <c r="AQ639" s="4">
        <f>IF(Base[[#This Row],[Pathologie]]&lt;&gt;"Dépendance",0,4.5)</f>
        <v>4.5</v>
      </c>
      <c r="AR639" s="4">
        <v>1.0077957276768601</v>
      </c>
      <c r="AS639" s="4">
        <f>Base[[#This Row],[Espérance_vie]]+Base[[#This Row],['[SC']Hausse_esp_de_vie]]-Base[[#This Row],['[SC']Durée_moyenne_dépendance_avt]]+Base[[#This Row],[Risque]]</f>
        <v>83.295053775693589</v>
      </c>
      <c r="AT63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3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39" s="4">
        <v>62.9</v>
      </c>
      <c r="AW639" s="4">
        <f t="shared" si="21"/>
        <v>336905600000</v>
      </c>
      <c r="AX639" s="4">
        <v>15049171</v>
      </c>
      <c r="AY639" s="4">
        <f>Base[[#This Row],['[SC']Budget_total_retraites]]/Base[[#This Row],['[SC']Nombre_de_retraités]]</f>
        <v>22386.987296509556</v>
      </c>
      <c r="AZ639" s="4">
        <f>Base[[#This Row],['[SC']Budget_par_retraité]]*Base[[#This Row],['[SC']Nb_personnes_dépendantes]]</f>
        <v>29461275282.206577</v>
      </c>
      <c r="BA639" s="4">
        <f>Base[[#This Row],['[SC']'[Dépendance']Coût_retraite_personnes_dépendantes]]/Base[[#This Row],[Population_totale]]</f>
        <v>435.59135460750508</v>
      </c>
      <c r="BB639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39" s="4">
        <f>Base[[#This Row],['[SC']'[Dépendance']Gains]]-Base[[#This Row],['[SC']'[Dépendance']Coûts]]</f>
        <v>131.21638512372317</v>
      </c>
      <c r="BD639" s="4">
        <f>IF(Base[[#This Row],[Pathologie]]&lt;&gt;"Mort prématurée",0,Base[[#This Row],[Risque]]*Base[[#This Row],[Prévalence]]*Base[[#This Row],[Population_totale]])</f>
        <v>0</v>
      </c>
      <c r="BE639" s="4">
        <v>52.74</v>
      </c>
      <c r="BF639" s="4">
        <f>Base[[#This Row],['[SC']Âge_moyen_retraite]]-Base[[#This Row],['[SC']'[Mort_prématurée']Âge_moyen_mort précoce]]</f>
        <v>10.159999999999997</v>
      </c>
      <c r="BG639" s="4">
        <f>Base[[#This Row],[Espérance_vie]]+Base[[#This Row],['[SC']Hausse_esp_de_vie]]-Base[[#This Row],['[SC']Âge_moyen_retraite]]</f>
        <v>20.404874790994718</v>
      </c>
      <c r="BH639" s="4">
        <v>106583.42676924677</v>
      </c>
      <c r="BI639" s="4">
        <v>97601.789429271477</v>
      </c>
      <c r="BJ639" s="4">
        <v>302038.31496633729</v>
      </c>
      <c r="BK639" s="4">
        <v>117293.58934859755</v>
      </c>
      <c r="BL639" s="4">
        <v>1523999.9999999995</v>
      </c>
      <c r="BM63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39" s="4">
        <v>294804.96027377353</v>
      </c>
      <c r="BO63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39" s="4">
        <f>(Base[[#This Row],['[SC']'[Mort_prématurée']Gains]]-Base[[#This Row],['[SC']'[Mort_prématurée']Coûts]])/Base[[#This Row],[Population_totale]]</f>
        <v>0</v>
      </c>
      <c r="BQ639" s="4">
        <f>IF(Base[[#This Row],[Pathologie]]&lt;&gt;"Mort prématurée",0,Base[[#This Row],[Risque]])</f>
        <v>0</v>
      </c>
      <c r="BR639" s="4">
        <v>2680</v>
      </c>
      <c r="BS63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3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39" s="4">
        <f>Base[[#This Row],[Prévalence_prod]]*(1-Base[[#This Row],[Risque]])*Base[[#This Row],[Durée_arrêt]]*Base[[#This Row],[Population_emploi]]</f>
        <v>0</v>
      </c>
      <c r="BV639" s="4">
        <f>Base[[#This Row],['[Prod']'[Absentéisme']Total_jours_absence_avant]]-Base[[#This Row],['[Prod']'[Absentéisme']Total_jours_absence_après]]</f>
        <v>0</v>
      </c>
      <c r="BW639" s="4">
        <f>IF(AND(Base[[#This Row],[Pathologie]]&lt;&gt;"Dépendance",Base[[#This Row],[Pathologie]]&lt;&gt;"Mort prématurée",Base[[#This Row],[Pathologie]]&lt;&gt;"Migraine"),0.0619,0)</f>
        <v>0</v>
      </c>
      <c r="BX639" s="4">
        <v>254</v>
      </c>
      <c r="BY63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3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39" s="4">
        <f>Base[[#This Row],[Prévalence_prod]]*Base[[#This Row],[Présentéisme]]*Base[[#This Row],['[Prod']Jours_ouvrés]]</f>
        <v>0</v>
      </c>
      <c r="CB639" s="4">
        <f>Base[[#This Row],[Prévalence_prod]]*(1-Base[[#This Row],[Risque]])*Base[[#This Row],[Présentéisme]]*Base[[#This Row],['[Prod']Jours_ouvrés]]</f>
        <v>0</v>
      </c>
      <c r="CC639" s="4">
        <f>Base[[#This Row],['[Prod']'[Présentéisme']Jours_avant]]-Base[[#This Row],['[Prod']'[Présentéisme']Jours_après]]</f>
        <v>0</v>
      </c>
      <c r="CD639" s="4">
        <f>Base[[#This Row],['[Prod']'[Présentéisme']Jours_gagnés]]/Base[[#This Row],['[Prod']Jours_ouvrés]]</f>
        <v>0</v>
      </c>
      <c r="CE639">
        <v>9.3428413505841454E-2</v>
      </c>
      <c r="CF639">
        <v>2.1038737314955848E-2</v>
      </c>
      <c r="CG639" s="4">
        <v>11</v>
      </c>
      <c r="CH639" s="4">
        <v>1.1624525375985588</v>
      </c>
      <c r="CI639" s="4">
        <v>3.7953151649308701E-2</v>
      </c>
      <c r="CJ639" s="4">
        <f>IF(Base[[#This Row],[Secteur]]&lt;&gt;"Moyenne",Base[[#This Row],['[Prod']'[Turnover']DMC_initiale]]*(1+Base[[#This Row],['[Prod']'[Turnover']Ecart_accidents]]*Base[[#This Row],['[Prod']Impact_motifs_turnover]]),CJ622*CI622+CJ623*CI623+CJ624*CI624+CJ625*CI625+CJ626*CI626+CJ627*CI627+CJ628*CI628+CJ629*CI629+CJ630*CI630+CJ631*CI631+CJ632*CI632+CJ633*CI633+CJ634*CI634+CJ635*CI635+CJ636*CI636+CJ637*CI637+CJ638*CI638)</f>
        <v>11.269021869376038</v>
      </c>
      <c r="CK639" s="4">
        <f>1/Base[[#This Row],['[Prod']'[Turnover']DMC_initiale]]</f>
        <v>9.0909090909090912E-2</v>
      </c>
      <c r="CL639" s="4">
        <f>1/Base[[#This Row],['[Prod']'[Turnover']DMC_finale]]</f>
        <v>8.8738846333907204E-2</v>
      </c>
    </row>
    <row r="640" spans="2:90" x14ac:dyDescent="0.25">
      <c r="B640" s="4" t="s">
        <v>326</v>
      </c>
      <c r="C640">
        <v>30</v>
      </c>
      <c r="D640" t="s">
        <v>85</v>
      </c>
      <c r="E640" t="s">
        <v>42</v>
      </c>
      <c r="F640" s="3">
        <v>4.4901789846988658</v>
      </c>
      <c r="G640" s="3">
        <v>0.371</v>
      </c>
      <c r="H640" s="3">
        <v>0.371</v>
      </c>
      <c r="I640" s="3">
        <v>0</v>
      </c>
      <c r="J640" s="3">
        <v>0</v>
      </c>
      <c r="K640" s="3">
        <v>7.0000000000000007E-2</v>
      </c>
      <c r="L640" s="2">
        <f>Base[[#This Row],[Coût]]*Base[[#This Row],[Part_ménages_dépenses_santé]]</f>
        <v>0</v>
      </c>
      <c r="M640" s="2">
        <v>0</v>
      </c>
      <c r="N640" s="6">
        <v>27700000</v>
      </c>
      <c r="O640" s="7">
        <f>Base[[#This Row],[Coût_salarié]]*10^9*Base[[#This Row],[Risque]]*Base[[#This Row],[Prévalence]]*Base[[#This Row],[Part_coûts_salarié]]/Base[[#This Row],[Population_emploi]]</f>
        <v>0</v>
      </c>
      <c r="P640">
        <v>50</v>
      </c>
      <c r="Q640">
        <v>50</v>
      </c>
      <c r="R640" s="2">
        <v>9.9999999999999978E-2</v>
      </c>
      <c r="S640" s="2">
        <v>0.33340000000000003</v>
      </c>
      <c r="T640" s="4">
        <v>0</v>
      </c>
      <c r="U640" s="4">
        <f>IF(Bases_annexes!$F$5=0,16.6587111018772,0.77*Bases_annexes!$F$5/(IF(OR(ISBLANK('Données_d''entrée'!$E$44),'Données_d''entrée'!$E$44=0),35,'Données_d''entrée'!$E$44)*52))</f>
        <v>16.658711101877199</v>
      </c>
      <c r="V640" s="4">
        <v>0</v>
      </c>
      <c r="W64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0" s="4">
        <v>234.5</v>
      </c>
      <c r="Y640" s="4">
        <f>(Base[[#This Row],['[Maladies']Coûts_évités_par_salarié]]+Base[[#This Row],['[Travail']Coûts_évités_par_salarié]])/Base[[#This Row],[Budget_santé_salarié]]</f>
        <v>0</v>
      </c>
      <c r="Z640" s="4">
        <v>0.8</v>
      </c>
      <c r="AA640" s="4">
        <f>Base[[#This Row],[Coût]]*Base[[#This Row],[Part_société_dépenses_santé]]</f>
        <v>0</v>
      </c>
      <c r="AB640" s="4">
        <v>67635124</v>
      </c>
      <c r="AC640" s="4">
        <v>82.297079063317852</v>
      </c>
      <c r="AD640" s="4">
        <v>0</v>
      </c>
      <c r="AE640" s="4">
        <f>Base[[#This Row],['[SC']Prévalence_travail]]*Base[[#This Row],[Population_emploi]]</f>
        <v>0</v>
      </c>
      <c r="AF640" s="4">
        <f>Base[[#This Row],[Risque]]*Base[[#This Row],['[SC']Patients_en_emploi]]</f>
        <v>0</v>
      </c>
      <c r="AG640" s="4">
        <v>0</v>
      </c>
      <c r="AH640" s="4">
        <f>IFERROR(Base[[#This Row],['[SC']Prestations]]/Base[[#This Row],['[SC']Patients_en_emploi]],0)</f>
        <v>0</v>
      </c>
      <c r="AI640" s="4">
        <v>51.7</v>
      </c>
      <c r="AJ64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0" s="4">
        <f>Base[[#This Row],['[SC']'[Travail']Coûts_évités]]/Base[[#This Row],[Population_emploi]]</f>
        <v>0</v>
      </c>
      <c r="AL640" s="4">
        <f>Base[[#This Row],[Coût_société]]*10^9*Base[[#This Row],[Risque]]*Base[[#This Row],[Prévalence]]*Base[[#This Row],[Part_coûts_salarié]]/Base[[#This Row],[Population_emploi]]</f>
        <v>0</v>
      </c>
      <c r="AM640" s="4">
        <f>IF(Base[[#This Row],[Pathologie]]&lt;&gt;"Dépendance",0,14909.24243952)</f>
        <v>14909.24243952</v>
      </c>
      <c r="AN640" s="4">
        <f>IF(Base[[#This Row],[Pathologie]]&lt;&gt;"Dépendance",0,1316000)</f>
        <v>1316000</v>
      </c>
      <c r="AO640" s="4">
        <f>IF(Base[[#This Row],[Pathologie]]&lt;&gt;"Dépendance",0,Base[[#This Row],['[SC']Coût_personne_dépendante]]*Base[[#This Row],['[SC']Nb_personnes_dépendantes]])</f>
        <v>19620563050.408321</v>
      </c>
      <c r="AP640" s="4">
        <f>IF(Base[[#This Row],[Pathologie]]&lt;&gt;"Dépendance",0,Base[[#This Row],['[SC']Coût_total_dépendance]]/Base[[#This Row],[Population_totale]])</f>
        <v>290.09428666691468</v>
      </c>
      <c r="AQ640" s="4">
        <f>IF(Base[[#This Row],[Pathologie]]&lt;&gt;"Dépendance",0,4.5)</f>
        <v>4.5</v>
      </c>
      <c r="AR640" s="4">
        <v>1.0077957276768601</v>
      </c>
      <c r="AS640" s="4">
        <f>Base[[#This Row],[Espérance_vie]]+Base[[#This Row],['[SC']Hausse_esp_de_vie]]-Base[[#This Row],['[SC']Durée_moyenne_dépendance_avt]]+Base[[#This Row],[Risque]]</f>
        <v>83.295053775693589</v>
      </c>
      <c r="AT64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0" s="4">
        <v>62.9</v>
      </c>
      <c r="AW640" s="4">
        <f t="shared" si="21"/>
        <v>336905600000</v>
      </c>
      <c r="AX640" s="4">
        <v>15049171</v>
      </c>
      <c r="AY640" s="4">
        <f>Base[[#This Row],['[SC']Budget_total_retraites]]/Base[[#This Row],['[SC']Nombre_de_retraités]]</f>
        <v>22386.987296509556</v>
      </c>
      <c r="AZ640" s="4">
        <f>Base[[#This Row],['[SC']Budget_par_retraité]]*Base[[#This Row],['[SC']Nb_personnes_dépendantes]]</f>
        <v>29461275282.206577</v>
      </c>
      <c r="BA640" s="4">
        <f>Base[[#This Row],['[SC']'[Dépendance']Coût_retraite_personnes_dépendantes]]/Base[[#This Row],[Population_totale]]</f>
        <v>435.59135460750508</v>
      </c>
      <c r="BB640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0" s="4">
        <f>Base[[#This Row],['[SC']'[Dépendance']Gains]]-Base[[#This Row],['[SC']'[Dépendance']Coûts]]</f>
        <v>131.21638512372317</v>
      </c>
      <c r="BD640" s="4">
        <f>IF(Base[[#This Row],[Pathologie]]&lt;&gt;"Mort prématurée",0,Base[[#This Row],[Risque]]*Base[[#This Row],[Prévalence]]*Base[[#This Row],[Population_totale]])</f>
        <v>0</v>
      </c>
      <c r="BE640" s="4">
        <v>52.74</v>
      </c>
      <c r="BF640" s="4">
        <f>Base[[#This Row],['[SC']Âge_moyen_retraite]]-Base[[#This Row],['[SC']'[Mort_prématurée']Âge_moyen_mort précoce]]</f>
        <v>10.159999999999997</v>
      </c>
      <c r="BG640" s="4">
        <f>Base[[#This Row],[Espérance_vie]]+Base[[#This Row],['[SC']Hausse_esp_de_vie]]-Base[[#This Row],['[SC']Âge_moyen_retraite]]</f>
        <v>20.404874790994718</v>
      </c>
      <c r="BH640" s="4">
        <v>106583.42676924677</v>
      </c>
      <c r="BI640" s="4">
        <v>97601.789429271477</v>
      </c>
      <c r="BJ640" s="4">
        <v>302038.31496633729</v>
      </c>
      <c r="BK640" s="4">
        <v>117293.58934859755</v>
      </c>
      <c r="BL640" s="4">
        <v>1523999.9999999995</v>
      </c>
      <c r="BM64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0" s="4">
        <v>294804.96027377353</v>
      </c>
      <c r="BO64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0" s="4">
        <f>(Base[[#This Row],['[SC']'[Mort_prématurée']Gains]]-Base[[#This Row],['[SC']'[Mort_prématurée']Coûts]])/Base[[#This Row],[Population_totale]]</f>
        <v>0</v>
      </c>
      <c r="BQ640" s="4">
        <f>IF(Base[[#This Row],[Pathologie]]&lt;&gt;"Mort prématurée",0,Base[[#This Row],[Risque]])</f>
        <v>0</v>
      </c>
      <c r="BR640" s="4">
        <v>2680</v>
      </c>
      <c r="BS64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0" s="4">
        <f>Base[[#This Row],[Prévalence_prod]]*(1-Base[[#This Row],[Risque]])*Base[[#This Row],[Durée_arrêt]]*Base[[#This Row],[Population_emploi]]</f>
        <v>0</v>
      </c>
      <c r="BV640" s="4">
        <f>Base[[#This Row],['[Prod']'[Absentéisme']Total_jours_absence_avant]]-Base[[#This Row],['[Prod']'[Absentéisme']Total_jours_absence_après]]</f>
        <v>0</v>
      </c>
      <c r="BW640" s="4">
        <f>IF(AND(Base[[#This Row],[Pathologie]]&lt;&gt;"Dépendance",Base[[#This Row],[Pathologie]]&lt;&gt;"Mort prématurée",Base[[#This Row],[Pathologie]]&lt;&gt;"Migraine"),0.0619,0)</f>
        <v>0</v>
      </c>
      <c r="BX640" s="4">
        <v>254</v>
      </c>
      <c r="BY64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0" s="4">
        <f>Base[[#This Row],[Prévalence_prod]]*Base[[#This Row],[Présentéisme]]*Base[[#This Row],['[Prod']Jours_ouvrés]]</f>
        <v>0</v>
      </c>
      <c r="CB640" s="4">
        <f>Base[[#This Row],[Prévalence_prod]]*(1-Base[[#This Row],[Risque]])*Base[[#This Row],[Présentéisme]]*Base[[#This Row],['[Prod']Jours_ouvrés]]</f>
        <v>0</v>
      </c>
      <c r="CC640" s="4">
        <f>Base[[#This Row],['[Prod']'[Présentéisme']Jours_avant]]-Base[[#This Row],['[Prod']'[Présentéisme']Jours_après]]</f>
        <v>0</v>
      </c>
      <c r="CD640" s="4">
        <f>Base[[#This Row],['[Prod']'[Présentéisme']Jours_gagnés]]/Base[[#This Row],['[Prod']Jours_ouvrés]]</f>
        <v>0</v>
      </c>
      <c r="CE640">
        <v>9.3428413505841454E-2</v>
      </c>
      <c r="CF640">
        <v>2.1038737314955848E-2</v>
      </c>
      <c r="CG640" s="4">
        <v>11</v>
      </c>
      <c r="CH640" s="4">
        <v>0.19346787829229528</v>
      </c>
      <c r="CI640" s="4">
        <v>2.8126549817953091E-2</v>
      </c>
      <c r="CJ640" s="4">
        <f>IF(Base[[#This Row],[Secteur]]&lt;&gt;"Moyenne",Base[[#This Row],['[Prod']'[Turnover']DMC_initiale]]*(1+Base[[#This Row],['[Prod']'[Turnover']Ecart_accidents]]*Base[[#This Row],['[Prod']Impact_motifs_turnover]]),CJ623*CI623+CJ624*CI624+CJ625*CI625+CJ626*CI626+CJ627*CI627+CJ628*CI628+CJ629*CI629+CJ630*CI630+CJ631*CI631+CJ632*CI632+CJ633*CI633+CJ634*CI634+CJ635*CI635+CJ636*CI636+CJ637*CI637+CJ638*CI638+CJ639*CI639)</f>
        <v>11.044773518573008</v>
      </c>
      <c r="CK640" s="4">
        <f>1/Base[[#This Row],['[Prod']'[Turnover']DMC_initiale]]</f>
        <v>9.0909090909090912E-2</v>
      </c>
      <c r="CL640" s="4">
        <f>1/Base[[#This Row],['[Prod']'[Turnover']DMC_finale]]</f>
        <v>9.0540561861082031E-2</v>
      </c>
    </row>
    <row r="641" spans="2:90" x14ac:dyDescent="0.25">
      <c r="B641" s="4" t="s">
        <v>327</v>
      </c>
      <c r="C641">
        <v>30</v>
      </c>
      <c r="D641" t="s">
        <v>85</v>
      </c>
      <c r="E641" t="s">
        <v>42</v>
      </c>
      <c r="F641" s="3">
        <v>4.4901789846988658</v>
      </c>
      <c r="G641" s="3">
        <v>0.371</v>
      </c>
      <c r="H641" s="3">
        <v>0.371</v>
      </c>
      <c r="I641" s="3">
        <v>0</v>
      </c>
      <c r="J641" s="3">
        <v>0</v>
      </c>
      <c r="K641" s="3">
        <v>7.0000000000000007E-2</v>
      </c>
      <c r="L641" s="2">
        <f>Base[[#This Row],[Coût]]*Base[[#This Row],[Part_ménages_dépenses_santé]]</f>
        <v>0</v>
      </c>
      <c r="M641" s="2">
        <v>0</v>
      </c>
      <c r="N641" s="6">
        <v>27700000</v>
      </c>
      <c r="O641" s="7">
        <f>Base[[#This Row],[Coût_salarié]]*10^9*Base[[#This Row],[Risque]]*Base[[#This Row],[Prévalence]]*Base[[#This Row],[Part_coûts_salarié]]/Base[[#This Row],[Population_emploi]]</f>
        <v>0</v>
      </c>
      <c r="P641">
        <v>50</v>
      </c>
      <c r="Q641">
        <v>50</v>
      </c>
      <c r="R641" s="2">
        <v>9.9999999999999978E-2</v>
      </c>
      <c r="S641" s="2">
        <v>0.33340000000000003</v>
      </c>
      <c r="T641" s="4">
        <v>0</v>
      </c>
      <c r="U641" s="4">
        <f>IF(Bases_annexes!$F$5=0,16.6587111018772,0.77*Bases_annexes!$F$5/(IF(OR(ISBLANK('Données_d''entrée'!$E$44),'Données_d''entrée'!$E$44=0),35,'Données_d''entrée'!$E$44)*52))</f>
        <v>16.658711101877199</v>
      </c>
      <c r="V641" s="4">
        <v>0</v>
      </c>
      <c r="W64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1" s="4">
        <v>234.5</v>
      </c>
      <c r="Y641" s="4">
        <f>(Base[[#This Row],['[Maladies']Coûts_évités_par_salarié]]+Base[[#This Row],['[Travail']Coûts_évités_par_salarié]])/Base[[#This Row],[Budget_santé_salarié]]</f>
        <v>0</v>
      </c>
      <c r="Z641" s="4">
        <v>0.8</v>
      </c>
      <c r="AA641" s="4">
        <f>Base[[#This Row],[Coût]]*Base[[#This Row],[Part_société_dépenses_santé]]</f>
        <v>0</v>
      </c>
      <c r="AB641" s="4">
        <v>67635124</v>
      </c>
      <c r="AC641" s="4">
        <v>82.297079063317852</v>
      </c>
      <c r="AD641" s="4">
        <v>0</v>
      </c>
      <c r="AE641" s="4">
        <f>Base[[#This Row],['[SC']Prévalence_travail]]*Base[[#This Row],[Population_emploi]]</f>
        <v>0</v>
      </c>
      <c r="AF641" s="4">
        <f>Base[[#This Row],[Risque]]*Base[[#This Row],['[SC']Patients_en_emploi]]</f>
        <v>0</v>
      </c>
      <c r="AG641" s="4">
        <v>0</v>
      </c>
      <c r="AH641" s="4">
        <f>IFERROR(Base[[#This Row],['[SC']Prestations]]/Base[[#This Row],['[SC']Patients_en_emploi]],0)</f>
        <v>0</v>
      </c>
      <c r="AI641" s="4">
        <v>51.7</v>
      </c>
      <c r="AJ64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1" s="4">
        <f>Base[[#This Row],['[SC']'[Travail']Coûts_évités]]/Base[[#This Row],[Population_emploi]]</f>
        <v>0</v>
      </c>
      <c r="AL641" s="4">
        <f>Base[[#This Row],[Coût_société]]*10^9*Base[[#This Row],[Risque]]*Base[[#This Row],[Prévalence]]*Base[[#This Row],[Part_coûts_salarié]]/Base[[#This Row],[Population_emploi]]</f>
        <v>0</v>
      </c>
      <c r="AM641" s="4">
        <f>IF(Base[[#This Row],[Pathologie]]&lt;&gt;"Dépendance",0,14909.24243952)</f>
        <v>14909.24243952</v>
      </c>
      <c r="AN641" s="4">
        <f>IF(Base[[#This Row],[Pathologie]]&lt;&gt;"Dépendance",0,1316000)</f>
        <v>1316000</v>
      </c>
      <c r="AO641" s="4">
        <f>IF(Base[[#This Row],[Pathologie]]&lt;&gt;"Dépendance",0,Base[[#This Row],['[SC']Coût_personne_dépendante]]*Base[[#This Row],['[SC']Nb_personnes_dépendantes]])</f>
        <v>19620563050.408321</v>
      </c>
      <c r="AP641" s="4">
        <f>IF(Base[[#This Row],[Pathologie]]&lt;&gt;"Dépendance",0,Base[[#This Row],['[SC']Coût_total_dépendance]]/Base[[#This Row],[Population_totale]])</f>
        <v>290.09428666691468</v>
      </c>
      <c r="AQ641" s="4">
        <f>IF(Base[[#This Row],[Pathologie]]&lt;&gt;"Dépendance",0,4.5)</f>
        <v>4.5</v>
      </c>
      <c r="AR641" s="4">
        <v>1.0077957276768601</v>
      </c>
      <c r="AS641" s="4">
        <f>Base[[#This Row],[Espérance_vie]]+Base[[#This Row],['[SC']Hausse_esp_de_vie]]-Base[[#This Row],['[SC']Durée_moyenne_dépendance_avt]]+Base[[#This Row],[Risque]]</f>
        <v>83.295053775693589</v>
      </c>
      <c r="AT64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1" s="4">
        <v>62.9</v>
      </c>
      <c r="AW641" s="4">
        <f t="shared" si="21"/>
        <v>336905600000</v>
      </c>
      <c r="AX641" s="4">
        <v>15049171</v>
      </c>
      <c r="AY641" s="4">
        <f>Base[[#This Row],['[SC']Budget_total_retraites]]/Base[[#This Row],['[SC']Nombre_de_retraités]]</f>
        <v>22386.987296509556</v>
      </c>
      <c r="AZ641" s="4">
        <f>Base[[#This Row],['[SC']Budget_par_retraité]]*Base[[#This Row],['[SC']Nb_personnes_dépendantes]]</f>
        <v>29461275282.206577</v>
      </c>
      <c r="BA641" s="4">
        <f>Base[[#This Row],['[SC']'[Dépendance']Coût_retraite_personnes_dépendantes]]/Base[[#This Row],[Population_totale]]</f>
        <v>435.59135460750508</v>
      </c>
      <c r="BB641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1" s="4">
        <f>Base[[#This Row],['[SC']'[Dépendance']Gains]]-Base[[#This Row],['[SC']'[Dépendance']Coûts]]</f>
        <v>131.21638512372317</v>
      </c>
      <c r="BD641" s="4">
        <f>IF(Base[[#This Row],[Pathologie]]&lt;&gt;"Mort prématurée",0,Base[[#This Row],[Risque]]*Base[[#This Row],[Prévalence]]*Base[[#This Row],[Population_totale]])</f>
        <v>0</v>
      </c>
      <c r="BE641" s="4">
        <v>52.74</v>
      </c>
      <c r="BF641" s="4">
        <f>Base[[#This Row],['[SC']Âge_moyen_retraite]]-Base[[#This Row],['[SC']'[Mort_prématurée']Âge_moyen_mort précoce]]</f>
        <v>10.159999999999997</v>
      </c>
      <c r="BG641" s="4">
        <f>Base[[#This Row],[Espérance_vie]]+Base[[#This Row],['[SC']Hausse_esp_de_vie]]-Base[[#This Row],['[SC']Âge_moyen_retraite]]</f>
        <v>20.404874790994718</v>
      </c>
      <c r="BH641" s="4">
        <v>106583.42676924677</v>
      </c>
      <c r="BI641" s="4">
        <v>97601.789429271477</v>
      </c>
      <c r="BJ641" s="4">
        <v>302038.31496633729</v>
      </c>
      <c r="BK641" s="4">
        <v>117293.58934859755</v>
      </c>
      <c r="BL641" s="4">
        <v>1523999.9999999995</v>
      </c>
      <c r="BM64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1" s="4">
        <v>294804.96027377353</v>
      </c>
      <c r="BO64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1" s="4">
        <f>(Base[[#This Row],['[SC']'[Mort_prématurée']Gains]]-Base[[#This Row],['[SC']'[Mort_prématurée']Coûts]])/Base[[#This Row],[Population_totale]]</f>
        <v>0</v>
      </c>
      <c r="BQ641" s="4">
        <f>IF(Base[[#This Row],[Pathologie]]&lt;&gt;"Mort prématurée",0,Base[[#This Row],[Risque]])</f>
        <v>0</v>
      </c>
      <c r="BR641" s="4">
        <v>2680</v>
      </c>
      <c r="BS64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1" s="4">
        <f>Base[[#This Row],[Prévalence_prod]]*(1-Base[[#This Row],[Risque]])*Base[[#This Row],[Durée_arrêt]]*Base[[#This Row],[Population_emploi]]</f>
        <v>0</v>
      </c>
      <c r="BV641" s="4">
        <f>Base[[#This Row],['[Prod']'[Absentéisme']Total_jours_absence_avant]]-Base[[#This Row],['[Prod']'[Absentéisme']Total_jours_absence_après]]</f>
        <v>0</v>
      </c>
      <c r="BW641" s="4">
        <f>IF(AND(Base[[#This Row],[Pathologie]]&lt;&gt;"Dépendance",Base[[#This Row],[Pathologie]]&lt;&gt;"Mort prématurée",Base[[#This Row],[Pathologie]]&lt;&gt;"Migraine"),0.0619,0)</f>
        <v>0</v>
      </c>
      <c r="BX641" s="4">
        <v>254</v>
      </c>
      <c r="BY64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1" s="4">
        <f>Base[[#This Row],[Prévalence_prod]]*Base[[#This Row],[Présentéisme]]*Base[[#This Row],['[Prod']Jours_ouvrés]]</f>
        <v>0</v>
      </c>
      <c r="CB641" s="4">
        <f>Base[[#This Row],[Prévalence_prod]]*(1-Base[[#This Row],[Risque]])*Base[[#This Row],[Présentéisme]]*Base[[#This Row],['[Prod']Jours_ouvrés]]</f>
        <v>0</v>
      </c>
      <c r="CC641" s="4">
        <f>Base[[#This Row],['[Prod']'[Présentéisme']Jours_avant]]-Base[[#This Row],['[Prod']'[Présentéisme']Jours_après]]</f>
        <v>0</v>
      </c>
      <c r="CD641" s="4">
        <f>Base[[#This Row],['[Prod']'[Présentéisme']Jours_gagnés]]/Base[[#This Row],['[Prod']Jours_ouvrés]]</f>
        <v>0</v>
      </c>
      <c r="CE641">
        <v>9.3428413505841454E-2</v>
      </c>
      <c r="CF641">
        <v>2.1038737314955848E-2</v>
      </c>
      <c r="CG641" s="4">
        <v>11</v>
      </c>
      <c r="CH641" s="4">
        <v>0.13729577077682142</v>
      </c>
      <c r="CI641" s="4">
        <v>1.373516710817578E-2</v>
      </c>
      <c r="CJ641" s="4">
        <f>IF(Base[[#This Row],[Secteur]]&lt;&gt;"Moyenne",Base[[#This Row],['[Prod']'[Turnover']DMC_initiale]]*(1+Base[[#This Row],['[Prod']'[Turnover']Ecart_accidents]]*Base[[#This Row],['[Prod']Impact_motifs_turnover]]),CJ624*CI624+CJ625*CI625+CJ626*CI626+CJ627*CI627+CJ628*CI628+CJ629*CI629+CJ630*CI630+CJ631*CI631+CJ632*CI632+CJ633*CI633+CJ634*CI634+CJ635*CI635+CJ636*CI636+CJ637*CI637+CJ638*CI638+CJ639*CI639+CJ640*CI640)</f>
        <v>11.031773826214106</v>
      </c>
      <c r="CK641" s="4">
        <f>1/Base[[#This Row],['[Prod']'[Turnover']DMC_initiale]]</f>
        <v>9.0909090909090912E-2</v>
      </c>
      <c r="CL641" s="4">
        <f>1/Base[[#This Row],['[Prod']'[Turnover']DMC_finale]]</f>
        <v>9.0647253628764871E-2</v>
      </c>
    </row>
    <row r="642" spans="2:90" x14ac:dyDescent="0.25">
      <c r="B642" s="4" t="s">
        <v>328</v>
      </c>
      <c r="C642">
        <v>30</v>
      </c>
      <c r="D642" t="s">
        <v>85</v>
      </c>
      <c r="E642" t="s">
        <v>42</v>
      </c>
      <c r="F642" s="3">
        <v>4.4901789846988658</v>
      </c>
      <c r="G642" s="3">
        <v>0.371</v>
      </c>
      <c r="H642" s="3">
        <v>0.371</v>
      </c>
      <c r="I642" s="3">
        <v>0</v>
      </c>
      <c r="J642" s="3">
        <v>0</v>
      </c>
      <c r="K642" s="3">
        <v>7.0000000000000007E-2</v>
      </c>
      <c r="L642" s="2">
        <f>Base[[#This Row],[Coût]]*Base[[#This Row],[Part_ménages_dépenses_santé]]</f>
        <v>0</v>
      </c>
      <c r="M642" s="2">
        <v>0</v>
      </c>
      <c r="N642" s="6">
        <v>27700000</v>
      </c>
      <c r="O642" s="7">
        <f>Base[[#This Row],[Coût_salarié]]*10^9*Base[[#This Row],[Risque]]*Base[[#This Row],[Prévalence]]*Base[[#This Row],[Part_coûts_salarié]]/Base[[#This Row],[Population_emploi]]</f>
        <v>0</v>
      </c>
      <c r="P642">
        <v>50</v>
      </c>
      <c r="Q642">
        <v>50</v>
      </c>
      <c r="R642" s="2">
        <v>9.9999999999999978E-2</v>
      </c>
      <c r="S642" s="2">
        <v>0.33340000000000003</v>
      </c>
      <c r="T642" s="4">
        <v>0</v>
      </c>
      <c r="U642" s="4">
        <f>IF(Bases_annexes!$F$5=0,16.6587111018772,0.77*Bases_annexes!$F$5/(IF(OR(ISBLANK('Données_d''entrée'!$E$44),'Données_d''entrée'!$E$44=0),35,'Données_d''entrée'!$E$44)*52))</f>
        <v>16.658711101877199</v>
      </c>
      <c r="V642" s="4">
        <v>0</v>
      </c>
      <c r="W64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2" s="4">
        <v>234.5</v>
      </c>
      <c r="Y642" s="4">
        <f>(Base[[#This Row],['[Maladies']Coûts_évités_par_salarié]]+Base[[#This Row],['[Travail']Coûts_évités_par_salarié]])/Base[[#This Row],[Budget_santé_salarié]]</f>
        <v>0</v>
      </c>
      <c r="Z642" s="4">
        <v>0.8</v>
      </c>
      <c r="AA642" s="4">
        <f>Base[[#This Row],[Coût]]*Base[[#This Row],[Part_société_dépenses_santé]]</f>
        <v>0</v>
      </c>
      <c r="AB642" s="4">
        <v>67635124</v>
      </c>
      <c r="AC642" s="4">
        <v>82.297079063317852</v>
      </c>
      <c r="AD642" s="4">
        <v>0</v>
      </c>
      <c r="AE642" s="4">
        <f>Base[[#This Row],['[SC']Prévalence_travail]]*Base[[#This Row],[Population_emploi]]</f>
        <v>0</v>
      </c>
      <c r="AF642" s="4">
        <f>Base[[#This Row],[Risque]]*Base[[#This Row],['[SC']Patients_en_emploi]]</f>
        <v>0</v>
      </c>
      <c r="AG642" s="4">
        <v>0</v>
      </c>
      <c r="AH642" s="4">
        <f>IFERROR(Base[[#This Row],['[SC']Prestations]]/Base[[#This Row],['[SC']Patients_en_emploi]],0)</f>
        <v>0</v>
      </c>
      <c r="AI642" s="4">
        <v>51.7</v>
      </c>
      <c r="AJ64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2" s="4">
        <f>Base[[#This Row],['[SC']'[Travail']Coûts_évités]]/Base[[#This Row],[Population_emploi]]</f>
        <v>0</v>
      </c>
      <c r="AL642" s="4">
        <f>Base[[#This Row],[Coût_société]]*10^9*Base[[#This Row],[Risque]]*Base[[#This Row],[Prévalence]]*Base[[#This Row],[Part_coûts_salarié]]/Base[[#This Row],[Population_emploi]]</f>
        <v>0</v>
      </c>
      <c r="AM642" s="4">
        <f>IF(Base[[#This Row],[Pathologie]]&lt;&gt;"Dépendance",0,14909.24243952)</f>
        <v>14909.24243952</v>
      </c>
      <c r="AN642" s="4">
        <f>IF(Base[[#This Row],[Pathologie]]&lt;&gt;"Dépendance",0,1316000)</f>
        <v>1316000</v>
      </c>
      <c r="AO642" s="4">
        <f>IF(Base[[#This Row],[Pathologie]]&lt;&gt;"Dépendance",0,Base[[#This Row],['[SC']Coût_personne_dépendante]]*Base[[#This Row],['[SC']Nb_personnes_dépendantes]])</f>
        <v>19620563050.408321</v>
      </c>
      <c r="AP642" s="4">
        <f>IF(Base[[#This Row],[Pathologie]]&lt;&gt;"Dépendance",0,Base[[#This Row],['[SC']Coût_total_dépendance]]/Base[[#This Row],[Population_totale]])</f>
        <v>290.09428666691468</v>
      </c>
      <c r="AQ642" s="4">
        <f>IF(Base[[#This Row],[Pathologie]]&lt;&gt;"Dépendance",0,4.5)</f>
        <v>4.5</v>
      </c>
      <c r="AR642" s="4">
        <v>1.0077957276768601</v>
      </c>
      <c r="AS642" s="4">
        <f>Base[[#This Row],[Espérance_vie]]+Base[[#This Row],['[SC']Hausse_esp_de_vie]]-Base[[#This Row],['[SC']Durée_moyenne_dépendance_avt]]+Base[[#This Row],[Risque]]</f>
        <v>83.295053775693589</v>
      </c>
      <c r="AT64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2" s="4">
        <v>62.9</v>
      </c>
      <c r="AW642" s="4">
        <f t="shared" si="21"/>
        <v>336905600000</v>
      </c>
      <c r="AX642" s="4">
        <v>15049171</v>
      </c>
      <c r="AY642" s="4">
        <f>Base[[#This Row],['[SC']Budget_total_retraites]]/Base[[#This Row],['[SC']Nombre_de_retraités]]</f>
        <v>22386.987296509556</v>
      </c>
      <c r="AZ642" s="4">
        <f>Base[[#This Row],['[SC']Budget_par_retraité]]*Base[[#This Row],['[SC']Nb_personnes_dépendantes]]</f>
        <v>29461275282.206577</v>
      </c>
      <c r="BA642" s="4">
        <f>Base[[#This Row],['[SC']'[Dépendance']Coût_retraite_personnes_dépendantes]]/Base[[#This Row],[Population_totale]]</f>
        <v>435.59135460750508</v>
      </c>
      <c r="BB642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2" s="4">
        <f>Base[[#This Row],['[SC']'[Dépendance']Gains]]-Base[[#This Row],['[SC']'[Dépendance']Coûts]]</f>
        <v>131.21638512372317</v>
      </c>
      <c r="BD642" s="4">
        <f>IF(Base[[#This Row],[Pathologie]]&lt;&gt;"Mort prématurée",0,Base[[#This Row],[Risque]]*Base[[#This Row],[Prévalence]]*Base[[#This Row],[Population_totale]])</f>
        <v>0</v>
      </c>
      <c r="BE642" s="4">
        <v>52.74</v>
      </c>
      <c r="BF642" s="4">
        <f>Base[[#This Row],['[SC']Âge_moyen_retraite]]-Base[[#This Row],['[SC']'[Mort_prématurée']Âge_moyen_mort précoce]]</f>
        <v>10.159999999999997</v>
      </c>
      <c r="BG642" s="4">
        <f>Base[[#This Row],[Espérance_vie]]+Base[[#This Row],['[SC']Hausse_esp_de_vie]]-Base[[#This Row],['[SC']Âge_moyen_retraite]]</f>
        <v>20.404874790994718</v>
      </c>
      <c r="BH642" s="4">
        <v>106583.42676924677</v>
      </c>
      <c r="BI642" s="4">
        <v>97601.789429271477</v>
      </c>
      <c r="BJ642" s="4">
        <v>302038.31496633729</v>
      </c>
      <c r="BK642" s="4">
        <v>117293.58934859755</v>
      </c>
      <c r="BL642" s="4">
        <v>1523999.9999999995</v>
      </c>
      <c r="BM64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2" s="4">
        <v>294804.96027377353</v>
      </c>
      <c r="BO64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2" s="4">
        <f>(Base[[#This Row],['[SC']'[Mort_prématurée']Gains]]-Base[[#This Row],['[SC']'[Mort_prématurée']Coûts]])/Base[[#This Row],[Population_totale]]</f>
        <v>0</v>
      </c>
      <c r="BQ642" s="4">
        <f>IF(Base[[#This Row],[Pathologie]]&lt;&gt;"Mort prématurée",0,Base[[#This Row],[Risque]])</f>
        <v>0</v>
      </c>
      <c r="BR642" s="4">
        <v>2680</v>
      </c>
      <c r="BS64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2" s="4">
        <f>Base[[#This Row],[Prévalence_prod]]*(1-Base[[#This Row],[Risque]])*Base[[#This Row],[Durée_arrêt]]*Base[[#This Row],[Population_emploi]]</f>
        <v>0</v>
      </c>
      <c r="BV642" s="4">
        <f>Base[[#This Row],['[Prod']'[Absentéisme']Total_jours_absence_avant]]-Base[[#This Row],['[Prod']'[Absentéisme']Total_jours_absence_après]]</f>
        <v>0</v>
      </c>
      <c r="BW642" s="4">
        <f>IF(AND(Base[[#This Row],[Pathologie]]&lt;&gt;"Dépendance",Base[[#This Row],[Pathologie]]&lt;&gt;"Mort prématurée",Base[[#This Row],[Pathologie]]&lt;&gt;"Migraine"),0.0619,0)</f>
        <v>0</v>
      </c>
      <c r="BX642" s="4">
        <v>254</v>
      </c>
      <c r="BY64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2" s="4">
        <f>Base[[#This Row],[Prévalence_prod]]*Base[[#This Row],[Présentéisme]]*Base[[#This Row],['[Prod']Jours_ouvrés]]</f>
        <v>0</v>
      </c>
      <c r="CB642" s="4">
        <f>Base[[#This Row],[Prévalence_prod]]*(1-Base[[#This Row],[Risque]])*Base[[#This Row],[Présentéisme]]*Base[[#This Row],['[Prod']Jours_ouvrés]]</f>
        <v>0</v>
      </c>
      <c r="CC642" s="4">
        <f>Base[[#This Row],['[Prod']'[Présentéisme']Jours_avant]]-Base[[#This Row],['[Prod']'[Présentéisme']Jours_après]]</f>
        <v>0</v>
      </c>
      <c r="CD642" s="4">
        <f>Base[[#This Row],['[Prod']'[Présentéisme']Jours_gagnés]]/Base[[#This Row],['[Prod']Jours_ouvrés]]</f>
        <v>0</v>
      </c>
      <c r="CE642">
        <v>9.3428413505841454E-2</v>
      </c>
      <c r="CF642">
        <v>2.1038737314955848E-2</v>
      </c>
      <c r="CG642" s="4">
        <v>11</v>
      </c>
      <c r="CH642" s="4">
        <v>0.60922528771817497</v>
      </c>
      <c r="CI642" s="4">
        <v>3.8601807163334179E-3</v>
      </c>
      <c r="CJ642" s="4">
        <f>IF(Base[[#This Row],[Secteur]]&lt;&gt;"Moyenne",Base[[#This Row],['[Prod']'[Turnover']DMC_initiale]]*(1+Base[[#This Row],['[Prod']'[Turnover']Ecart_accidents]]*Base[[#This Row],['[Prod']Impact_motifs_turnover]]),CJ625*CI625+CJ626*CI626+CJ627*CI627+CJ628*CI628+CJ629*CI629+CJ630*CI630+CJ631*CI631+CJ632*CI632+CJ633*CI633+CJ634*CI634+CJ635*CI635+CJ636*CI636+CJ637*CI637+CJ638*CI638+CJ639*CI639+CJ640*CI640+CJ641*CI641)</f>
        <v>11.140990638733241</v>
      </c>
      <c r="CK642" s="4">
        <f>1/Base[[#This Row],['[Prod']'[Turnover']DMC_initiale]]</f>
        <v>9.0909090909090912E-2</v>
      </c>
      <c r="CL642" s="4">
        <f>1/Base[[#This Row],['[Prod']'[Turnover']DMC_finale]]</f>
        <v>8.9758624921859057E-2</v>
      </c>
    </row>
    <row r="643" spans="2:90" x14ac:dyDescent="0.25">
      <c r="B643" s="4" t="s">
        <v>329</v>
      </c>
      <c r="C643">
        <v>30</v>
      </c>
      <c r="D643" t="s">
        <v>85</v>
      </c>
      <c r="E643" t="s">
        <v>42</v>
      </c>
      <c r="F643" s="3">
        <v>4.4901789846988658</v>
      </c>
      <c r="G643" s="3">
        <v>0.371</v>
      </c>
      <c r="H643" s="3">
        <v>0.371</v>
      </c>
      <c r="I643" s="3">
        <v>0</v>
      </c>
      <c r="J643" s="3">
        <v>0</v>
      </c>
      <c r="K643" s="3">
        <v>7.0000000000000007E-2</v>
      </c>
      <c r="L643" s="2">
        <f>Base[[#This Row],[Coût]]*Base[[#This Row],[Part_ménages_dépenses_santé]]</f>
        <v>0</v>
      </c>
      <c r="M643" s="2">
        <v>0</v>
      </c>
      <c r="N643" s="6">
        <v>27700000</v>
      </c>
      <c r="O643" s="7">
        <f>Base[[#This Row],[Coût_salarié]]*10^9*Base[[#This Row],[Risque]]*Base[[#This Row],[Prévalence]]*Base[[#This Row],[Part_coûts_salarié]]/Base[[#This Row],[Population_emploi]]</f>
        <v>0</v>
      </c>
      <c r="P643">
        <v>50</v>
      </c>
      <c r="Q643">
        <v>50</v>
      </c>
      <c r="R643" s="2">
        <v>9.9999999999999978E-2</v>
      </c>
      <c r="S643" s="2">
        <v>0.33340000000000003</v>
      </c>
      <c r="T643" s="4">
        <v>0</v>
      </c>
      <c r="U643" s="4">
        <f>IF(Bases_annexes!$F$5=0,16.6587111018772,0.77*Bases_annexes!$F$5/(IF(OR(ISBLANK('Données_d''entrée'!$E$44),'Données_d''entrée'!$E$44=0),35,'Données_d''entrée'!$E$44)*52))</f>
        <v>16.658711101877199</v>
      </c>
      <c r="V643" s="4">
        <v>0</v>
      </c>
      <c r="W64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3" s="4">
        <v>234.5</v>
      </c>
      <c r="Y643" s="4">
        <f>(Base[[#This Row],['[Maladies']Coûts_évités_par_salarié]]+Base[[#This Row],['[Travail']Coûts_évités_par_salarié]])/Base[[#This Row],[Budget_santé_salarié]]</f>
        <v>0</v>
      </c>
      <c r="Z643" s="4">
        <v>0.8</v>
      </c>
      <c r="AA643" s="4">
        <f>Base[[#This Row],[Coût]]*Base[[#This Row],[Part_société_dépenses_santé]]</f>
        <v>0</v>
      </c>
      <c r="AB643" s="4">
        <v>67635124</v>
      </c>
      <c r="AC643" s="4">
        <v>82.297079063317852</v>
      </c>
      <c r="AD643" s="4">
        <v>0</v>
      </c>
      <c r="AE643" s="4">
        <f>Base[[#This Row],['[SC']Prévalence_travail]]*Base[[#This Row],[Population_emploi]]</f>
        <v>0</v>
      </c>
      <c r="AF643" s="4">
        <f>Base[[#This Row],[Risque]]*Base[[#This Row],['[SC']Patients_en_emploi]]</f>
        <v>0</v>
      </c>
      <c r="AG643" s="4">
        <v>0</v>
      </c>
      <c r="AH643" s="4">
        <f>IFERROR(Base[[#This Row],['[SC']Prestations]]/Base[[#This Row],['[SC']Patients_en_emploi]],0)</f>
        <v>0</v>
      </c>
      <c r="AI643" s="4">
        <v>51.7</v>
      </c>
      <c r="AJ64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3" s="4">
        <f>Base[[#This Row],['[SC']'[Travail']Coûts_évités]]/Base[[#This Row],[Population_emploi]]</f>
        <v>0</v>
      </c>
      <c r="AL643" s="4">
        <f>Base[[#This Row],[Coût_société]]*10^9*Base[[#This Row],[Risque]]*Base[[#This Row],[Prévalence]]*Base[[#This Row],[Part_coûts_salarié]]/Base[[#This Row],[Population_emploi]]</f>
        <v>0</v>
      </c>
      <c r="AM643" s="4">
        <f>IF(Base[[#This Row],[Pathologie]]&lt;&gt;"Dépendance",0,14909.24243952)</f>
        <v>14909.24243952</v>
      </c>
      <c r="AN643" s="4">
        <f>IF(Base[[#This Row],[Pathologie]]&lt;&gt;"Dépendance",0,1316000)</f>
        <v>1316000</v>
      </c>
      <c r="AO643" s="4">
        <f>IF(Base[[#This Row],[Pathologie]]&lt;&gt;"Dépendance",0,Base[[#This Row],['[SC']Coût_personne_dépendante]]*Base[[#This Row],['[SC']Nb_personnes_dépendantes]])</f>
        <v>19620563050.408321</v>
      </c>
      <c r="AP643" s="4">
        <f>IF(Base[[#This Row],[Pathologie]]&lt;&gt;"Dépendance",0,Base[[#This Row],['[SC']Coût_total_dépendance]]/Base[[#This Row],[Population_totale]])</f>
        <v>290.09428666691468</v>
      </c>
      <c r="AQ643" s="4">
        <f>IF(Base[[#This Row],[Pathologie]]&lt;&gt;"Dépendance",0,4.5)</f>
        <v>4.5</v>
      </c>
      <c r="AR643" s="4">
        <v>1.0077957276768601</v>
      </c>
      <c r="AS643" s="4">
        <f>Base[[#This Row],[Espérance_vie]]+Base[[#This Row],['[SC']Hausse_esp_de_vie]]-Base[[#This Row],['[SC']Durée_moyenne_dépendance_avt]]+Base[[#This Row],[Risque]]</f>
        <v>83.295053775693589</v>
      </c>
      <c r="AT64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3" s="4">
        <v>62.9</v>
      </c>
      <c r="AW643" s="4">
        <f t="shared" si="21"/>
        <v>336905600000</v>
      </c>
      <c r="AX643" s="4">
        <v>15049171</v>
      </c>
      <c r="AY643" s="4">
        <f>Base[[#This Row],['[SC']Budget_total_retraites]]/Base[[#This Row],['[SC']Nombre_de_retraités]]</f>
        <v>22386.987296509556</v>
      </c>
      <c r="AZ643" s="4">
        <f>Base[[#This Row],['[SC']Budget_par_retraité]]*Base[[#This Row],['[SC']Nb_personnes_dépendantes]]</f>
        <v>29461275282.206577</v>
      </c>
      <c r="BA643" s="4">
        <f>Base[[#This Row],['[SC']'[Dépendance']Coût_retraite_personnes_dépendantes]]/Base[[#This Row],[Population_totale]]</f>
        <v>435.59135460750508</v>
      </c>
      <c r="BB643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3" s="4">
        <f>Base[[#This Row],['[SC']'[Dépendance']Gains]]-Base[[#This Row],['[SC']'[Dépendance']Coûts]]</f>
        <v>131.21638512372317</v>
      </c>
      <c r="BD643" s="4">
        <f>IF(Base[[#This Row],[Pathologie]]&lt;&gt;"Mort prématurée",0,Base[[#This Row],[Risque]]*Base[[#This Row],[Prévalence]]*Base[[#This Row],[Population_totale]])</f>
        <v>0</v>
      </c>
      <c r="BE643" s="4">
        <v>52.74</v>
      </c>
      <c r="BF643" s="4">
        <f>Base[[#This Row],['[SC']Âge_moyen_retraite]]-Base[[#This Row],['[SC']'[Mort_prématurée']Âge_moyen_mort précoce]]</f>
        <v>10.159999999999997</v>
      </c>
      <c r="BG643" s="4">
        <f>Base[[#This Row],[Espérance_vie]]+Base[[#This Row],['[SC']Hausse_esp_de_vie]]-Base[[#This Row],['[SC']Âge_moyen_retraite]]</f>
        <v>20.404874790994718</v>
      </c>
      <c r="BH643" s="4">
        <v>106583.42676924677</v>
      </c>
      <c r="BI643" s="4">
        <v>97601.789429271477</v>
      </c>
      <c r="BJ643" s="4">
        <v>302038.31496633729</v>
      </c>
      <c r="BK643" s="4">
        <v>117293.58934859755</v>
      </c>
      <c r="BL643" s="4">
        <v>1523999.9999999995</v>
      </c>
      <c r="BM64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3" s="4">
        <v>294804.96027377353</v>
      </c>
      <c r="BO64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3" s="4">
        <f>(Base[[#This Row],['[SC']'[Mort_prématurée']Gains]]-Base[[#This Row],['[SC']'[Mort_prématurée']Coûts]])/Base[[#This Row],[Population_totale]]</f>
        <v>0</v>
      </c>
      <c r="BQ643" s="4">
        <f>IF(Base[[#This Row],[Pathologie]]&lt;&gt;"Mort prématurée",0,Base[[#This Row],[Risque]])</f>
        <v>0</v>
      </c>
      <c r="BR643" s="4">
        <v>2680</v>
      </c>
      <c r="BS64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3" s="4">
        <f>Base[[#This Row],[Prévalence_prod]]*(1-Base[[#This Row],[Risque]])*Base[[#This Row],[Durée_arrêt]]*Base[[#This Row],[Population_emploi]]</f>
        <v>0</v>
      </c>
      <c r="BV643" s="4">
        <f>Base[[#This Row],['[Prod']'[Absentéisme']Total_jours_absence_avant]]-Base[[#This Row],['[Prod']'[Absentéisme']Total_jours_absence_après]]</f>
        <v>0</v>
      </c>
      <c r="BW643" s="4">
        <f>IF(AND(Base[[#This Row],[Pathologie]]&lt;&gt;"Dépendance",Base[[#This Row],[Pathologie]]&lt;&gt;"Mort prématurée",Base[[#This Row],[Pathologie]]&lt;&gt;"Migraine"),0.0619,0)</f>
        <v>0</v>
      </c>
      <c r="BX643" s="4">
        <v>254</v>
      </c>
      <c r="BY64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3" s="4">
        <f>Base[[#This Row],[Prévalence_prod]]*Base[[#This Row],[Présentéisme]]*Base[[#This Row],['[Prod']Jours_ouvrés]]</f>
        <v>0</v>
      </c>
      <c r="CB643" s="4">
        <f>Base[[#This Row],[Prévalence_prod]]*(1-Base[[#This Row],[Risque]])*Base[[#This Row],[Présentéisme]]*Base[[#This Row],['[Prod']Jours_ouvrés]]</f>
        <v>0</v>
      </c>
      <c r="CC643" s="4">
        <f>Base[[#This Row],['[Prod']'[Présentéisme']Jours_avant]]-Base[[#This Row],['[Prod']'[Présentéisme']Jours_après]]</f>
        <v>0</v>
      </c>
      <c r="CD643" s="4">
        <f>Base[[#This Row],['[Prod']'[Présentéisme']Jours_gagnés]]/Base[[#This Row],['[Prod']Jours_ouvrés]]</f>
        <v>0</v>
      </c>
      <c r="CE643">
        <v>9.3428413505841454E-2</v>
      </c>
      <c r="CF643">
        <v>2.1038737314955848E-2</v>
      </c>
      <c r="CG643" s="4">
        <v>11</v>
      </c>
      <c r="CH643" s="4">
        <v>0.78414927716175975</v>
      </c>
      <c r="CI643" s="4">
        <v>0.12835819090128339</v>
      </c>
      <c r="CJ643" s="4">
        <f>IF(Base[[#This Row],[Secteur]]&lt;&gt;"Moyenne",Base[[#This Row],['[Prod']'[Turnover']DMC_initiale]]*(1+Base[[#This Row],['[Prod']'[Turnover']Ecart_accidents]]*Base[[#This Row],['[Prod']Impact_motifs_turnover]]),CJ626*CI626+CJ627*CI627+CJ628*CI628+CJ629*CI629+CJ630*CI630+CJ631*CI631+CJ632*CI632+CJ633*CI633+CJ634*CI634+CJ635*CI635+CJ636*CI636+CJ637*CI637+CJ638*CI638+CJ639*CI639+CJ640*CI640+CJ641*CI641+CJ642*CI642)</f>
        <v>11.181472617237107</v>
      </c>
      <c r="CK643" s="4">
        <f>1/Base[[#This Row],['[Prod']'[Turnover']DMC_initiale]]</f>
        <v>9.0909090909090912E-2</v>
      </c>
      <c r="CL643" s="4">
        <f>1/Base[[#This Row],['[Prod']'[Turnover']DMC_finale]]</f>
        <v>8.9433658180088235E-2</v>
      </c>
    </row>
    <row r="644" spans="2:90" x14ac:dyDescent="0.25">
      <c r="B644" s="4" t="s">
        <v>330</v>
      </c>
      <c r="C644">
        <v>30</v>
      </c>
      <c r="D644" t="s">
        <v>85</v>
      </c>
      <c r="E644" t="s">
        <v>42</v>
      </c>
      <c r="F644" s="3">
        <v>4.4901789846988658</v>
      </c>
      <c r="G644" s="3">
        <v>0.371</v>
      </c>
      <c r="H644" s="3">
        <v>0.371</v>
      </c>
      <c r="I644" s="3">
        <v>0</v>
      </c>
      <c r="J644" s="3">
        <v>0</v>
      </c>
      <c r="K644" s="3">
        <v>7.0000000000000007E-2</v>
      </c>
      <c r="L644" s="2">
        <f>Base[[#This Row],[Coût]]*Base[[#This Row],[Part_ménages_dépenses_santé]]</f>
        <v>0</v>
      </c>
      <c r="M644" s="2">
        <v>0</v>
      </c>
      <c r="N644" s="6">
        <v>27700000</v>
      </c>
      <c r="O644" s="7">
        <f>Base[[#This Row],[Coût_salarié]]*10^9*Base[[#This Row],[Risque]]*Base[[#This Row],[Prévalence]]*Base[[#This Row],[Part_coûts_salarié]]/Base[[#This Row],[Population_emploi]]</f>
        <v>0</v>
      </c>
      <c r="P644">
        <v>50</v>
      </c>
      <c r="Q644">
        <v>50</v>
      </c>
      <c r="R644" s="2">
        <v>9.9999999999999978E-2</v>
      </c>
      <c r="S644" s="2">
        <v>0.33340000000000003</v>
      </c>
      <c r="T644" s="4">
        <v>0</v>
      </c>
      <c r="U644" s="4">
        <f>IF(Bases_annexes!$F$5=0,16.6587111018772,0.77*Bases_annexes!$F$5/(IF(OR(ISBLANK('Données_d''entrée'!$E$44),'Données_d''entrée'!$E$44=0),35,'Données_d''entrée'!$E$44)*52))</f>
        <v>16.658711101877199</v>
      </c>
      <c r="V644" s="4">
        <v>0</v>
      </c>
      <c r="W64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4" s="4">
        <v>234.5</v>
      </c>
      <c r="Y644" s="4">
        <f>(Base[[#This Row],['[Maladies']Coûts_évités_par_salarié]]+Base[[#This Row],['[Travail']Coûts_évités_par_salarié]])/Base[[#This Row],[Budget_santé_salarié]]</f>
        <v>0</v>
      </c>
      <c r="Z644" s="4">
        <v>0.8</v>
      </c>
      <c r="AA644" s="4">
        <f>Base[[#This Row],[Coût]]*Base[[#This Row],[Part_société_dépenses_santé]]</f>
        <v>0</v>
      </c>
      <c r="AB644" s="4">
        <v>67635124</v>
      </c>
      <c r="AC644" s="4">
        <v>82.297079063317852</v>
      </c>
      <c r="AD644" s="4">
        <v>0</v>
      </c>
      <c r="AE644" s="4">
        <f>Base[[#This Row],['[SC']Prévalence_travail]]*Base[[#This Row],[Population_emploi]]</f>
        <v>0</v>
      </c>
      <c r="AF644" s="4">
        <f>Base[[#This Row],[Risque]]*Base[[#This Row],['[SC']Patients_en_emploi]]</f>
        <v>0</v>
      </c>
      <c r="AG644" s="4">
        <v>0</v>
      </c>
      <c r="AH644" s="4">
        <f>IFERROR(Base[[#This Row],['[SC']Prestations]]/Base[[#This Row],['[SC']Patients_en_emploi]],0)</f>
        <v>0</v>
      </c>
      <c r="AI644" s="4">
        <v>51.7</v>
      </c>
      <c r="AJ64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4" s="4">
        <f>Base[[#This Row],['[SC']'[Travail']Coûts_évités]]/Base[[#This Row],[Population_emploi]]</f>
        <v>0</v>
      </c>
      <c r="AL644" s="4">
        <f>Base[[#This Row],[Coût_société]]*10^9*Base[[#This Row],[Risque]]*Base[[#This Row],[Prévalence]]*Base[[#This Row],[Part_coûts_salarié]]/Base[[#This Row],[Population_emploi]]</f>
        <v>0</v>
      </c>
      <c r="AM644" s="4">
        <f>IF(Base[[#This Row],[Pathologie]]&lt;&gt;"Dépendance",0,14909.24243952)</f>
        <v>14909.24243952</v>
      </c>
      <c r="AN644" s="4">
        <f>IF(Base[[#This Row],[Pathologie]]&lt;&gt;"Dépendance",0,1316000)</f>
        <v>1316000</v>
      </c>
      <c r="AO644" s="4">
        <f>IF(Base[[#This Row],[Pathologie]]&lt;&gt;"Dépendance",0,Base[[#This Row],['[SC']Coût_personne_dépendante]]*Base[[#This Row],['[SC']Nb_personnes_dépendantes]])</f>
        <v>19620563050.408321</v>
      </c>
      <c r="AP644" s="4">
        <f>IF(Base[[#This Row],[Pathologie]]&lt;&gt;"Dépendance",0,Base[[#This Row],['[SC']Coût_total_dépendance]]/Base[[#This Row],[Population_totale]])</f>
        <v>290.09428666691468</v>
      </c>
      <c r="AQ644" s="4">
        <f>IF(Base[[#This Row],[Pathologie]]&lt;&gt;"Dépendance",0,4.5)</f>
        <v>4.5</v>
      </c>
      <c r="AR644" s="4">
        <v>1.0077957276768601</v>
      </c>
      <c r="AS644" s="4">
        <f>Base[[#This Row],[Espérance_vie]]+Base[[#This Row],['[SC']Hausse_esp_de_vie]]-Base[[#This Row],['[SC']Durée_moyenne_dépendance_avt]]+Base[[#This Row],[Risque]]</f>
        <v>83.295053775693589</v>
      </c>
      <c r="AT64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4" s="4">
        <v>62.9</v>
      </c>
      <c r="AW644" s="4">
        <f t="shared" si="21"/>
        <v>336905600000</v>
      </c>
      <c r="AX644" s="4">
        <v>15049171</v>
      </c>
      <c r="AY644" s="4">
        <f>Base[[#This Row],['[SC']Budget_total_retraites]]/Base[[#This Row],['[SC']Nombre_de_retraités]]</f>
        <v>22386.987296509556</v>
      </c>
      <c r="AZ644" s="4">
        <f>Base[[#This Row],['[SC']Budget_par_retraité]]*Base[[#This Row],['[SC']Nb_personnes_dépendantes]]</f>
        <v>29461275282.206577</v>
      </c>
      <c r="BA644" s="4">
        <f>Base[[#This Row],['[SC']'[Dépendance']Coût_retraite_personnes_dépendantes]]/Base[[#This Row],[Population_totale]]</f>
        <v>435.59135460750508</v>
      </c>
      <c r="BB644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4" s="4">
        <f>Base[[#This Row],['[SC']'[Dépendance']Gains]]-Base[[#This Row],['[SC']'[Dépendance']Coûts]]</f>
        <v>131.21638512372317</v>
      </c>
      <c r="BD644" s="4">
        <f>IF(Base[[#This Row],[Pathologie]]&lt;&gt;"Mort prématurée",0,Base[[#This Row],[Risque]]*Base[[#This Row],[Prévalence]]*Base[[#This Row],[Population_totale]])</f>
        <v>0</v>
      </c>
      <c r="BE644" s="4">
        <v>52.74</v>
      </c>
      <c r="BF644" s="4">
        <f>Base[[#This Row],['[SC']Âge_moyen_retraite]]-Base[[#This Row],['[SC']'[Mort_prématurée']Âge_moyen_mort précoce]]</f>
        <v>10.159999999999997</v>
      </c>
      <c r="BG644" s="4">
        <f>Base[[#This Row],[Espérance_vie]]+Base[[#This Row],['[SC']Hausse_esp_de_vie]]-Base[[#This Row],['[SC']Âge_moyen_retraite]]</f>
        <v>20.404874790994718</v>
      </c>
      <c r="BH644" s="4">
        <v>106583.42676924677</v>
      </c>
      <c r="BI644" s="4">
        <v>97601.789429271477</v>
      </c>
      <c r="BJ644" s="4">
        <v>302038.31496633729</v>
      </c>
      <c r="BK644" s="4">
        <v>117293.58934859755</v>
      </c>
      <c r="BL644" s="4">
        <v>1523999.9999999995</v>
      </c>
      <c r="BM64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4" s="4">
        <v>294804.96027377353</v>
      </c>
      <c r="BO64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4" s="4">
        <f>(Base[[#This Row],['[SC']'[Mort_prématurée']Gains]]-Base[[#This Row],['[SC']'[Mort_prématurée']Coûts]])/Base[[#This Row],[Population_totale]]</f>
        <v>0</v>
      </c>
      <c r="BQ644" s="4">
        <f>IF(Base[[#This Row],[Pathologie]]&lt;&gt;"Mort prématurée",0,Base[[#This Row],[Risque]])</f>
        <v>0</v>
      </c>
      <c r="BR644" s="4">
        <v>2680</v>
      </c>
      <c r="BS64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4" s="4">
        <f>Base[[#This Row],[Prévalence_prod]]*(1-Base[[#This Row],[Risque]])*Base[[#This Row],[Durée_arrêt]]*Base[[#This Row],[Population_emploi]]</f>
        <v>0</v>
      </c>
      <c r="BV644" s="4">
        <f>Base[[#This Row],['[Prod']'[Absentéisme']Total_jours_absence_avant]]-Base[[#This Row],['[Prod']'[Absentéisme']Total_jours_absence_après]]</f>
        <v>0</v>
      </c>
      <c r="BW644" s="4">
        <f>IF(AND(Base[[#This Row],[Pathologie]]&lt;&gt;"Dépendance",Base[[#This Row],[Pathologie]]&lt;&gt;"Mort prématurée",Base[[#This Row],[Pathologie]]&lt;&gt;"Migraine"),0.0619,0)</f>
        <v>0</v>
      </c>
      <c r="BX644" s="4">
        <v>254</v>
      </c>
      <c r="BY64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4" s="4">
        <f>Base[[#This Row],[Prévalence_prod]]*Base[[#This Row],[Présentéisme]]*Base[[#This Row],['[Prod']Jours_ouvrés]]</f>
        <v>0</v>
      </c>
      <c r="CB644" s="4">
        <f>Base[[#This Row],[Prévalence_prod]]*(1-Base[[#This Row],[Risque]])*Base[[#This Row],[Présentéisme]]*Base[[#This Row],['[Prod']Jours_ouvrés]]</f>
        <v>0</v>
      </c>
      <c r="CC644" s="4">
        <f>Base[[#This Row],['[Prod']'[Présentéisme']Jours_avant]]-Base[[#This Row],['[Prod']'[Présentéisme']Jours_après]]</f>
        <v>0</v>
      </c>
      <c r="CD644" s="4">
        <f>Base[[#This Row],['[Prod']'[Présentéisme']Jours_gagnés]]/Base[[#This Row],['[Prod']Jours_ouvrés]]</f>
        <v>0</v>
      </c>
      <c r="CE644">
        <v>9.3428413505841454E-2</v>
      </c>
      <c r="CF644">
        <v>2.1038737314955848E-2</v>
      </c>
      <c r="CG644" s="4">
        <v>11</v>
      </c>
      <c r="CH644" s="4">
        <v>0.99648427619813984</v>
      </c>
      <c r="CI644" s="4">
        <v>0.42377466100567313</v>
      </c>
      <c r="CJ644" s="4">
        <f>IF(Base[[#This Row],[Secteur]]&lt;&gt;"Moyenne",Base[[#This Row],['[Prod']'[Turnover']DMC_initiale]]*(1+Base[[#This Row],['[Prod']'[Turnover']Ecart_accidents]]*Base[[#This Row],['[Prod']Impact_motifs_turnover]]),CJ627*CI627+CJ628*CI628+CJ629*CI629+CJ630*CI630+CJ631*CI631+CJ632*CI632+CJ633*CI633+CJ634*CI634+CJ635*CI635+CJ636*CI636+CJ637*CI637+CJ638*CI638+CJ639*CI639+CJ640*CI640+CJ641*CI641+CJ642*CI642+CJ643*CI643)</f>
        <v>11.230612480179582</v>
      </c>
      <c r="CK644" s="4">
        <f>1/Base[[#This Row],['[Prod']'[Turnover']DMC_initiale]]</f>
        <v>9.0909090909090912E-2</v>
      </c>
      <c r="CL644" s="4">
        <f>1/Base[[#This Row],['[Prod']'[Turnover']DMC_finale]]</f>
        <v>8.9042338676083466E-2</v>
      </c>
    </row>
    <row r="645" spans="2:90" x14ac:dyDescent="0.25">
      <c r="B645" s="4" t="s">
        <v>331</v>
      </c>
      <c r="C645">
        <v>30</v>
      </c>
      <c r="D645" t="s">
        <v>85</v>
      </c>
      <c r="E645" t="s">
        <v>42</v>
      </c>
      <c r="F645" s="3">
        <v>4.4901789846988658</v>
      </c>
      <c r="G645" s="3">
        <v>0.371</v>
      </c>
      <c r="H645" s="3">
        <v>0.371</v>
      </c>
      <c r="I645" s="3">
        <v>0</v>
      </c>
      <c r="J645" s="3">
        <v>0</v>
      </c>
      <c r="K645" s="3">
        <v>7.0000000000000007E-2</v>
      </c>
      <c r="L645" s="2">
        <f>Base[[#This Row],[Coût]]*Base[[#This Row],[Part_ménages_dépenses_santé]]</f>
        <v>0</v>
      </c>
      <c r="M645" s="2">
        <v>0</v>
      </c>
      <c r="N645" s="6">
        <v>27700000</v>
      </c>
      <c r="O645" s="7">
        <f>Base[[#This Row],[Coût_salarié]]*10^9*Base[[#This Row],[Risque]]*Base[[#This Row],[Prévalence]]*Base[[#This Row],[Part_coûts_salarié]]/Base[[#This Row],[Population_emploi]]</f>
        <v>0</v>
      </c>
      <c r="P645">
        <v>50</v>
      </c>
      <c r="Q645">
        <v>50</v>
      </c>
      <c r="R645" s="2">
        <v>9.9999999999999978E-2</v>
      </c>
      <c r="S645" s="2">
        <v>0.33340000000000003</v>
      </c>
      <c r="T645" s="4">
        <v>0</v>
      </c>
      <c r="U645" s="4">
        <f>IF(Bases_annexes!$F$5=0,16.6587111018772,0.77*Bases_annexes!$F$5/(IF(OR(ISBLANK('Données_d''entrée'!$E$44),'Données_d''entrée'!$E$44=0),35,'Données_d''entrée'!$E$44)*52))</f>
        <v>16.658711101877199</v>
      </c>
      <c r="V645" s="4">
        <v>0</v>
      </c>
      <c r="W64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5" s="4">
        <v>234.5</v>
      </c>
      <c r="Y645" s="4">
        <f>(Base[[#This Row],['[Maladies']Coûts_évités_par_salarié]]+Base[[#This Row],['[Travail']Coûts_évités_par_salarié]])/Base[[#This Row],[Budget_santé_salarié]]</f>
        <v>0</v>
      </c>
      <c r="Z645" s="4">
        <v>0.8</v>
      </c>
      <c r="AA645" s="4">
        <f>Base[[#This Row],[Coût]]*Base[[#This Row],[Part_société_dépenses_santé]]</f>
        <v>0</v>
      </c>
      <c r="AB645" s="4">
        <v>67635124</v>
      </c>
      <c r="AC645" s="4">
        <v>82.297079063317852</v>
      </c>
      <c r="AD645" s="4">
        <v>0</v>
      </c>
      <c r="AE645" s="4">
        <f>Base[[#This Row],['[SC']Prévalence_travail]]*Base[[#This Row],[Population_emploi]]</f>
        <v>0</v>
      </c>
      <c r="AF645" s="4">
        <f>Base[[#This Row],[Risque]]*Base[[#This Row],['[SC']Patients_en_emploi]]</f>
        <v>0</v>
      </c>
      <c r="AG645" s="4">
        <v>0</v>
      </c>
      <c r="AH645" s="4">
        <f>IFERROR(Base[[#This Row],['[SC']Prestations]]/Base[[#This Row],['[SC']Patients_en_emploi]],0)</f>
        <v>0</v>
      </c>
      <c r="AI645" s="4">
        <v>51.7</v>
      </c>
      <c r="AJ64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5" s="4">
        <f>Base[[#This Row],['[SC']'[Travail']Coûts_évités]]/Base[[#This Row],[Population_emploi]]</f>
        <v>0</v>
      </c>
      <c r="AL645" s="4">
        <f>Base[[#This Row],[Coût_société]]*10^9*Base[[#This Row],[Risque]]*Base[[#This Row],[Prévalence]]*Base[[#This Row],[Part_coûts_salarié]]/Base[[#This Row],[Population_emploi]]</f>
        <v>0</v>
      </c>
      <c r="AM645" s="4">
        <f>IF(Base[[#This Row],[Pathologie]]&lt;&gt;"Dépendance",0,14909.24243952)</f>
        <v>14909.24243952</v>
      </c>
      <c r="AN645" s="4">
        <f>IF(Base[[#This Row],[Pathologie]]&lt;&gt;"Dépendance",0,1316000)</f>
        <v>1316000</v>
      </c>
      <c r="AO645" s="4">
        <f>IF(Base[[#This Row],[Pathologie]]&lt;&gt;"Dépendance",0,Base[[#This Row],['[SC']Coût_personne_dépendante]]*Base[[#This Row],['[SC']Nb_personnes_dépendantes]])</f>
        <v>19620563050.408321</v>
      </c>
      <c r="AP645" s="4">
        <f>IF(Base[[#This Row],[Pathologie]]&lt;&gt;"Dépendance",0,Base[[#This Row],['[SC']Coût_total_dépendance]]/Base[[#This Row],[Population_totale]])</f>
        <v>290.09428666691468</v>
      </c>
      <c r="AQ645" s="4">
        <f>IF(Base[[#This Row],[Pathologie]]&lt;&gt;"Dépendance",0,4.5)</f>
        <v>4.5</v>
      </c>
      <c r="AR645" s="4">
        <v>1.0077957276768601</v>
      </c>
      <c r="AS645" s="4">
        <f>Base[[#This Row],[Espérance_vie]]+Base[[#This Row],['[SC']Hausse_esp_de_vie]]-Base[[#This Row],['[SC']Durée_moyenne_dépendance_avt]]+Base[[#This Row],[Risque]]</f>
        <v>83.295053775693589</v>
      </c>
      <c r="AT64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5" s="4">
        <v>62.9</v>
      </c>
      <c r="AW645" s="4">
        <f t="shared" si="21"/>
        <v>336905600000</v>
      </c>
      <c r="AX645" s="4">
        <v>15049171</v>
      </c>
      <c r="AY645" s="4">
        <f>Base[[#This Row],['[SC']Budget_total_retraites]]/Base[[#This Row],['[SC']Nombre_de_retraités]]</f>
        <v>22386.987296509556</v>
      </c>
      <c r="AZ645" s="4">
        <f>Base[[#This Row],['[SC']Budget_par_retraité]]*Base[[#This Row],['[SC']Nb_personnes_dépendantes]]</f>
        <v>29461275282.206577</v>
      </c>
      <c r="BA645" s="4">
        <f>Base[[#This Row],['[SC']'[Dépendance']Coût_retraite_personnes_dépendantes]]/Base[[#This Row],[Population_totale]]</f>
        <v>435.59135460750508</v>
      </c>
      <c r="BB645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5" s="4">
        <f>Base[[#This Row],['[SC']'[Dépendance']Gains]]-Base[[#This Row],['[SC']'[Dépendance']Coûts]]</f>
        <v>131.21638512372317</v>
      </c>
      <c r="BD645" s="4">
        <f>IF(Base[[#This Row],[Pathologie]]&lt;&gt;"Mort prématurée",0,Base[[#This Row],[Risque]]*Base[[#This Row],[Prévalence]]*Base[[#This Row],[Population_totale]])</f>
        <v>0</v>
      </c>
      <c r="BE645" s="4">
        <v>52.74</v>
      </c>
      <c r="BF645" s="4">
        <f>Base[[#This Row],['[SC']Âge_moyen_retraite]]-Base[[#This Row],['[SC']'[Mort_prématurée']Âge_moyen_mort précoce]]</f>
        <v>10.159999999999997</v>
      </c>
      <c r="BG645" s="4">
        <f>Base[[#This Row],[Espérance_vie]]+Base[[#This Row],['[SC']Hausse_esp_de_vie]]-Base[[#This Row],['[SC']Âge_moyen_retraite]]</f>
        <v>20.404874790994718</v>
      </c>
      <c r="BH645" s="4">
        <v>106583.42676924677</v>
      </c>
      <c r="BI645" s="4">
        <v>97601.789429271477</v>
      </c>
      <c r="BJ645" s="4">
        <v>302038.31496633729</v>
      </c>
      <c r="BK645" s="4">
        <v>117293.58934859755</v>
      </c>
      <c r="BL645" s="4">
        <v>1523999.9999999995</v>
      </c>
      <c r="BM64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5" s="4">
        <v>294804.96027377353</v>
      </c>
      <c r="BO64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5" s="4">
        <f>(Base[[#This Row],['[SC']'[Mort_prématurée']Gains]]-Base[[#This Row],['[SC']'[Mort_prématurée']Coûts]])/Base[[#This Row],[Population_totale]]</f>
        <v>0</v>
      </c>
      <c r="BQ645" s="4">
        <f>IF(Base[[#This Row],[Pathologie]]&lt;&gt;"Mort prématurée",0,Base[[#This Row],[Risque]])</f>
        <v>0</v>
      </c>
      <c r="BR645" s="4">
        <v>2680</v>
      </c>
      <c r="BS64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5" s="4">
        <f>Base[[#This Row],[Prévalence_prod]]*(1-Base[[#This Row],[Risque]])*Base[[#This Row],[Durée_arrêt]]*Base[[#This Row],[Population_emploi]]</f>
        <v>0</v>
      </c>
      <c r="BV645" s="4">
        <f>Base[[#This Row],['[Prod']'[Absentéisme']Total_jours_absence_avant]]-Base[[#This Row],['[Prod']'[Absentéisme']Total_jours_absence_après]]</f>
        <v>0</v>
      </c>
      <c r="BW645" s="4">
        <f>IF(AND(Base[[#This Row],[Pathologie]]&lt;&gt;"Dépendance",Base[[#This Row],[Pathologie]]&lt;&gt;"Mort prématurée",Base[[#This Row],[Pathologie]]&lt;&gt;"Migraine"),0.0619,0)</f>
        <v>0</v>
      </c>
      <c r="BX645" s="4">
        <v>254</v>
      </c>
      <c r="BY64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5" s="4">
        <f>Base[[#This Row],[Prévalence_prod]]*Base[[#This Row],[Présentéisme]]*Base[[#This Row],['[Prod']Jours_ouvrés]]</f>
        <v>0</v>
      </c>
      <c r="CB645" s="4">
        <f>Base[[#This Row],[Prévalence_prod]]*(1-Base[[#This Row],[Risque]])*Base[[#This Row],[Présentéisme]]*Base[[#This Row],['[Prod']Jours_ouvrés]]</f>
        <v>0</v>
      </c>
      <c r="CC645" s="4">
        <f>Base[[#This Row],['[Prod']'[Présentéisme']Jours_avant]]-Base[[#This Row],['[Prod']'[Présentéisme']Jours_après]]</f>
        <v>0</v>
      </c>
      <c r="CD645" s="4">
        <f>Base[[#This Row],['[Prod']'[Présentéisme']Jours_gagnés]]/Base[[#This Row],['[Prod']Jours_ouvrés]]</f>
        <v>0</v>
      </c>
      <c r="CE645">
        <v>9.3428413505841454E-2</v>
      </c>
      <c r="CF645">
        <v>2.1038737314955848E-2</v>
      </c>
      <c r="CG645" s="4">
        <v>11</v>
      </c>
      <c r="CH645" s="4">
        <v>1.1593596509901765</v>
      </c>
      <c r="CI645" s="4">
        <v>4.0741311947357597E-2</v>
      </c>
      <c r="CJ645" s="4">
        <f>IF(Base[[#This Row],[Secteur]]&lt;&gt;"Moyenne",Base[[#This Row],['[Prod']'[Turnover']DMC_initiale]]*(1+Base[[#This Row],['[Prod']'[Turnover']Ecart_accidents]]*Base[[#This Row],['[Prod']Impact_motifs_turnover]]),CJ628*CI628+CJ629*CI629+CJ630*CI630+CJ631*CI631+CJ632*CI632+CJ633*CI633+CJ634*CI634+CJ635*CI635+CJ636*CI636+CJ637*CI637+CJ638*CI638+CJ639*CI639+CJ640*CI640+CJ641*CI641+CJ642*CI642+CJ643*CI643+CJ644*CI644)</f>
        <v>11.268306094658152</v>
      </c>
      <c r="CK645" s="4">
        <f>1/Base[[#This Row],['[Prod']'[Turnover']DMC_initiale]]</f>
        <v>9.0909090909090912E-2</v>
      </c>
      <c r="CL645" s="4">
        <f>1/Base[[#This Row],['[Prod']'[Turnover']DMC_finale]]</f>
        <v>8.8744483119256007E-2</v>
      </c>
    </row>
    <row r="646" spans="2:90" x14ac:dyDescent="0.25">
      <c r="B646" s="4" t="s">
        <v>332</v>
      </c>
      <c r="C646">
        <v>30</v>
      </c>
      <c r="D646" t="s">
        <v>85</v>
      </c>
      <c r="E646" t="s">
        <v>42</v>
      </c>
      <c r="F646" s="3">
        <v>4.4901789846988658</v>
      </c>
      <c r="G646" s="3">
        <v>0.371</v>
      </c>
      <c r="H646" s="3">
        <v>0.371</v>
      </c>
      <c r="I646" s="3">
        <v>0</v>
      </c>
      <c r="J646" s="3">
        <v>0</v>
      </c>
      <c r="K646" s="3">
        <v>7.0000000000000007E-2</v>
      </c>
      <c r="L646" s="2">
        <f>Base[[#This Row],[Coût]]*Base[[#This Row],[Part_ménages_dépenses_santé]]</f>
        <v>0</v>
      </c>
      <c r="M646" s="2">
        <v>0</v>
      </c>
      <c r="N646" s="6">
        <v>27700000</v>
      </c>
      <c r="O646" s="7">
        <f>Base[[#This Row],[Coût_salarié]]*10^9*Base[[#This Row],[Risque]]*Base[[#This Row],[Prévalence]]*Base[[#This Row],[Part_coûts_salarié]]/Base[[#This Row],[Population_emploi]]</f>
        <v>0</v>
      </c>
      <c r="P646">
        <v>50</v>
      </c>
      <c r="Q646">
        <v>50</v>
      </c>
      <c r="R646" s="2">
        <v>9.9999999999999978E-2</v>
      </c>
      <c r="S646" s="2">
        <v>0.33340000000000003</v>
      </c>
      <c r="T646" s="4">
        <v>0</v>
      </c>
      <c r="U646" s="4">
        <f>IF(Bases_annexes!$F$5=0,16.6587111018772,0.77*Bases_annexes!$F$5/(IF(OR(ISBLANK('Données_d''entrée'!$E$44),'Données_d''entrée'!$E$44=0),35,'Données_d''entrée'!$E$44)*52))</f>
        <v>16.658711101877199</v>
      </c>
      <c r="V646" s="4">
        <v>0</v>
      </c>
      <c r="W64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6" s="4">
        <v>234.5</v>
      </c>
      <c r="Y646" s="4">
        <f>(Base[[#This Row],['[Maladies']Coûts_évités_par_salarié]]+Base[[#This Row],['[Travail']Coûts_évités_par_salarié]])/Base[[#This Row],[Budget_santé_salarié]]</f>
        <v>0</v>
      </c>
      <c r="Z646" s="4">
        <v>0.8</v>
      </c>
      <c r="AA646" s="4">
        <f>Base[[#This Row],[Coût]]*Base[[#This Row],[Part_société_dépenses_santé]]</f>
        <v>0</v>
      </c>
      <c r="AB646" s="4">
        <v>67635124</v>
      </c>
      <c r="AC646" s="4">
        <v>82.297079063317852</v>
      </c>
      <c r="AD646" s="4">
        <v>0</v>
      </c>
      <c r="AE646" s="4">
        <f>Base[[#This Row],['[SC']Prévalence_travail]]*Base[[#This Row],[Population_emploi]]</f>
        <v>0</v>
      </c>
      <c r="AF646" s="4">
        <f>Base[[#This Row],[Risque]]*Base[[#This Row],['[SC']Patients_en_emploi]]</f>
        <v>0</v>
      </c>
      <c r="AG646" s="4">
        <v>0</v>
      </c>
      <c r="AH646" s="4">
        <f>IFERROR(Base[[#This Row],['[SC']Prestations]]/Base[[#This Row],['[SC']Patients_en_emploi]],0)</f>
        <v>0</v>
      </c>
      <c r="AI646" s="4">
        <v>51.7</v>
      </c>
      <c r="AJ64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6" s="4">
        <f>Base[[#This Row],['[SC']'[Travail']Coûts_évités]]/Base[[#This Row],[Population_emploi]]</f>
        <v>0</v>
      </c>
      <c r="AL646" s="4">
        <f>Base[[#This Row],[Coût_société]]*10^9*Base[[#This Row],[Risque]]*Base[[#This Row],[Prévalence]]*Base[[#This Row],[Part_coûts_salarié]]/Base[[#This Row],[Population_emploi]]</f>
        <v>0</v>
      </c>
      <c r="AM646" s="4">
        <f>IF(Base[[#This Row],[Pathologie]]&lt;&gt;"Dépendance",0,14909.24243952)</f>
        <v>14909.24243952</v>
      </c>
      <c r="AN646" s="4">
        <f>IF(Base[[#This Row],[Pathologie]]&lt;&gt;"Dépendance",0,1316000)</f>
        <v>1316000</v>
      </c>
      <c r="AO646" s="4">
        <f>IF(Base[[#This Row],[Pathologie]]&lt;&gt;"Dépendance",0,Base[[#This Row],['[SC']Coût_personne_dépendante]]*Base[[#This Row],['[SC']Nb_personnes_dépendantes]])</f>
        <v>19620563050.408321</v>
      </c>
      <c r="AP646" s="4">
        <f>IF(Base[[#This Row],[Pathologie]]&lt;&gt;"Dépendance",0,Base[[#This Row],['[SC']Coût_total_dépendance]]/Base[[#This Row],[Population_totale]])</f>
        <v>290.09428666691468</v>
      </c>
      <c r="AQ646" s="4">
        <f>IF(Base[[#This Row],[Pathologie]]&lt;&gt;"Dépendance",0,4.5)</f>
        <v>4.5</v>
      </c>
      <c r="AR646" s="4">
        <v>1.0077957276768601</v>
      </c>
      <c r="AS646" s="4">
        <f>Base[[#This Row],[Espérance_vie]]+Base[[#This Row],['[SC']Hausse_esp_de_vie]]-Base[[#This Row],['[SC']Durée_moyenne_dépendance_avt]]+Base[[#This Row],[Risque]]</f>
        <v>83.295053775693589</v>
      </c>
      <c r="AT64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9.8210153011279999E-3</v>
      </c>
      <c r="AU64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197.91750914540722</v>
      </c>
      <c r="AV646" s="4">
        <v>62.9</v>
      </c>
      <c r="AW646" s="4">
        <f t="shared" si="21"/>
        <v>336905600000</v>
      </c>
      <c r="AX646" s="4">
        <v>15049171</v>
      </c>
      <c r="AY646" s="4">
        <f>Base[[#This Row],['[SC']Budget_total_retraites]]/Base[[#This Row],['[SC']Nombre_de_retraités]]</f>
        <v>22386.987296509556</v>
      </c>
      <c r="AZ646" s="4">
        <f>Base[[#This Row],['[SC']Budget_par_retraité]]*Base[[#This Row],['[SC']Nb_personnes_dépendantes]]</f>
        <v>29461275282.206577</v>
      </c>
      <c r="BA646" s="4">
        <f>Base[[#This Row],['[SC']'[Dépendance']Coût_retraite_personnes_dépendantes]]/Base[[#This Row],[Population_totale]]</f>
        <v>435.59135460750508</v>
      </c>
      <c r="BB646" s="4">
        <f>Base[[#This Row],['[SC']Hausse_esp_de_vie]]*Base[[#This Row],['[SC']'[Dépendance']Coût_retraite_personnes_dépendantes_pop_totale]]*Base[[#This Row],[Prévalence]]*Base[[#This Row],[Population_emploi]]/Base[[#This Row],[Population_totale]]</f>
        <v>66.701124021684066</v>
      </c>
      <c r="BC646" s="4">
        <f>Base[[#This Row],['[SC']'[Dépendance']Gains]]-Base[[#This Row],['[SC']'[Dépendance']Coûts]]</f>
        <v>131.21638512372317</v>
      </c>
      <c r="BD646" s="4">
        <f>IF(Base[[#This Row],[Pathologie]]&lt;&gt;"Mort prématurée",0,Base[[#This Row],[Risque]]*Base[[#This Row],[Prévalence]]*Base[[#This Row],[Population_totale]])</f>
        <v>0</v>
      </c>
      <c r="BE646" s="4">
        <v>52.74</v>
      </c>
      <c r="BF646" s="4">
        <f>Base[[#This Row],['[SC']Âge_moyen_retraite]]-Base[[#This Row],['[SC']'[Mort_prématurée']Âge_moyen_mort précoce]]</f>
        <v>10.159999999999997</v>
      </c>
      <c r="BG646" s="4">
        <f>Base[[#This Row],[Espérance_vie]]+Base[[#This Row],['[SC']Hausse_esp_de_vie]]-Base[[#This Row],['[SC']Âge_moyen_retraite]]</f>
        <v>20.404874790994718</v>
      </c>
      <c r="BH646" s="4">
        <v>106583.42676924677</v>
      </c>
      <c r="BI646" s="4">
        <v>97601.789429271477</v>
      </c>
      <c r="BJ646" s="4">
        <v>302038.31496633729</v>
      </c>
      <c r="BK646" s="4">
        <v>117293.58934859755</v>
      </c>
      <c r="BL646" s="4">
        <v>1523999.9999999995</v>
      </c>
      <c r="BM64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46" s="4">
        <v>294804.96027377353</v>
      </c>
      <c r="BO64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46" s="4">
        <f>(Base[[#This Row],['[SC']'[Mort_prématurée']Gains]]-Base[[#This Row],['[SC']'[Mort_prématurée']Coûts]])/Base[[#This Row],[Population_totale]]</f>
        <v>0</v>
      </c>
      <c r="BQ646" s="4">
        <f>IF(Base[[#This Row],[Pathologie]]&lt;&gt;"Mort prématurée",0,Base[[#This Row],[Risque]])</f>
        <v>0</v>
      </c>
      <c r="BR646" s="4">
        <v>2680</v>
      </c>
      <c r="BS64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4.8961337732732528E-2</v>
      </c>
      <c r="BT64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6" s="4">
        <f>Base[[#This Row],[Prévalence_prod]]*(1-Base[[#This Row],[Risque]])*Base[[#This Row],[Durée_arrêt]]*Base[[#This Row],[Population_emploi]]</f>
        <v>0</v>
      </c>
      <c r="BV646" s="4">
        <f>Base[[#This Row],['[Prod']'[Absentéisme']Total_jours_absence_avant]]-Base[[#This Row],['[Prod']'[Absentéisme']Total_jours_absence_après]]</f>
        <v>0</v>
      </c>
      <c r="BW646" s="4">
        <f>IF(AND(Base[[#This Row],[Pathologie]]&lt;&gt;"Dépendance",Base[[#This Row],[Pathologie]]&lt;&gt;"Mort prématurée",Base[[#This Row],[Pathologie]]&lt;&gt;"Migraine"),0.0619,0)</f>
        <v>0</v>
      </c>
      <c r="BX646" s="4">
        <v>254</v>
      </c>
      <c r="BY64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6" s="4">
        <f>Base[[#This Row],[Prévalence_prod]]*Base[[#This Row],[Présentéisme]]*Base[[#This Row],['[Prod']Jours_ouvrés]]</f>
        <v>0</v>
      </c>
      <c r="CB646" s="4">
        <f>Base[[#This Row],[Prévalence_prod]]*(1-Base[[#This Row],[Risque]])*Base[[#This Row],[Présentéisme]]*Base[[#This Row],['[Prod']Jours_ouvrés]]</f>
        <v>0</v>
      </c>
      <c r="CC646" s="4">
        <f>Base[[#This Row],['[Prod']'[Présentéisme']Jours_avant]]-Base[[#This Row],['[Prod']'[Présentéisme']Jours_après]]</f>
        <v>0</v>
      </c>
      <c r="CD646" s="4">
        <f>Base[[#This Row],['[Prod']'[Présentéisme']Jours_gagnés]]/Base[[#This Row],['[Prod']Jours_ouvrés]]</f>
        <v>0</v>
      </c>
      <c r="CE646">
        <v>9.3428413505841454E-2</v>
      </c>
      <c r="CF646">
        <v>2.1038737314955848E-2</v>
      </c>
      <c r="CG646" s="4">
        <v>11</v>
      </c>
      <c r="CH646" s="4">
        <v>0.85076983926913452</v>
      </c>
      <c r="CI646" s="4">
        <v>0</v>
      </c>
      <c r="CJ646" s="4">
        <f>IF(Base[[#This Row],[Secteur]]&lt;&gt;"Moyenne",Base[[#This Row],['[Prod']'[Turnover']DMC_initiale]]*(1+Base[[#This Row],['[Prod']'[Turnover']Ecart_accidents]]*Base[[#This Row],['[Prod']Impact_motifs_turnover]]),CJ629*CI629+CJ630*CI630+CJ631*CI631+CJ632*CI632+CJ633*CI633+CJ634*CI634+CJ635*CI635+CJ636*CI636+CJ637*CI637+CJ638*CI638+CJ639*CI639+CJ640*CI640+CJ641*CI641+CJ642*CI642+CJ643*CI643+CJ644*CI644+CJ645*CI645)</f>
        <v>11.196890354802576</v>
      </c>
      <c r="CK646" s="4">
        <f>1/Base[[#This Row],['[Prod']'[Turnover']DMC_initiale]]</f>
        <v>9.0909090909090912E-2</v>
      </c>
      <c r="CL646" s="4">
        <f>1/Base[[#This Row],['[Prod']'[Turnover']DMC_finale]]</f>
        <v>8.9310511071592255E-2</v>
      </c>
    </row>
    <row r="647" spans="2:90" x14ac:dyDescent="0.25">
      <c r="B647" s="4" t="s">
        <v>315</v>
      </c>
      <c r="C647">
        <v>30</v>
      </c>
      <c r="D647" t="s">
        <v>85</v>
      </c>
      <c r="E647" t="s">
        <v>59</v>
      </c>
      <c r="F647" s="3">
        <v>0.28936709012503803</v>
      </c>
      <c r="G647" s="3">
        <v>1.7864082739021815E-3</v>
      </c>
      <c r="H647" s="3">
        <v>1.7864082739021815E-3</v>
      </c>
      <c r="I647" s="3">
        <v>0</v>
      </c>
      <c r="J647" s="3">
        <v>0</v>
      </c>
      <c r="K647" s="3">
        <v>7.0000000000000007E-2</v>
      </c>
      <c r="L647" s="2">
        <f>Base[[#This Row],[Coût]]*Base[[#This Row],[Part_ménages_dépenses_santé]]</f>
        <v>0</v>
      </c>
      <c r="M647" s="2">
        <v>0</v>
      </c>
      <c r="N647" s="6">
        <v>27700000</v>
      </c>
      <c r="O647" s="7">
        <f>Base[[#This Row],[Coût_salarié]]*10^9*Base[[#This Row],[Risque]]*Base[[#This Row],[Prévalence]]*Base[[#This Row],[Part_coûts_salarié]]/Base[[#This Row],[Population_emploi]]</f>
        <v>0</v>
      </c>
      <c r="P647">
        <v>50</v>
      </c>
      <c r="Q647">
        <v>50</v>
      </c>
      <c r="R647" s="2">
        <v>9.9999999999999978E-2</v>
      </c>
      <c r="S647" s="2">
        <v>0.33340000000000003</v>
      </c>
      <c r="T647" s="4">
        <v>0</v>
      </c>
      <c r="U647" s="4">
        <f>IF(Bases_annexes!$F$5=0,16.6587111018772,0.77*Bases_annexes!$F$5/(IF(OR(ISBLANK('Données_d''entrée'!$E$44),'Données_d''entrée'!$E$44=0),35,'Données_d''entrée'!$E$44)*52))</f>
        <v>16.658711101877199</v>
      </c>
      <c r="V647" s="4">
        <v>0</v>
      </c>
      <c r="W64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7" s="4">
        <v>234.5</v>
      </c>
      <c r="Y647" s="4">
        <f>(Base[[#This Row],['[Maladies']Coûts_évités_par_salarié]]+Base[[#This Row],['[Travail']Coûts_évités_par_salarié]])/Base[[#This Row],[Budget_santé_salarié]]</f>
        <v>0</v>
      </c>
      <c r="Z647" s="4">
        <v>0.8</v>
      </c>
      <c r="AA647" s="4">
        <f>Base[[#This Row],[Coût]]*Base[[#This Row],[Part_société_dépenses_santé]]</f>
        <v>0</v>
      </c>
      <c r="AB647" s="4">
        <v>67635124</v>
      </c>
      <c r="AC647" s="4">
        <v>82.297079063317852</v>
      </c>
      <c r="AD647" s="4">
        <v>0</v>
      </c>
      <c r="AE647" s="4">
        <f>Base[[#This Row],['[SC']Prévalence_travail]]*Base[[#This Row],[Population_emploi]]</f>
        <v>0</v>
      </c>
      <c r="AF647" s="4">
        <f>Base[[#This Row],[Risque]]*Base[[#This Row],['[SC']Patients_en_emploi]]</f>
        <v>0</v>
      </c>
      <c r="AG647" s="4">
        <v>0</v>
      </c>
      <c r="AH647" s="4">
        <f>IFERROR(Base[[#This Row],['[SC']Prestations]]/Base[[#This Row],['[SC']Patients_en_emploi]],0)</f>
        <v>0</v>
      </c>
      <c r="AI647" s="4">
        <v>51.7</v>
      </c>
      <c r="AJ64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7" s="4">
        <f>Base[[#This Row],['[SC']'[Travail']Coûts_évités]]/Base[[#This Row],[Population_emploi]]</f>
        <v>0</v>
      </c>
      <c r="AL647" s="4">
        <f>Base[[#This Row],[Coût_société]]*10^9*Base[[#This Row],[Risque]]*Base[[#This Row],[Prévalence]]*Base[[#This Row],[Part_coûts_salarié]]/Base[[#This Row],[Population_emploi]]</f>
        <v>0</v>
      </c>
      <c r="AM647" s="4">
        <f>IF(Base[[#This Row],[Pathologie]]&lt;&gt;"Dépendance",0,14909.24243952)</f>
        <v>0</v>
      </c>
      <c r="AN647" s="4">
        <f>IF(Base[[#This Row],[Pathologie]]&lt;&gt;"Dépendance",0,1316000)</f>
        <v>0</v>
      </c>
      <c r="AO647" s="4">
        <f>IF(Base[[#This Row],[Pathologie]]&lt;&gt;"Dépendance",0,Base[[#This Row],['[SC']Coût_personne_dépendante]]*Base[[#This Row],['[SC']Nb_personnes_dépendantes]])</f>
        <v>0</v>
      </c>
      <c r="AP647" s="4">
        <f>IF(Base[[#This Row],[Pathologie]]&lt;&gt;"Dépendance",0,Base[[#This Row],['[SC']Coût_total_dépendance]]/Base[[#This Row],[Population_totale]])</f>
        <v>0</v>
      </c>
      <c r="AQ647" s="4">
        <f>IF(Base[[#This Row],[Pathologie]]&lt;&gt;"Dépendance",0,4.5)</f>
        <v>0</v>
      </c>
      <c r="AR647" s="4">
        <v>1.0077957276768601</v>
      </c>
      <c r="AS647" s="4">
        <f>Base[[#This Row],[Espérance_vie]]+Base[[#This Row],['[SC']Hausse_esp_de_vie]]-Base[[#This Row],['[SC']Durée_moyenne_dépendance_avt]]+Base[[#This Row],[Risque]]</f>
        <v>83.594241881119757</v>
      </c>
      <c r="AT64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4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47" s="4">
        <v>62.9</v>
      </c>
      <c r="AW647" s="4">
        <f>336905600000</f>
        <v>336905600000</v>
      </c>
      <c r="AX647" s="4">
        <v>15049171</v>
      </c>
      <c r="AY647" s="4">
        <f>Base[[#This Row],['[SC']Budget_total_retraites]]/Base[[#This Row],['[SC']Nombre_de_retraités]]</f>
        <v>22386.987296509556</v>
      </c>
      <c r="AZ647" s="4">
        <f>Base[[#This Row],['[SC']Budget_par_retraité]]*Base[[#This Row],['[SC']Nb_personnes_dépendantes]]</f>
        <v>0</v>
      </c>
      <c r="BA647" s="4">
        <f>Base[[#This Row],['[SC']'[Dépendance']Coût_retraite_personnes_dépendantes]]/Base[[#This Row],[Population_totale]]</f>
        <v>0</v>
      </c>
      <c r="BB64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47" s="4">
        <f>Base[[#This Row],['[SC']'[Dépendance']Gains]]-Base[[#This Row],['[SC']'[Dépendance']Coûts]]</f>
        <v>0</v>
      </c>
      <c r="BD647" s="4">
        <f>IF(Base[[#This Row],[Pathologie]]&lt;&gt;"Mort prématurée",0,Base[[#This Row],[Risque]]*Base[[#This Row],[Prévalence]]*Base[[#This Row],[Population_totale]])</f>
        <v>34962.473416801695</v>
      </c>
      <c r="BE647" s="4">
        <v>52.74</v>
      </c>
      <c r="BF647" s="4">
        <f>Base[[#This Row],['[SC']Âge_moyen_retraite]]-Base[[#This Row],['[SC']'[Mort_prématurée']Âge_moyen_mort précoce]]</f>
        <v>10.159999999999997</v>
      </c>
      <c r="BG647" s="4">
        <f>Base[[#This Row],[Espérance_vie]]+Base[[#This Row],['[SC']Hausse_esp_de_vie]]-Base[[#This Row],['[SC']Âge_moyen_retraite]]</f>
        <v>20.404874790994718</v>
      </c>
      <c r="BH647" s="4">
        <v>106583.42676924677</v>
      </c>
      <c r="BI647" s="4">
        <v>97601.789429271477</v>
      </c>
      <c r="BJ647" s="4">
        <v>302038.31496633729</v>
      </c>
      <c r="BK647" s="4">
        <v>117293.58934859755</v>
      </c>
      <c r="BL647" s="4">
        <v>1523999.9999999995</v>
      </c>
      <c r="BM64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47" s="4">
        <v>294804.96027377353</v>
      </c>
      <c r="BO64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47" s="4">
        <f>(Base[[#This Row],['[SC']'[Mort_prématurée']Gains]]-Base[[#This Row],['[SC']'[Mort_prématurée']Coûts]])/Base[[#This Row],[Population_totale]]</f>
        <v>31.333953136298806</v>
      </c>
      <c r="BQ647" s="4">
        <f>IF(Base[[#This Row],[Pathologie]]&lt;&gt;"Mort prématurée",0,Base[[#This Row],[Risque]])</f>
        <v>0.28936709012503803</v>
      </c>
      <c r="BR647" s="4">
        <v>2680</v>
      </c>
      <c r="BS64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4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7" s="4">
        <f>Base[[#This Row],[Prévalence_prod]]*(1-Base[[#This Row],[Risque]])*Base[[#This Row],[Durée_arrêt]]*Base[[#This Row],[Population_emploi]]</f>
        <v>0</v>
      </c>
      <c r="BV647" s="4">
        <f>Base[[#This Row],['[Prod']'[Absentéisme']Total_jours_absence_avant]]-Base[[#This Row],['[Prod']'[Absentéisme']Total_jours_absence_après]]</f>
        <v>0</v>
      </c>
      <c r="BW647" s="4">
        <f>IF(AND(Base[[#This Row],[Pathologie]]&lt;&gt;"Dépendance",Base[[#This Row],[Pathologie]]&lt;&gt;"Mort prématurée",Base[[#This Row],[Pathologie]]&lt;&gt;"Migraine"),0.0619,0)</f>
        <v>0</v>
      </c>
      <c r="BX647" s="4">
        <v>254</v>
      </c>
      <c r="BY64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7" s="4">
        <f>Base[[#This Row],[Prévalence_prod]]*Base[[#This Row],[Présentéisme]]*Base[[#This Row],['[Prod']Jours_ouvrés]]</f>
        <v>0</v>
      </c>
      <c r="CB647" s="4">
        <f>Base[[#This Row],[Prévalence_prod]]*(1-Base[[#This Row],[Risque]])*Base[[#This Row],[Présentéisme]]*Base[[#This Row],['[Prod']Jours_ouvrés]]</f>
        <v>0</v>
      </c>
      <c r="CC647" s="4">
        <f>Base[[#This Row],['[Prod']'[Présentéisme']Jours_avant]]-Base[[#This Row],['[Prod']'[Présentéisme']Jours_après]]</f>
        <v>0</v>
      </c>
      <c r="CD647" s="4">
        <f>Base[[#This Row],['[Prod']'[Présentéisme']Jours_gagnés]]/Base[[#This Row],['[Prod']Jours_ouvrés]]</f>
        <v>0</v>
      </c>
      <c r="CE647">
        <v>9.3428413505841454E-2</v>
      </c>
      <c r="CF647">
        <v>2.1038737314955848E-2</v>
      </c>
      <c r="CG647" s="4">
        <v>11</v>
      </c>
      <c r="CH647" s="4">
        <v>1.3966184516047948</v>
      </c>
      <c r="CI647" s="4">
        <v>1.4392894727292521E-2</v>
      </c>
      <c r="CJ647" s="4">
        <f>IF(Base[[#This Row],[Secteur]]&lt;&gt;"Moyenne",Base[[#This Row],['[Prod']'[Turnover']DMC_initiale]]*(1+Base[[#This Row],['[Prod']'[Turnover']Ecart_accidents]]*Base[[#This Row],['[Prod']Impact_motifs_turnover]]),CJ630*CI630+CJ631*CI631+CJ632*CI632+CJ633*CI633+CJ634*CI634+CJ635*CI635+CJ636*CI636+CJ637*CI637+CJ638*CI638+CJ639*CI639+CJ640*CI640+CJ641*CI641+CJ642*CI642+CJ643*CI643+CJ644*CI644+CJ645*CI645+CJ646*CI646)</f>
        <v>11.32321397605787</v>
      </c>
      <c r="CK647" s="4">
        <f>1/Base[[#This Row],['[Prod']'[Turnover']DMC_initiale]]</f>
        <v>9.0909090909090912E-2</v>
      </c>
      <c r="CL647" s="4">
        <f>1/Base[[#This Row],['[Prod']'[Turnover']DMC_finale]]</f>
        <v>8.8314148448879345E-2</v>
      </c>
    </row>
    <row r="648" spans="2:90" x14ac:dyDescent="0.25">
      <c r="B648" s="4" t="s">
        <v>316</v>
      </c>
      <c r="C648">
        <v>30</v>
      </c>
      <c r="D648" t="s">
        <v>85</v>
      </c>
      <c r="E648" t="s">
        <v>59</v>
      </c>
      <c r="F648" s="3">
        <v>0.28936709012503803</v>
      </c>
      <c r="G648" s="3">
        <v>1.7864082739021815E-3</v>
      </c>
      <c r="H648" s="3">
        <v>1.7864082739021815E-3</v>
      </c>
      <c r="I648" s="3">
        <v>0</v>
      </c>
      <c r="J648" s="3">
        <v>0</v>
      </c>
      <c r="K648" s="3">
        <v>7.0000000000000007E-2</v>
      </c>
      <c r="L648" s="2">
        <f>Base[[#This Row],[Coût]]*Base[[#This Row],[Part_ménages_dépenses_santé]]</f>
        <v>0</v>
      </c>
      <c r="M648" s="2">
        <v>0</v>
      </c>
      <c r="N648" s="6">
        <v>27700000</v>
      </c>
      <c r="O648" s="7">
        <f>Base[[#This Row],[Coût_salarié]]*10^9*Base[[#This Row],[Risque]]*Base[[#This Row],[Prévalence]]*Base[[#This Row],[Part_coûts_salarié]]/Base[[#This Row],[Population_emploi]]</f>
        <v>0</v>
      </c>
      <c r="P648">
        <v>50</v>
      </c>
      <c r="Q648">
        <v>50</v>
      </c>
      <c r="R648" s="2">
        <v>9.9999999999999978E-2</v>
      </c>
      <c r="S648" s="2">
        <v>0.33340000000000003</v>
      </c>
      <c r="T648" s="4">
        <v>0</v>
      </c>
      <c r="U648" s="4">
        <f>IF(Bases_annexes!$F$5=0,16.6587111018772,0.77*Bases_annexes!$F$5/(IF(OR(ISBLANK('Données_d''entrée'!$E$44),'Données_d''entrée'!$E$44=0),35,'Données_d''entrée'!$E$44)*52))</f>
        <v>16.658711101877199</v>
      </c>
      <c r="V648" s="4">
        <v>0</v>
      </c>
      <c r="W64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8" s="4">
        <v>234.5</v>
      </c>
      <c r="Y648" s="4">
        <f>(Base[[#This Row],['[Maladies']Coûts_évités_par_salarié]]+Base[[#This Row],['[Travail']Coûts_évités_par_salarié]])/Base[[#This Row],[Budget_santé_salarié]]</f>
        <v>0</v>
      </c>
      <c r="Z648" s="4">
        <v>0.8</v>
      </c>
      <c r="AA648" s="4">
        <f>Base[[#This Row],[Coût]]*Base[[#This Row],[Part_société_dépenses_santé]]</f>
        <v>0</v>
      </c>
      <c r="AB648" s="4">
        <v>67635124</v>
      </c>
      <c r="AC648" s="4">
        <v>82.297079063317852</v>
      </c>
      <c r="AD648" s="4">
        <v>0</v>
      </c>
      <c r="AE648" s="4">
        <f>Base[[#This Row],['[SC']Prévalence_travail]]*Base[[#This Row],[Population_emploi]]</f>
        <v>0</v>
      </c>
      <c r="AF648" s="4">
        <f>Base[[#This Row],[Risque]]*Base[[#This Row],['[SC']Patients_en_emploi]]</f>
        <v>0</v>
      </c>
      <c r="AG648" s="4">
        <v>0</v>
      </c>
      <c r="AH648" s="4">
        <f>IFERROR(Base[[#This Row],['[SC']Prestations]]/Base[[#This Row],['[SC']Patients_en_emploi]],0)</f>
        <v>0</v>
      </c>
      <c r="AI648" s="4">
        <v>51.7</v>
      </c>
      <c r="AJ64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8" s="4">
        <f>Base[[#This Row],['[SC']'[Travail']Coûts_évités]]/Base[[#This Row],[Population_emploi]]</f>
        <v>0</v>
      </c>
      <c r="AL648" s="4">
        <f>Base[[#This Row],[Coût_société]]*10^9*Base[[#This Row],[Risque]]*Base[[#This Row],[Prévalence]]*Base[[#This Row],[Part_coûts_salarié]]/Base[[#This Row],[Population_emploi]]</f>
        <v>0</v>
      </c>
      <c r="AM648" s="4">
        <f>IF(Base[[#This Row],[Pathologie]]&lt;&gt;"Dépendance",0,14909.24243952)</f>
        <v>0</v>
      </c>
      <c r="AN648" s="4">
        <f>IF(Base[[#This Row],[Pathologie]]&lt;&gt;"Dépendance",0,1316000)</f>
        <v>0</v>
      </c>
      <c r="AO648" s="4">
        <f>IF(Base[[#This Row],[Pathologie]]&lt;&gt;"Dépendance",0,Base[[#This Row],['[SC']Coût_personne_dépendante]]*Base[[#This Row],['[SC']Nb_personnes_dépendantes]])</f>
        <v>0</v>
      </c>
      <c r="AP648" s="4">
        <f>IF(Base[[#This Row],[Pathologie]]&lt;&gt;"Dépendance",0,Base[[#This Row],['[SC']Coût_total_dépendance]]/Base[[#This Row],[Population_totale]])</f>
        <v>0</v>
      </c>
      <c r="AQ648" s="4">
        <f>IF(Base[[#This Row],[Pathologie]]&lt;&gt;"Dépendance",0,4.5)</f>
        <v>0</v>
      </c>
      <c r="AR648" s="4">
        <v>1.0077957276768601</v>
      </c>
      <c r="AS648" s="4">
        <f>Base[[#This Row],[Espérance_vie]]+Base[[#This Row],['[SC']Hausse_esp_de_vie]]-Base[[#This Row],['[SC']Durée_moyenne_dépendance_avt]]+Base[[#This Row],[Risque]]</f>
        <v>83.594241881119757</v>
      </c>
      <c r="AT64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4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48" s="4">
        <v>62.9</v>
      </c>
      <c r="AW648" s="4">
        <f t="shared" ref="AW648:AW664" si="22">336905600000</f>
        <v>336905600000</v>
      </c>
      <c r="AX648" s="4">
        <v>15049171</v>
      </c>
      <c r="AY648" s="4">
        <f>Base[[#This Row],['[SC']Budget_total_retraites]]/Base[[#This Row],['[SC']Nombre_de_retraités]]</f>
        <v>22386.987296509556</v>
      </c>
      <c r="AZ648" s="4">
        <f>Base[[#This Row],['[SC']Budget_par_retraité]]*Base[[#This Row],['[SC']Nb_personnes_dépendantes]]</f>
        <v>0</v>
      </c>
      <c r="BA648" s="4">
        <f>Base[[#This Row],['[SC']'[Dépendance']Coût_retraite_personnes_dépendantes]]/Base[[#This Row],[Population_totale]]</f>
        <v>0</v>
      </c>
      <c r="BB64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48" s="4">
        <f>Base[[#This Row],['[SC']'[Dépendance']Gains]]-Base[[#This Row],['[SC']'[Dépendance']Coûts]]</f>
        <v>0</v>
      </c>
      <c r="BD648" s="4">
        <f>IF(Base[[#This Row],[Pathologie]]&lt;&gt;"Mort prématurée",0,Base[[#This Row],[Risque]]*Base[[#This Row],[Prévalence]]*Base[[#This Row],[Population_totale]])</f>
        <v>34962.473416801695</v>
      </c>
      <c r="BE648" s="4">
        <v>52.74</v>
      </c>
      <c r="BF648" s="4">
        <f>Base[[#This Row],['[SC']Âge_moyen_retraite]]-Base[[#This Row],['[SC']'[Mort_prématurée']Âge_moyen_mort précoce]]</f>
        <v>10.159999999999997</v>
      </c>
      <c r="BG648" s="4">
        <f>Base[[#This Row],[Espérance_vie]]+Base[[#This Row],['[SC']Hausse_esp_de_vie]]-Base[[#This Row],['[SC']Âge_moyen_retraite]]</f>
        <v>20.404874790994718</v>
      </c>
      <c r="BH648" s="4">
        <v>106583.42676924677</v>
      </c>
      <c r="BI648" s="4">
        <v>97601.789429271477</v>
      </c>
      <c r="BJ648" s="4">
        <v>302038.31496633729</v>
      </c>
      <c r="BK648" s="4">
        <v>117293.58934859755</v>
      </c>
      <c r="BL648" s="4">
        <v>1523999.9999999995</v>
      </c>
      <c r="BM64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48" s="4">
        <v>294804.96027377353</v>
      </c>
      <c r="BO64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48" s="4">
        <f>(Base[[#This Row],['[SC']'[Mort_prématurée']Gains]]-Base[[#This Row],['[SC']'[Mort_prématurée']Coûts]])/Base[[#This Row],[Population_totale]]</f>
        <v>31.333953136298806</v>
      </c>
      <c r="BQ648" s="4">
        <f>IF(Base[[#This Row],[Pathologie]]&lt;&gt;"Mort prématurée",0,Base[[#This Row],[Risque]])</f>
        <v>0.28936709012503803</v>
      </c>
      <c r="BR648" s="4">
        <v>2680</v>
      </c>
      <c r="BS64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4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8" s="4">
        <f>Base[[#This Row],[Prévalence_prod]]*(1-Base[[#This Row],[Risque]])*Base[[#This Row],[Durée_arrêt]]*Base[[#This Row],[Population_emploi]]</f>
        <v>0</v>
      </c>
      <c r="BV648" s="4">
        <f>Base[[#This Row],['[Prod']'[Absentéisme']Total_jours_absence_avant]]-Base[[#This Row],['[Prod']'[Absentéisme']Total_jours_absence_après]]</f>
        <v>0</v>
      </c>
      <c r="BW648" s="4">
        <f>IF(AND(Base[[#This Row],[Pathologie]]&lt;&gt;"Dépendance",Base[[#This Row],[Pathologie]]&lt;&gt;"Mort prématurée",Base[[#This Row],[Pathologie]]&lt;&gt;"Migraine"),0.0619,0)</f>
        <v>0</v>
      </c>
      <c r="BX648" s="4">
        <v>254</v>
      </c>
      <c r="BY64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8" s="4">
        <f>Base[[#This Row],[Prévalence_prod]]*Base[[#This Row],[Présentéisme]]*Base[[#This Row],['[Prod']Jours_ouvrés]]</f>
        <v>0</v>
      </c>
      <c r="CB648" s="4">
        <f>Base[[#This Row],[Prévalence_prod]]*(1-Base[[#This Row],[Risque]])*Base[[#This Row],[Présentéisme]]*Base[[#This Row],['[Prod']Jours_ouvrés]]</f>
        <v>0</v>
      </c>
      <c r="CC648" s="4">
        <f>Base[[#This Row],['[Prod']'[Présentéisme']Jours_avant]]-Base[[#This Row],['[Prod']'[Présentéisme']Jours_après]]</f>
        <v>0</v>
      </c>
      <c r="CD648" s="4">
        <f>Base[[#This Row],['[Prod']'[Présentéisme']Jours_gagnés]]/Base[[#This Row],['[Prod']Jours_ouvrés]]</f>
        <v>0</v>
      </c>
      <c r="CE648">
        <v>9.3428413505841454E-2</v>
      </c>
      <c r="CF648">
        <v>2.1038737314955848E-2</v>
      </c>
      <c r="CG648" s="4">
        <v>11</v>
      </c>
      <c r="CH648" s="4">
        <v>0.68054183762612652</v>
      </c>
      <c r="CI648" s="4">
        <v>1.2135452577082654E-2</v>
      </c>
      <c r="CJ648" s="4">
        <f>IF(Base[[#This Row],[Secteur]]&lt;&gt;"Moyenne",Base[[#This Row],['[Prod']'[Turnover']DMC_initiale]]*(1+Base[[#This Row],['[Prod']'[Turnover']Ecart_accidents]]*Base[[#This Row],['[Prod']Impact_motifs_turnover]]),CJ631*CI631+CJ632*CI632+CJ633*CI633+CJ634*CI634+CJ635*CI635+CJ636*CI636+CJ637*CI637+CJ638*CI638+CJ639*CI639+CJ640*CI640+CJ641*CI641+CJ642*CI642+CJ643*CI643+CJ644*CI644+CJ645*CI645+CJ646*CI646+CJ647*CI647)</f>
        <v>11.157495150490188</v>
      </c>
      <c r="CK648" s="4">
        <f>1/Base[[#This Row],['[Prod']'[Turnover']DMC_initiale]]</f>
        <v>9.0909090909090912E-2</v>
      </c>
      <c r="CL648" s="4">
        <f>1/Base[[#This Row],['[Prod']'[Turnover']DMC_finale]]</f>
        <v>8.9625851189015879E-2</v>
      </c>
    </row>
    <row r="649" spans="2:90" x14ac:dyDescent="0.25">
      <c r="B649" s="4" t="s">
        <v>317</v>
      </c>
      <c r="C649">
        <v>30</v>
      </c>
      <c r="D649" t="s">
        <v>85</v>
      </c>
      <c r="E649" t="s">
        <v>59</v>
      </c>
      <c r="F649" s="3">
        <v>0.28936709012503803</v>
      </c>
      <c r="G649" s="3">
        <v>1.7864082739021815E-3</v>
      </c>
      <c r="H649" s="3">
        <v>1.7864082739021815E-3</v>
      </c>
      <c r="I649" s="3">
        <v>0</v>
      </c>
      <c r="J649" s="3">
        <v>0</v>
      </c>
      <c r="K649" s="3">
        <v>7.0000000000000007E-2</v>
      </c>
      <c r="L649" s="2">
        <f>Base[[#This Row],[Coût]]*Base[[#This Row],[Part_ménages_dépenses_santé]]</f>
        <v>0</v>
      </c>
      <c r="M649" s="2">
        <v>0</v>
      </c>
      <c r="N649" s="6">
        <v>27700000</v>
      </c>
      <c r="O649" s="7">
        <f>Base[[#This Row],[Coût_salarié]]*10^9*Base[[#This Row],[Risque]]*Base[[#This Row],[Prévalence]]*Base[[#This Row],[Part_coûts_salarié]]/Base[[#This Row],[Population_emploi]]</f>
        <v>0</v>
      </c>
      <c r="P649">
        <v>50</v>
      </c>
      <c r="Q649">
        <v>50</v>
      </c>
      <c r="R649" s="2">
        <v>9.9999999999999978E-2</v>
      </c>
      <c r="S649" s="2">
        <v>0.33340000000000003</v>
      </c>
      <c r="T649" s="4">
        <v>0</v>
      </c>
      <c r="U649" s="4">
        <f>IF(Bases_annexes!$F$5=0,16.6587111018772,0.77*Bases_annexes!$F$5/(IF(OR(ISBLANK('Données_d''entrée'!$E$44),'Données_d''entrée'!$E$44=0),35,'Données_d''entrée'!$E$44)*52))</f>
        <v>16.658711101877199</v>
      </c>
      <c r="V649" s="4">
        <v>0</v>
      </c>
      <c r="W64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49" s="4">
        <v>234.5</v>
      </c>
      <c r="Y649" s="4">
        <f>(Base[[#This Row],['[Maladies']Coûts_évités_par_salarié]]+Base[[#This Row],['[Travail']Coûts_évités_par_salarié]])/Base[[#This Row],[Budget_santé_salarié]]</f>
        <v>0</v>
      </c>
      <c r="Z649" s="4">
        <v>0.8</v>
      </c>
      <c r="AA649" s="4">
        <f>Base[[#This Row],[Coût]]*Base[[#This Row],[Part_société_dépenses_santé]]</f>
        <v>0</v>
      </c>
      <c r="AB649" s="4">
        <v>67635124</v>
      </c>
      <c r="AC649" s="4">
        <v>82.297079063317852</v>
      </c>
      <c r="AD649" s="4">
        <v>0</v>
      </c>
      <c r="AE649" s="4">
        <f>Base[[#This Row],['[SC']Prévalence_travail]]*Base[[#This Row],[Population_emploi]]</f>
        <v>0</v>
      </c>
      <c r="AF649" s="4">
        <f>Base[[#This Row],[Risque]]*Base[[#This Row],['[SC']Patients_en_emploi]]</f>
        <v>0</v>
      </c>
      <c r="AG649" s="4">
        <v>0</v>
      </c>
      <c r="AH649" s="4">
        <f>IFERROR(Base[[#This Row],['[SC']Prestations]]/Base[[#This Row],['[SC']Patients_en_emploi]],0)</f>
        <v>0</v>
      </c>
      <c r="AI649" s="4">
        <v>51.7</v>
      </c>
      <c r="AJ64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49" s="4">
        <f>Base[[#This Row],['[SC']'[Travail']Coûts_évités]]/Base[[#This Row],[Population_emploi]]</f>
        <v>0</v>
      </c>
      <c r="AL649" s="4">
        <f>Base[[#This Row],[Coût_société]]*10^9*Base[[#This Row],[Risque]]*Base[[#This Row],[Prévalence]]*Base[[#This Row],[Part_coûts_salarié]]/Base[[#This Row],[Population_emploi]]</f>
        <v>0</v>
      </c>
      <c r="AM649" s="4">
        <f>IF(Base[[#This Row],[Pathologie]]&lt;&gt;"Dépendance",0,14909.24243952)</f>
        <v>0</v>
      </c>
      <c r="AN649" s="4">
        <f>IF(Base[[#This Row],[Pathologie]]&lt;&gt;"Dépendance",0,1316000)</f>
        <v>0</v>
      </c>
      <c r="AO649" s="4">
        <f>IF(Base[[#This Row],[Pathologie]]&lt;&gt;"Dépendance",0,Base[[#This Row],['[SC']Coût_personne_dépendante]]*Base[[#This Row],['[SC']Nb_personnes_dépendantes]])</f>
        <v>0</v>
      </c>
      <c r="AP649" s="4">
        <f>IF(Base[[#This Row],[Pathologie]]&lt;&gt;"Dépendance",0,Base[[#This Row],['[SC']Coût_total_dépendance]]/Base[[#This Row],[Population_totale]])</f>
        <v>0</v>
      </c>
      <c r="AQ649" s="4">
        <f>IF(Base[[#This Row],[Pathologie]]&lt;&gt;"Dépendance",0,4.5)</f>
        <v>0</v>
      </c>
      <c r="AR649" s="4">
        <v>1.0077957276768601</v>
      </c>
      <c r="AS649" s="4">
        <f>Base[[#This Row],[Espérance_vie]]+Base[[#This Row],['[SC']Hausse_esp_de_vie]]-Base[[#This Row],['[SC']Durée_moyenne_dépendance_avt]]+Base[[#This Row],[Risque]]</f>
        <v>83.594241881119757</v>
      </c>
      <c r="AT64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4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49" s="4">
        <v>62.9</v>
      </c>
      <c r="AW649" s="4">
        <f t="shared" si="22"/>
        <v>336905600000</v>
      </c>
      <c r="AX649" s="4">
        <v>15049171</v>
      </c>
      <c r="AY649" s="4">
        <f>Base[[#This Row],['[SC']Budget_total_retraites]]/Base[[#This Row],['[SC']Nombre_de_retraités]]</f>
        <v>22386.987296509556</v>
      </c>
      <c r="AZ649" s="4">
        <f>Base[[#This Row],['[SC']Budget_par_retraité]]*Base[[#This Row],['[SC']Nb_personnes_dépendantes]]</f>
        <v>0</v>
      </c>
      <c r="BA649" s="4">
        <f>Base[[#This Row],['[SC']'[Dépendance']Coût_retraite_personnes_dépendantes]]/Base[[#This Row],[Population_totale]]</f>
        <v>0</v>
      </c>
      <c r="BB64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49" s="4">
        <f>Base[[#This Row],['[SC']'[Dépendance']Gains]]-Base[[#This Row],['[SC']'[Dépendance']Coûts]]</f>
        <v>0</v>
      </c>
      <c r="BD649" s="4">
        <f>IF(Base[[#This Row],[Pathologie]]&lt;&gt;"Mort prématurée",0,Base[[#This Row],[Risque]]*Base[[#This Row],[Prévalence]]*Base[[#This Row],[Population_totale]])</f>
        <v>34962.473416801695</v>
      </c>
      <c r="BE649" s="4">
        <v>52.74</v>
      </c>
      <c r="BF649" s="4">
        <f>Base[[#This Row],['[SC']Âge_moyen_retraite]]-Base[[#This Row],['[SC']'[Mort_prématurée']Âge_moyen_mort précoce]]</f>
        <v>10.159999999999997</v>
      </c>
      <c r="BG649" s="4">
        <f>Base[[#This Row],[Espérance_vie]]+Base[[#This Row],['[SC']Hausse_esp_de_vie]]-Base[[#This Row],['[SC']Âge_moyen_retraite]]</f>
        <v>20.404874790994718</v>
      </c>
      <c r="BH649" s="4">
        <v>106583.42676924677</v>
      </c>
      <c r="BI649" s="4">
        <v>97601.789429271477</v>
      </c>
      <c r="BJ649" s="4">
        <v>302038.31496633729</v>
      </c>
      <c r="BK649" s="4">
        <v>117293.58934859755</v>
      </c>
      <c r="BL649" s="4">
        <v>1523999.9999999995</v>
      </c>
      <c r="BM64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49" s="4">
        <v>294804.96027377353</v>
      </c>
      <c r="BO64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49" s="4">
        <f>(Base[[#This Row],['[SC']'[Mort_prématurée']Gains]]-Base[[#This Row],['[SC']'[Mort_prématurée']Coûts]])/Base[[#This Row],[Population_totale]]</f>
        <v>31.333953136298806</v>
      </c>
      <c r="BQ649" s="4">
        <f>IF(Base[[#This Row],[Pathologie]]&lt;&gt;"Mort prématurée",0,Base[[#This Row],[Risque]])</f>
        <v>0.28936709012503803</v>
      </c>
      <c r="BR649" s="4">
        <v>2680</v>
      </c>
      <c r="BS64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4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49" s="4">
        <f>Base[[#This Row],[Prévalence_prod]]*(1-Base[[#This Row],[Risque]])*Base[[#This Row],[Durée_arrêt]]*Base[[#This Row],[Population_emploi]]</f>
        <v>0</v>
      </c>
      <c r="BV649" s="4">
        <f>Base[[#This Row],['[Prod']'[Absentéisme']Total_jours_absence_avant]]-Base[[#This Row],['[Prod']'[Absentéisme']Total_jours_absence_après]]</f>
        <v>0</v>
      </c>
      <c r="BW649" s="4">
        <f>IF(AND(Base[[#This Row],[Pathologie]]&lt;&gt;"Dépendance",Base[[#This Row],[Pathologie]]&lt;&gt;"Mort prématurée",Base[[#This Row],[Pathologie]]&lt;&gt;"Migraine"),0.0619,0)</f>
        <v>0</v>
      </c>
      <c r="BX649" s="4">
        <v>254</v>
      </c>
      <c r="BY64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4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49" s="4">
        <f>Base[[#This Row],[Prévalence_prod]]*Base[[#This Row],[Présentéisme]]*Base[[#This Row],['[Prod']Jours_ouvrés]]</f>
        <v>0</v>
      </c>
      <c r="CB649" s="4">
        <f>Base[[#This Row],[Prévalence_prod]]*(1-Base[[#This Row],[Risque]])*Base[[#This Row],[Présentéisme]]*Base[[#This Row],['[Prod']Jours_ouvrés]]</f>
        <v>0</v>
      </c>
      <c r="CC649" s="4">
        <f>Base[[#This Row],['[Prod']'[Présentéisme']Jours_avant]]-Base[[#This Row],['[Prod']'[Présentéisme']Jours_après]]</f>
        <v>0</v>
      </c>
      <c r="CD649" s="4">
        <f>Base[[#This Row],['[Prod']'[Présentéisme']Jours_gagnés]]/Base[[#This Row],['[Prod']Jours_ouvrés]]</f>
        <v>0</v>
      </c>
      <c r="CE649">
        <v>9.3428413505841454E-2</v>
      </c>
      <c r="CF649">
        <v>2.1038737314955848E-2</v>
      </c>
      <c r="CG649" s="4">
        <v>11</v>
      </c>
      <c r="CH649" s="4">
        <v>0.31563677172153043</v>
      </c>
      <c r="CI649" s="4">
        <v>1.3003350630813707E-4</v>
      </c>
      <c r="CJ649" s="4">
        <f>IF(Base[[#This Row],[Secteur]]&lt;&gt;"Moyenne",Base[[#This Row],['[Prod']'[Turnover']DMC_initiale]]*(1+Base[[#This Row],['[Prod']'[Turnover']Ecart_accidents]]*Base[[#This Row],['[Prod']Impact_motifs_turnover]]),CJ632*CI632+CJ633*CI633+CJ634*CI634+CJ635*CI635+CJ636*CI636+CJ637*CI637+CJ638*CI638+CJ639*CI639+CJ640*CI640+CJ641*CI641+CJ642*CI642+CJ643*CI643+CJ644*CI644+CJ645*CI645+CJ646*CI646+CJ647*CI647+CJ648*CI648)</f>
        <v>11.073046590399091</v>
      </c>
      <c r="CK649" s="4">
        <f>1/Base[[#This Row],['[Prod']'[Turnover']DMC_initiale]]</f>
        <v>9.0909090909090912E-2</v>
      </c>
      <c r="CL649" s="4">
        <f>1/Base[[#This Row],['[Prod']'[Turnover']DMC_finale]]</f>
        <v>9.030938250246795E-2</v>
      </c>
    </row>
    <row r="650" spans="2:90" x14ac:dyDescent="0.25">
      <c r="B650" s="4" t="s">
        <v>318</v>
      </c>
      <c r="C650">
        <v>30</v>
      </c>
      <c r="D650" t="s">
        <v>85</v>
      </c>
      <c r="E650" t="s">
        <v>59</v>
      </c>
      <c r="F650" s="3">
        <v>0.28936709012503803</v>
      </c>
      <c r="G650" s="3">
        <v>1.7864082739021815E-3</v>
      </c>
      <c r="H650" s="3">
        <v>1.7864082739021815E-3</v>
      </c>
      <c r="I650" s="3">
        <v>0</v>
      </c>
      <c r="J650" s="3">
        <v>0</v>
      </c>
      <c r="K650" s="3">
        <v>7.0000000000000007E-2</v>
      </c>
      <c r="L650" s="2">
        <f>Base[[#This Row],[Coût]]*Base[[#This Row],[Part_ménages_dépenses_santé]]</f>
        <v>0</v>
      </c>
      <c r="M650" s="2">
        <v>0</v>
      </c>
      <c r="N650" s="6">
        <v>27700000</v>
      </c>
      <c r="O650" s="7">
        <f>Base[[#This Row],[Coût_salarié]]*10^9*Base[[#This Row],[Risque]]*Base[[#This Row],[Prévalence]]*Base[[#This Row],[Part_coûts_salarié]]/Base[[#This Row],[Population_emploi]]</f>
        <v>0</v>
      </c>
      <c r="P650">
        <v>50</v>
      </c>
      <c r="Q650">
        <v>50</v>
      </c>
      <c r="R650" s="2">
        <v>9.9999999999999978E-2</v>
      </c>
      <c r="S650" s="2">
        <v>0.33340000000000003</v>
      </c>
      <c r="T650" s="4">
        <v>0</v>
      </c>
      <c r="U650" s="4">
        <f>IF(Bases_annexes!$F$5=0,16.6587111018772,0.77*Bases_annexes!$F$5/(IF(OR(ISBLANK('Données_d''entrée'!$E$44),'Données_d''entrée'!$E$44=0),35,'Données_d''entrée'!$E$44)*52))</f>
        <v>16.658711101877199</v>
      </c>
      <c r="V650" s="4">
        <v>0</v>
      </c>
      <c r="W65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0" s="4">
        <v>234.5</v>
      </c>
      <c r="Y650" s="4">
        <f>(Base[[#This Row],['[Maladies']Coûts_évités_par_salarié]]+Base[[#This Row],['[Travail']Coûts_évités_par_salarié]])/Base[[#This Row],[Budget_santé_salarié]]</f>
        <v>0</v>
      </c>
      <c r="Z650" s="4">
        <v>0.8</v>
      </c>
      <c r="AA650" s="4">
        <f>Base[[#This Row],[Coût]]*Base[[#This Row],[Part_société_dépenses_santé]]</f>
        <v>0</v>
      </c>
      <c r="AB650" s="4">
        <v>67635124</v>
      </c>
      <c r="AC650" s="4">
        <v>82.297079063317852</v>
      </c>
      <c r="AD650" s="4">
        <v>0</v>
      </c>
      <c r="AE650" s="4">
        <f>Base[[#This Row],['[SC']Prévalence_travail]]*Base[[#This Row],[Population_emploi]]</f>
        <v>0</v>
      </c>
      <c r="AF650" s="4">
        <f>Base[[#This Row],[Risque]]*Base[[#This Row],['[SC']Patients_en_emploi]]</f>
        <v>0</v>
      </c>
      <c r="AG650" s="4">
        <v>0</v>
      </c>
      <c r="AH650" s="4">
        <f>IFERROR(Base[[#This Row],['[SC']Prestations]]/Base[[#This Row],['[SC']Patients_en_emploi]],0)</f>
        <v>0</v>
      </c>
      <c r="AI650" s="4">
        <v>51.7</v>
      </c>
      <c r="AJ65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0" s="4">
        <f>Base[[#This Row],['[SC']'[Travail']Coûts_évités]]/Base[[#This Row],[Population_emploi]]</f>
        <v>0</v>
      </c>
      <c r="AL650" s="4">
        <f>Base[[#This Row],[Coût_société]]*10^9*Base[[#This Row],[Risque]]*Base[[#This Row],[Prévalence]]*Base[[#This Row],[Part_coûts_salarié]]/Base[[#This Row],[Population_emploi]]</f>
        <v>0</v>
      </c>
      <c r="AM650" s="4">
        <f>IF(Base[[#This Row],[Pathologie]]&lt;&gt;"Dépendance",0,14909.24243952)</f>
        <v>0</v>
      </c>
      <c r="AN650" s="4">
        <f>IF(Base[[#This Row],[Pathologie]]&lt;&gt;"Dépendance",0,1316000)</f>
        <v>0</v>
      </c>
      <c r="AO650" s="4">
        <f>IF(Base[[#This Row],[Pathologie]]&lt;&gt;"Dépendance",0,Base[[#This Row],['[SC']Coût_personne_dépendante]]*Base[[#This Row],['[SC']Nb_personnes_dépendantes]])</f>
        <v>0</v>
      </c>
      <c r="AP650" s="4">
        <f>IF(Base[[#This Row],[Pathologie]]&lt;&gt;"Dépendance",0,Base[[#This Row],['[SC']Coût_total_dépendance]]/Base[[#This Row],[Population_totale]])</f>
        <v>0</v>
      </c>
      <c r="AQ650" s="4">
        <f>IF(Base[[#This Row],[Pathologie]]&lt;&gt;"Dépendance",0,4.5)</f>
        <v>0</v>
      </c>
      <c r="AR650" s="4">
        <v>1.0077957276768601</v>
      </c>
      <c r="AS650" s="4">
        <f>Base[[#This Row],[Espérance_vie]]+Base[[#This Row],['[SC']Hausse_esp_de_vie]]-Base[[#This Row],['[SC']Durée_moyenne_dépendance_avt]]+Base[[#This Row],[Risque]]</f>
        <v>83.594241881119757</v>
      </c>
      <c r="AT65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0" s="4">
        <v>62.9</v>
      </c>
      <c r="AW650" s="4">
        <f t="shared" si="22"/>
        <v>336905600000</v>
      </c>
      <c r="AX650" s="4">
        <v>15049171</v>
      </c>
      <c r="AY650" s="4">
        <f>Base[[#This Row],['[SC']Budget_total_retraites]]/Base[[#This Row],['[SC']Nombre_de_retraités]]</f>
        <v>22386.987296509556</v>
      </c>
      <c r="AZ650" s="4">
        <f>Base[[#This Row],['[SC']Budget_par_retraité]]*Base[[#This Row],['[SC']Nb_personnes_dépendantes]]</f>
        <v>0</v>
      </c>
      <c r="BA650" s="4">
        <f>Base[[#This Row],['[SC']'[Dépendance']Coût_retraite_personnes_dépendantes]]/Base[[#This Row],[Population_totale]]</f>
        <v>0</v>
      </c>
      <c r="BB65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0" s="4">
        <f>Base[[#This Row],['[SC']'[Dépendance']Gains]]-Base[[#This Row],['[SC']'[Dépendance']Coûts]]</f>
        <v>0</v>
      </c>
      <c r="BD650" s="4">
        <f>IF(Base[[#This Row],[Pathologie]]&lt;&gt;"Mort prématurée",0,Base[[#This Row],[Risque]]*Base[[#This Row],[Prévalence]]*Base[[#This Row],[Population_totale]])</f>
        <v>34962.473416801695</v>
      </c>
      <c r="BE650" s="4">
        <v>52.74</v>
      </c>
      <c r="BF650" s="4">
        <f>Base[[#This Row],['[SC']Âge_moyen_retraite]]-Base[[#This Row],['[SC']'[Mort_prématurée']Âge_moyen_mort précoce]]</f>
        <v>10.159999999999997</v>
      </c>
      <c r="BG650" s="4">
        <f>Base[[#This Row],[Espérance_vie]]+Base[[#This Row],['[SC']Hausse_esp_de_vie]]-Base[[#This Row],['[SC']Âge_moyen_retraite]]</f>
        <v>20.404874790994718</v>
      </c>
      <c r="BH650" s="4">
        <v>106583.42676924677</v>
      </c>
      <c r="BI650" s="4">
        <v>97601.789429271477</v>
      </c>
      <c r="BJ650" s="4">
        <v>302038.31496633729</v>
      </c>
      <c r="BK650" s="4">
        <v>117293.58934859755</v>
      </c>
      <c r="BL650" s="4">
        <v>1523999.9999999995</v>
      </c>
      <c r="BM65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0" s="4">
        <v>294804.96027377353</v>
      </c>
      <c r="BO65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0" s="4">
        <f>(Base[[#This Row],['[SC']'[Mort_prématurée']Gains]]-Base[[#This Row],['[SC']'[Mort_prématurée']Coûts]])/Base[[#This Row],[Population_totale]]</f>
        <v>31.333953136298806</v>
      </c>
      <c r="BQ650" s="4">
        <f>IF(Base[[#This Row],[Pathologie]]&lt;&gt;"Mort prématurée",0,Base[[#This Row],[Risque]])</f>
        <v>0.28936709012503803</v>
      </c>
      <c r="BR650" s="4">
        <v>2680</v>
      </c>
      <c r="BS65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0" s="4">
        <f>Base[[#This Row],[Prévalence_prod]]*(1-Base[[#This Row],[Risque]])*Base[[#This Row],[Durée_arrêt]]*Base[[#This Row],[Population_emploi]]</f>
        <v>0</v>
      </c>
      <c r="BV650" s="4">
        <f>Base[[#This Row],['[Prod']'[Absentéisme']Total_jours_absence_avant]]-Base[[#This Row],['[Prod']'[Absentéisme']Total_jours_absence_après]]</f>
        <v>0</v>
      </c>
      <c r="BW650" s="4">
        <f>IF(AND(Base[[#This Row],[Pathologie]]&lt;&gt;"Dépendance",Base[[#This Row],[Pathologie]]&lt;&gt;"Mort prématurée",Base[[#This Row],[Pathologie]]&lt;&gt;"Migraine"),0.0619,0)</f>
        <v>0</v>
      </c>
      <c r="BX650" s="4">
        <v>254</v>
      </c>
      <c r="BY65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0" s="4">
        <f>Base[[#This Row],[Prévalence_prod]]*Base[[#This Row],[Présentéisme]]*Base[[#This Row],['[Prod']Jours_ouvrés]]</f>
        <v>0</v>
      </c>
      <c r="CB650" s="4">
        <f>Base[[#This Row],[Prévalence_prod]]*(1-Base[[#This Row],[Risque]])*Base[[#This Row],[Présentéisme]]*Base[[#This Row],['[Prod']Jours_ouvrés]]</f>
        <v>0</v>
      </c>
      <c r="CC650" s="4">
        <f>Base[[#This Row],['[Prod']'[Présentéisme']Jours_avant]]-Base[[#This Row],['[Prod']'[Présentéisme']Jours_après]]</f>
        <v>0</v>
      </c>
      <c r="CD650" s="4">
        <f>Base[[#This Row],['[Prod']'[Présentéisme']Jours_gagnés]]/Base[[#This Row],['[Prod']Jours_ouvrés]]</f>
        <v>0</v>
      </c>
      <c r="CE650">
        <v>9.3428413505841454E-2</v>
      </c>
      <c r="CF650">
        <v>2.1038737314955848E-2</v>
      </c>
      <c r="CG650" s="4">
        <v>11</v>
      </c>
      <c r="CH650" s="4">
        <v>1.1688035738877327</v>
      </c>
      <c r="CI650" s="4">
        <v>9.6557438521367826E-3</v>
      </c>
      <c r="CJ650" s="4">
        <f>IF(Base[[#This Row],[Secteur]]&lt;&gt;"Moyenne",Base[[#This Row],['[Prod']'[Turnover']DMC_initiale]]*(1+Base[[#This Row],['[Prod']'[Turnover']Ecart_accidents]]*Base[[#This Row],['[Prod']Impact_motifs_turnover]]),CJ633*CI633+CJ634*CI634+CJ635*CI635+CJ636*CI636+CJ637*CI637+CJ638*CI638+CJ639*CI639+CJ640*CI640+CJ641*CI641+CJ642*CI642+CJ643*CI643+CJ644*CI644+CJ645*CI645+CJ646*CI646+CJ647*CI647+CJ648*CI648+CJ649*CI649)</f>
        <v>11.270491665001861</v>
      </c>
      <c r="CK650" s="4">
        <f>1/Base[[#This Row],['[Prod']'[Turnover']DMC_initiale]]</f>
        <v>9.0909090909090912E-2</v>
      </c>
      <c r="CL650" s="4">
        <f>1/Base[[#This Row],['[Prod']'[Turnover']DMC_finale]]</f>
        <v>8.8727273815861069E-2</v>
      </c>
    </row>
    <row r="651" spans="2:90" x14ac:dyDescent="0.25">
      <c r="B651" s="4" t="s">
        <v>319</v>
      </c>
      <c r="C651">
        <v>30</v>
      </c>
      <c r="D651" t="s">
        <v>85</v>
      </c>
      <c r="E651" t="s">
        <v>59</v>
      </c>
      <c r="F651" s="3">
        <v>0.28936709012503803</v>
      </c>
      <c r="G651" s="3">
        <v>1.7864082739021815E-3</v>
      </c>
      <c r="H651" s="3">
        <v>1.7864082739021815E-3</v>
      </c>
      <c r="I651" s="3">
        <v>0</v>
      </c>
      <c r="J651" s="3">
        <v>0</v>
      </c>
      <c r="K651" s="3">
        <v>7.0000000000000007E-2</v>
      </c>
      <c r="L651" s="2">
        <f>Base[[#This Row],[Coût]]*Base[[#This Row],[Part_ménages_dépenses_santé]]</f>
        <v>0</v>
      </c>
      <c r="M651" s="2">
        <v>0</v>
      </c>
      <c r="N651" s="6">
        <v>27700000</v>
      </c>
      <c r="O651" s="7">
        <f>Base[[#This Row],[Coût_salarié]]*10^9*Base[[#This Row],[Risque]]*Base[[#This Row],[Prévalence]]*Base[[#This Row],[Part_coûts_salarié]]/Base[[#This Row],[Population_emploi]]</f>
        <v>0</v>
      </c>
      <c r="P651">
        <v>50</v>
      </c>
      <c r="Q651">
        <v>50</v>
      </c>
      <c r="R651" s="2">
        <v>9.9999999999999978E-2</v>
      </c>
      <c r="S651" s="2">
        <v>0.33340000000000003</v>
      </c>
      <c r="T651" s="4">
        <v>0</v>
      </c>
      <c r="U651" s="4">
        <f>IF(Bases_annexes!$F$5=0,16.6587111018772,0.77*Bases_annexes!$F$5/(IF(OR(ISBLANK('Données_d''entrée'!$E$44),'Données_d''entrée'!$E$44=0),35,'Données_d''entrée'!$E$44)*52))</f>
        <v>16.658711101877199</v>
      </c>
      <c r="V651" s="4">
        <v>0</v>
      </c>
      <c r="W65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1" s="4">
        <v>234.5</v>
      </c>
      <c r="Y651" s="4">
        <f>(Base[[#This Row],['[Maladies']Coûts_évités_par_salarié]]+Base[[#This Row],['[Travail']Coûts_évités_par_salarié]])/Base[[#This Row],[Budget_santé_salarié]]</f>
        <v>0</v>
      </c>
      <c r="Z651" s="4">
        <v>0.8</v>
      </c>
      <c r="AA651" s="4">
        <f>Base[[#This Row],[Coût]]*Base[[#This Row],[Part_société_dépenses_santé]]</f>
        <v>0</v>
      </c>
      <c r="AB651" s="4">
        <v>67635124</v>
      </c>
      <c r="AC651" s="4">
        <v>82.297079063317852</v>
      </c>
      <c r="AD651" s="4">
        <v>0</v>
      </c>
      <c r="AE651" s="4">
        <f>Base[[#This Row],['[SC']Prévalence_travail]]*Base[[#This Row],[Population_emploi]]</f>
        <v>0</v>
      </c>
      <c r="AF651" s="4">
        <f>Base[[#This Row],[Risque]]*Base[[#This Row],['[SC']Patients_en_emploi]]</f>
        <v>0</v>
      </c>
      <c r="AG651" s="4">
        <v>0</v>
      </c>
      <c r="AH651" s="4">
        <f>IFERROR(Base[[#This Row],['[SC']Prestations]]/Base[[#This Row],['[SC']Patients_en_emploi]],0)</f>
        <v>0</v>
      </c>
      <c r="AI651" s="4">
        <v>51.7</v>
      </c>
      <c r="AJ65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1" s="4">
        <f>Base[[#This Row],['[SC']'[Travail']Coûts_évités]]/Base[[#This Row],[Population_emploi]]</f>
        <v>0</v>
      </c>
      <c r="AL651" s="4">
        <f>Base[[#This Row],[Coût_société]]*10^9*Base[[#This Row],[Risque]]*Base[[#This Row],[Prévalence]]*Base[[#This Row],[Part_coûts_salarié]]/Base[[#This Row],[Population_emploi]]</f>
        <v>0</v>
      </c>
      <c r="AM651" s="4">
        <f>IF(Base[[#This Row],[Pathologie]]&lt;&gt;"Dépendance",0,14909.24243952)</f>
        <v>0</v>
      </c>
      <c r="AN651" s="4">
        <f>IF(Base[[#This Row],[Pathologie]]&lt;&gt;"Dépendance",0,1316000)</f>
        <v>0</v>
      </c>
      <c r="AO651" s="4">
        <f>IF(Base[[#This Row],[Pathologie]]&lt;&gt;"Dépendance",0,Base[[#This Row],['[SC']Coût_personne_dépendante]]*Base[[#This Row],['[SC']Nb_personnes_dépendantes]])</f>
        <v>0</v>
      </c>
      <c r="AP651" s="4">
        <f>IF(Base[[#This Row],[Pathologie]]&lt;&gt;"Dépendance",0,Base[[#This Row],['[SC']Coût_total_dépendance]]/Base[[#This Row],[Population_totale]])</f>
        <v>0</v>
      </c>
      <c r="AQ651" s="4">
        <f>IF(Base[[#This Row],[Pathologie]]&lt;&gt;"Dépendance",0,4.5)</f>
        <v>0</v>
      </c>
      <c r="AR651" s="4">
        <v>1.0077957276768601</v>
      </c>
      <c r="AS651" s="4">
        <f>Base[[#This Row],[Espérance_vie]]+Base[[#This Row],['[SC']Hausse_esp_de_vie]]-Base[[#This Row],['[SC']Durée_moyenne_dépendance_avt]]+Base[[#This Row],[Risque]]</f>
        <v>83.594241881119757</v>
      </c>
      <c r="AT65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1" s="4">
        <v>62.9</v>
      </c>
      <c r="AW651" s="4">
        <f t="shared" si="22"/>
        <v>336905600000</v>
      </c>
      <c r="AX651" s="4">
        <v>15049171</v>
      </c>
      <c r="AY651" s="4">
        <f>Base[[#This Row],['[SC']Budget_total_retraites]]/Base[[#This Row],['[SC']Nombre_de_retraités]]</f>
        <v>22386.987296509556</v>
      </c>
      <c r="AZ651" s="4">
        <f>Base[[#This Row],['[SC']Budget_par_retraité]]*Base[[#This Row],['[SC']Nb_personnes_dépendantes]]</f>
        <v>0</v>
      </c>
      <c r="BA651" s="4">
        <f>Base[[#This Row],['[SC']'[Dépendance']Coût_retraite_personnes_dépendantes]]/Base[[#This Row],[Population_totale]]</f>
        <v>0</v>
      </c>
      <c r="BB65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1" s="4">
        <f>Base[[#This Row],['[SC']'[Dépendance']Gains]]-Base[[#This Row],['[SC']'[Dépendance']Coûts]]</f>
        <v>0</v>
      </c>
      <c r="BD651" s="4">
        <f>IF(Base[[#This Row],[Pathologie]]&lt;&gt;"Mort prématurée",0,Base[[#This Row],[Risque]]*Base[[#This Row],[Prévalence]]*Base[[#This Row],[Population_totale]])</f>
        <v>34962.473416801695</v>
      </c>
      <c r="BE651" s="4">
        <v>52.74</v>
      </c>
      <c r="BF651" s="4">
        <f>Base[[#This Row],['[SC']Âge_moyen_retraite]]-Base[[#This Row],['[SC']'[Mort_prématurée']Âge_moyen_mort précoce]]</f>
        <v>10.159999999999997</v>
      </c>
      <c r="BG651" s="4">
        <f>Base[[#This Row],[Espérance_vie]]+Base[[#This Row],['[SC']Hausse_esp_de_vie]]-Base[[#This Row],['[SC']Âge_moyen_retraite]]</f>
        <v>20.404874790994718</v>
      </c>
      <c r="BH651" s="4">
        <v>106583.42676924677</v>
      </c>
      <c r="BI651" s="4">
        <v>97601.789429271477</v>
      </c>
      <c r="BJ651" s="4">
        <v>302038.31496633729</v>
      </c>
      <c r="BK651" s="4">
        <v>117293.58934859755</v>
      </c>
      <c r="BL651" s="4">
        <v>1523999.9999999995</v>
      </c>
      <c r="BM65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1" s="4">
        <v>294804.96027377353</v>
      </c>
      <c r="BO65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1" s="4">
        <f>(Base[[#This Row],['[SC']'[Mort_prématurée']Gains]]-Base[[#This Row],['[SC']'[Mort_prématurée']Coûts]])/Base[[#This Row],[Population_totale]]</f>
        <v>31.333953136298806</v>
      </c>
      <c r="BQ651" s="4">
        <f>IF(Base[[#This Row],[Pathologie]]&lt;&gt;"Mort prématurée",0,Base[[#This Row],[Risque]])</f>
        <v>0.28936709012503803</v>
      </c>
      <c r="BR651" s="4">
        <v>2680</v>
      </c>
      <c r="BS65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1" s="4">
        <f>Base[[#This Row],[Prévalence_prod]]*(1-Base[[#This Row],[Risque]])*Base[[#This Row],[Durée_arrêt]]*Base[[#This Row],[Population_emploi]]</f>
        <v>0</v>
      </c>
      <c r="BV651" s="4">
        <f>Base[[#This Row],['[Prod']'[Absentéisme']Total_jours_absence_avant]]-Base[[#This Row],['[Prod']'[Absentéisme']Total_jours_absence_après]]</f>
        <v>0</v>
      </c>
      <c r="BW651" s="4">
        <f>IF(AND(Base[[#This Row],[Pathologie]]&lt;&gt;"Dépendance",Base[[#This Row],[Pathologie]]&lt;&gt;"Mort prématurée",Base[[#This Row],[Pathologie]]&lt;&gt;"Migraine"),0.0619,0)</f>
        <v>0</v>
      </c>
      <c r="BX651" s="4">
        <v>254</v>
      </c>
      <c r="BY65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1" s="4">
        <f>Base[[#This Row],[Prévalence_prod]]*Base[[#This Row],[Présentéisme]]*Base[[#This Row],['[Prod']Jours_ouvrés]]</f>
        <v>0</v>
      </c>
      <c r="CB651" s="4">
        <f>Base[[#This Row],[Prévalence_prod]]*(1-Base[[#This Row],[Risque]])*Base[[#This Row],[Présentéisme]]*Base[[#This Row],['[Prod']Jours_ouvrés]]</f>
        <v>0</v>
      </c>
      <c r="CC651" s="4">
        <f>Base[[#This Row],['[Prod']'[Présentéisme']Jours_avant]]-Base[[#This Row],['[Prod']'[Présentéisme']Jours_après]]</f>
        <v>0</v>
      </c>
      <c r="CD651" s="4">
        <f>Base[[#This Row],['[Prod']'[Présentéisme']Jours_gagnés]]/Base[[#This Row],['[Prod']Jours_ouvrés]]</f>
        <v>0</v>
      </c>
      <c r="CE651">
        <v>9.3428413505841454E-2</v>
      </c>
      <c r="CF651">
        <v>2.1038737314955848E-2</v>
      </c>
      <c r="CG651" s="4">
        <v>11</v>
      </c>
      <c r="CH651" s="4">
        <v>0.52204401140486179</v>
      </c>
      <c r="CI651" s="4">
        <v>1.2443904150185675E-2</v>
      </c>
      <c r="CJ651" s="4">
        <f>IF(Base[[#This Row],[Secteur]]&lt;&gt;"Moyenne",Base[[#This Row],['[Prod']'[Turnover']DMC_initiale]]*(1+Base[[#This Row],['[Prod']'[Turnover']Ecart_accidents]]*Base[[#This Row],['[Prod']Impact_motifs_turnover]]),CJ634*CI634+CJ635*CI635+CJ636*CI636+CJ637*CI637+CJ638*CI638+CJ639*CI639+CJ640*CI640+CJ641*CI641+CJ642*CI642+CJ643*CI643+CJ644*CI644+CJ645*CI645+CJ646*CI646+CJ647*CI647+CJ648*CI648+CJ649*CI649+CJ650*CI650)</f>
        <v>11.120814615050721</v>
      </c>
      <c r="CK651" s="4">
        <f>1/Base[[#This Row],['[Prod']'[Turnover']DMC_initiale]]</f>
        <v>9.0909090909090912E-2</v>
      </c>
      <c r="CL651" s="4">
        <f>1/Base[[#This Row],['[Prod']'[Turnover']DMC_finale]]</f>
        <v>8.9921470199369843E-2</v>
      </c>
    </row>
    <row r="652" spans="2:90" x14ac:dyDescent="0.25">
      <c r="B652" s="4" t="s">
        <v>320</v>
      </c>
      <c r="C652">
        <v>30</v>
      </c>
      <c r="D652" t="s">
        <v>85</v>
      </c>
      <c r="E652" t="s">
        <v>59</v>
      </c>
      <c r="F652" s="3">
        <v>0.28936709012503803</v>
      </c>
      <c r="G652" s="3">
        <v>1.7864082739021815E-3</v>
      </c>
      <c r="H652" s="3">
        <v>1.7864082739021815E-3</v>
      </c>
      <c r="I652" s="3">
        <v>0</v>
      </c>
      <c r="J652" s="3">
        <v>0</v>
      </c>
      <c r="K652" s="3">
        <v>7.0000000000000007E-2</v>
      </c>
      <c r="L652" s="2">
        <f>Base[[#This Row],[Coût]]*Base[[#This Row],[Part_ménages_dépenses_santé]]</f>
        <v>0</v>
      </c>
      <c r="M652" s="2">
        <v>0</v>
      </c>
      <c r="N652" s="6">
        <v>27700000</v>
      </c>
      <c r="O652" s="7">
        <f>Base[[#This Row],[Coût_salarié]]*10^9*Base[[#This Row],[Risque]]*Base[[#This Row],[Prévalence]]*Base[[#This Row],[Part_coûts_salarié]]/Base[[#This Row],[Population_emploi]]</f>
        <v>0</v>
      </c>
      <c r="P652">
        <v>50</v>
      </c>
      <c r="Q652">
        <v>50</v>
      </c>
      <c r="R652" s="2">
        <v>9.9999999999999978E-2</v>
      </c>
      <c r="S652" s="2">
        <v>0.33340000000000003</v>
      </c>
      <c r="T652" s="4">
        <v>0</v>
      </c>
      <c r="U652" s="4">
        <f>IF(Bases_annexes!$F$5=0,16.6587111018772,0.77*Bases_annexes!$F$5/(IF(OR(ISBLANK('Données_d''entrée'!$E$44),'Données_d''entrée'!$E$44=0),35,'Données_d''entrée'!$E$44)*52))</f>
        <v>16.658711101877199</v>
      </c>
      <c r="V652" s="4">
        <v>0</v>
      </c>
      <c r="W65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2" s="4">
        <v>234.5</v>
      </c>
      <c r="Y652" s="4">
        <f>(Base[[#This Row],['[Maladies']Coûts_évités_par_salarié]]+Base[[#This Row],['[Travail']Coûts_évités_par_salarié]])/Base[[#This Row],[Budget_santé_salarié]]</f>
        <v>0</v>
      </c>
      <c r="Z652" s="4">
        <v>0.8</v>
      </c>
      <c r="AA652" s="4">
        <f>Base[[#This Row],[Coût]]*Base[[#This Row],[Part_société_dépenses_santé]]</f>
        <v>0</v>
      </c>
      <c r="AB652" s="4">
        <v>67635124</v>
      </c>
      <c r="AC652" s="4">
        <v>82.297079063317852</v>
      </c>
      <c r="AD652" s="4">
        <v>0</v>
      </c>
      <c r="AE652" s="4">
        <f>Base[[#This Row],['[SC']Prévalence_travail]]*Base[[#This Row],[Population_emploi]]</f>
        <v>0</v>
      </c>
      <c r="AF652" s="4">
        <f>Base[[#This Row],[Risque]]*Base[[#This Row],['[SC']Patients_en_emploi]]</f>
        <v>0</v>
      </c>
      <c r="AG652" s="4">
        <v>0</v>
      </c>
      <c r="AH652" s="4">
        <f>IFERROR(Base[[#This Row],['[SC']Prestations]]/Base[[#This Row],['[SC']Patients_en_emploi]],0)</f>
        <v>0</v>
      </c>
      <c r="AI652" s="4">
        <v>51.7</v>
      </c>
      <c r="AJ65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2" s="4">
        <f>Base[[#This Row],['[SC']'[Travail']Coûts_évités]]/Base[[#This Row],[Population_emploi]]</f>
        <v>0</v>
      </c>
      <c r="AL652" s="4">
        <f>Base[[#This Row],[Coût_société]]*10^9*Base[[#This Row],[Risque]]*Base[[#This Row],[Prévalence]]*Base[[#This Row],[Part_coûts_salarié]]/Base[[#This Row],[Population_emploi]]</f>
        <v>0</v>
      </c>
      <c r="AM652" s="4">
        <f>IF(Base[[#This Row],[Pathologie]]&lt;&gt;"Dépendance",0,14909.24243952)</f>
        <v>0</v>
      </c>
      <c r="AN652" s="4">
        <f>IF(Base[[#This Row],[Pathologie]]&lt;&gt;"Dépendance",0,1316000)</f>
        <v>0</v>
      </c>
      <c r="AO652" s="4">
        <f>IF(Base[[#This Row],[Pathologie]]&lt;&gt;"Dépendance",0,Base[[#This Row],['[SC']Coût_personne_dépendante]]*Base[[#This Row],['[SC']Nb_personnes_dépendantes]])</f>
        <v>0</v>
      </c>
      <c r="AP652" s="4">
        <f>IF(Base[[#This Row],[Pathologie]]&lt;&gt;"Dépendance",0,Base[[#This Row],['[SC']Coût_total_dépendance]]/Base[[#This Row],[Population_totale]])</f>
        <v>0</v>
      </c>
      <c r="AQ652" s="4">
        <f>IF(Base[[#This Row],[Pathologie]]&lt;&gt;"Dépendance",0,4.5)</f>
        <v>0</v>
      </c>
      <c r="AR652" s="4">
        <v>1.0077957276768601</v>
      </c>
      <c r="AS652" s="4">
        <f>Base[[#This Row],[Espérance_vie]]+Base[[#This Row],['[SC']Hausse_esp_de_vie]]-Base[[#This Row],['[SC']Durée_moyenne_dépendance_avt]]+Base[[#This Row],[Risque]]</f>
        <v>83.594241881119757</v>
      </c>
      <c r="AT65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2" s="4">
        <v>62.9</v>
      </c>
      <c r="AW652" s="4">
        <f t="shared" si="22"/>
        <v>336905600000</v>
      </c>
      <c r="AX652" s="4">
        <v>15049171</v>
      </c>
      <c r="AY652" s="4">
        <f>Base[[#This Row],['[SC']Budget_total_retraites]]/Base[[#This Row],['[SC']Nombre_de_retraités]]</f>
        <v>22386.987296509556</v>
      </c>
      <c r="AZ652" s="4">
        <f>Base[[#This Row],['[SC']Budget_par_retraité]]*Base[[#This Row],['[SC']Nb_personnes_dépendantes]]</f>
        <v>0</v>
      </c>
      <c r="BA652" s="4">
        <f>Base[[#This Row],['[SC']'[Dépendance']Coût_retraite_personnes_dépendantes]]/Base[[#This Row],[Population_totale]]</f>
        <v>0</v>
      </c>
      <c r="BB65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2" s="4">
        <f>Base[[#This Row],['[SC']'[Dépendance']Gains]]-Base[[#This Row],['[SC']'[Dépendance']Coûts]]</f>
        <v>0</v>
      </c>
      <c r="BD652" s="4">
        <f>IF(Base[[#This Row],[Pathologie]]&lt;&gt;"Mort prématurée",0,Base[[#This Row],[Risque]]*Base[[#This Row],[Prévalence]]*Base[[#This Row],[Population_totale]])</f>
        <v>34962.473416801695</v>
      </c>
      <c r="BE652" s="4">
        <v>52.74</v>
      </c>
      <c r="BF652" s="4">
        <f>Base[[#This Row],['[SC']Âge_moyen_retraite]]-Base[[#This Row],['[SC']'[Mort_prématurée']Âge_moyen_mort précoce]]</f>
        <v>10.159999999999997</v>
      </c>
      <c r="BG652" s="4">
        <f>Base[[#This Row],[Espérance_vie]]+Base[[#This Row],['[SC']Hausse_esp_de_vie]]-Base[[#This Row],['[SC']Âge_moyen_retraite]]</f>
        <v>20.404874790994718</v>
      </c>
      <c r="BH652" s="4">
        <v>106583.42676924677</v>
      </c>
      <c r="BI652" s="4">
        <v>97601.789429271477</v>
      </c>
      <c r="BJ652" s="4">
        <v>302038.31496633729</v>
      </c>
      <c r="BK652" s="4">
        <v>117293.58934859755</v>
      </c>
      <c r="BL652" s="4">
        <v>1523999.9999999995</v>
      </c>
      <c r="BM65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2" s="4">
        <v>294804.96027377353</v>
      </c>
      <c r="BO65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2" s="4">
        <f>(Base[[#This Row],['[SC']'[Mort_prématurée']Gains]]-Base[[#This Row],['[SC']'[Mort_prématurée']Coûts]])/Base[[#This Row],[Population_totale]]</f>
        <v>31.333953136298806</v>
      </c>
      <c r="BQ652" s="4">
        <f>IF(Base[[#This Row],[Pathologie]]&lt;&gt;"Mort prématurée",0,Base[[#This Row],[Risque]])</f>
        <v>0.28936709012503803</v>
      </c>
      <c r="BR652" s="4">
        <v>2680</v>
      </c>
      <c r="BS65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2" s="4">
        <f>Base[[#This Row],[Prévalence_prod]]*(1-Base[[#This Row],[Risque]])*Base[[#This Row],[Durée_arrêt]]*Base[[#This Row],[Population_emploi]]</f>
        <v>0</v>
      </c>
      <c r="BV652" s="4">
        <f>Base[[#This Row],['[Prod']'[Absentéisme']Total_jours_absence_avant]]-Base[[#This Row],['[Prod']'[Absentéisme']Total_jours_absence_après]]</f>
        <v>0</v>
      </c>
      <c r="BW652" s="4">
        <f>IF(AND(Base[[#This Row],[Pathologie]]&lt;&gt;"Dépendance",Base[[#This Row],[Pathologie]]&lt;&gt;"Mort prématurée",Base[[#This Row],[Pathologie]]&lt;&gt;"Migraine"),0.0619,0)</f>
        <v>0</v>
      </c>
      <c r="BX652" s="4">
        <v>254</v>
      </c>
      <c r="BY65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2" s="4">
        <f>Base[[#This Row],[Prévalence_prod]]*Base[[#This Row],[Présentéisme]]*Base[[#This Row],['[Prod']Jours_ouvrés]]</f>
        <v>0</v>
      </c>
      <c r="CB652" s="4">
        <f>Base[[#This Row],[Prévalence_prod]]*(1-Base[[#This Row],[Risque]])*Base[[#This Row],[Présentéisme]]*Base[[#This Row],['[Prod']Jours_ouvrés]]</f>
        <v>0</v>
      </c>
      <c r="CC652" s="4">
        <f>Base[[#This Row],['[Prod']'[Présentéisme']Jours_avant]]-Base[[#This Row],['[Prod']'[Présentéisme']Jours_après]]</f>
        <v>0</v>
      </c>
      <c r="CD652" s="4">
        <f>Base[[#This Row],['[Prod']'[Présentéisme']Jours_gagnés]]/Base[[#This Row],['[Prod']Jours_ouvrés]]</f>
        <v>0</v>
      </c>
      <c r="CE652">
        <v>9.3428413505841454E-2</v>
      </c>
      <c r="CF652">
        <v>2.1038737314955848E-2</v>
      </c>
      <c r="CG652" s="4">
        <v>11</v>
      </c>
      <c r="CH652" s="4">
        <v>0.49446424657188709</v>
      </c>
      <c r="CI652" s="4">
        <v>1.0795805058605798E-2</v>
      </c>
      <c r="CJ652" s="4">
        <f>IF(Base[[#This Row],[Secteur]]&lt;&gt;"Moyenne",Base[[#This Row],['[Prod']'[Turnover']DMC_initiale]]*(1+Base[[#This Row],['[Prod']'[Turnover']Ecart_accidents]]*Base[[#This Row],['[Prod']Impact_motifs_turnover]]),CJ635*CI635+CJ636*CI636+CJ637*CI637+CJ638*CI638+CJ639*CI639+CJ640*CI640+CJ641*CI641+CJ642*CI642+CJ643*CI643+CJ644*CI644+CJ645*CI645+CJ646*CI646+CJ647*CI647+CJ648*CI648+CJ649*CI649+CJ650*CI650+CJ651*CI651)</f>
        <v>11.114431937347899</v>
      </c>
      <c r="CK652" s="4">
        <f>1/Base[[#This Row],['[Prod']'[Turnover']DMC_initiale]]</f>
        <v>9.0909090909090912E-2</v>
      </c>
      <c r="CL652" s="4">
        <f>1/Base[[#This Row],['[Prod']'[Turnover']DMC_finale]]</f>
        <v>8.9973109344409538E-2</v>
      </c>
    </row>
    <row r="653" spans="2:90" x14ac:dyDescent="0.25">
      <c r="B653" s="4" t="s">
        <v>321</v>
      </c>
      <c r="C653">
        <v>30</v>
      </c>
      <c r="D653" t="s">
        <v>85</v>
      </c>
      <c r="E653" t="s">
        <v>59</v>
      </c>
      <c r="F653" s="3">
        <v>0.28936709012503803</v>
      </c>
      <c r="G653" s="3">
        <v>1.7864082739021815E-3</v>
      </c>
      <c r="H653" s="3">
        <v>1.7864082739021815E-3</v>
      </c>
      <c r="I653" s="3">
        <v>0</v>
      </c>
      <c r="J653" s="3">
        <v>0</v>
      </c>
      <c r="K653" s="3">
        <v>7.0000000000000007E-2</v>
      </c>
      <c r="L653" s="2">
        <f>Base[[#This Row],[Coût]]*Base[[#This Row],[Part_ménages_dépenses_santé]]</f>
        <v>0</v>
      </c>
      <c r="M653" s="2">
        <v>0</v>
      </c>
      <c r="N653" s="6">
        <v>27700000</v>
      </c>
      <c r="O653" s="7">
        <f>Base[[#This Row],[Coût_salarié]]*10^9*Base[[#This Row],[Risque]]*Base[[#This Row],[Prévalence]]*Base[[#This Row],[Part_coûts_salarié]]/Base[[#This Row],[Population_emploi]]</f>
        <v>0</v>
      </c>
      <c r="P653">
        <v>50</v>
      </c>
      <c r="Q653">
        <v>50</v>
      </c>
      <c r="R653" s="2">
        <v>9.9999999999999978E-2</v>
      </c>
      <c r="S653" s="2">
        <v>0.33340000000000003</v>
      </c>
      <c r="T653" s="4">
        <v>0</v>
      </c>
      <c r="U653" s="4">
        <f>IF(Bases_annexes!$F$5=0,16.6587111018772,0.77*Bases_annexes!$F$5/(IF(OR(ISBLANK('Données_d''entrée'!$E$44),'Données_d''entrée'!$E$44=0),35,'Données_d''entrée'!$E$44)*52))</f>
        <v>16.658711101877199</v>
      </c>
      <c r="V653" s="4">
        <v>0</v>
      </c>
      <c r="W65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3" s="4">
        <v>234.5</v>
      </c>
      <c r="Y653" s="4">
        <f>(Base[[#This Row],['[Maladies']Coûts_évités_par_salarié]]+Base[[#This Row],['[Travail']Coûts_évités_par_salarié]])/Base[[#This Row],[Budget_santé_salarié]]</f>
        <v>0</v>
      </c>
      <c r="Z653" s="4">
        <v>0.8</v>
      </c>
      <c r="AA653" s="4">
        <f>Base[[#This Row],[Coût]]*Base[[#This Row],[Part_société_dépenses_santé]]</f>
        <v>0</v>
      </c>
      <c r="AB653" s="4">
        <v>67635124</v>
      </c>
      <c r="AC653" s="4">
        <v>82.297079063317852</v>
      </c>
      <c r="AD653" s="4">
        <v>0</v>
      </c>
      <c r="AE653" s="4">
        <f>Base[[#This Row],['[SC']Prévalence_travail]]*Base[[#This Row],[Population_emploi]]</f>
        <v>0</v>
      </c>
      <c r="AF653" s="4">
        <f>Base[[#This Row],[Risque]]*Base[[#This Row],['[SC']Patients_en_emploi]]</f>
        <v>0</v>
      </c>
      <c r="AG653" s="4">
        <v>0</v>
      </c>
      <c r="AH653" s="4">
        <f>IFERROR(Base[[#This Row],['[SC']Prestations]]/Base[[#This Row],['[SC']Patients_en_emploi]],0)</f>
        <v>0</v>
      </c>
      <c r="AI653" s="4">
        <v>51.7</v>
      </c>
      <c r="AJ65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3" s="4">
        <f>Base[[#This Row],['[SC']'[Travail']Coûts_évités]]/Base[[#This Row],[Population_emploi]]</f>
        <v>0</v>
      </c>
      <c r="AL653" s="4">
        <f>Base[[#This Row],[Coût_société]]*10^9*Base[[#This Row],[Risque]]*Base[[#This Row],[Prévalence]]*Base[[#This Row],[Part_coûts_salarié]]/Base[[#This Row],[Population_emploi]]</f>
        <v>0</v>
      </c>
      <c r="AM653" s="4">
        <f>IF(Base[[#This Row],[Pathologie]]&lt;&gt;"Dépendance",0,14909.24243952)</f>
        <v>0</v>
      </c>
      <c r="AN653" s="4">
        <f>IF(Base[[#This Row],[Pathologie]]&lt;&gt;"Dépendance",0,1316000)</f>
        <v>0</v>
      </c>
      <c r="AO653" s="4">
        <f>IF(Base[[#This Row],[Pathologie]]&lt;&gt;"Dépendance",0,Base[[#This Row],['[SC']Coût_personne_dépendante]]*Base[[#This Row],['[SC']Nb_personnes_dépendantes]])</f>
        <v>0</v>
      </c>
      <c r="AP653" s="4">
        <f>IF(Base[[#This Row],[Pathologie]]&lt;&gt;"Dépendance",0,Base[[#This Row],['[SC']Coût_total_dépendance]]/Base[[#This Row],[Population_totale]])</f>
        <v>0</v>
      </c>
      <c r="AQ653" s="4">
        <f>IF(Base[[#This Row],[Pathologie]]&lt;&gt;"Dépendance",0,4.5)</f>
        <v>0</v>
      </c>
      <c r="AR653" s="4">
        <v>1.0077957276768601</v>
      </c>
      <c r="AS653" s="4">
        <f>Base[[#This Row],[Espérance_vie]]+Base[[#This Row],['[SC']Hausse_esp_de_vie]]-Base[[#This Row],['[SC']Durée_moyenne_dépendance_avt]]+Base[[#This Row],[Risque]]</f>
        <v>83.594241881119757</v>
      </c>
      <c r="AT65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3" s="4">
        <v>62.9</v>
      </c>
      <c r="AW653" s="4">
        <f t="shared" si="22"/>
        <v>336905600000</v>
      </c>
      <c r="AX653" s="4">
        <v>15049171</v>
      </c>
      <c r="AY653" s="4">
        <f>Base[[#This Row],['[SC']Budget_total_retraites]]/Base[[#This Row],['[SC']Nombre_de_retraités]]</f>
        <v>22386.987296509556</v>
      </c>
      <c r="AZ653" s="4">
        <f>Base[[#This Row],['[SC']Budget_par_retraité]]*Base[[#This Row],['[SC']Nb_personnes_dépendantes]]</f>
        <v>0</v>
      </c>
      <c r="BA653" s="4">
        <f>Base[[#This Row],['[SC']'[Dépendance']Coût_retraite_personnes_dépendantes]]/Base[[#This Row],[Population_totale]]</f>
        <v>0</v>
      </c>
      <c r="BB65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3" s="4">
        <f>Base[[#This Row],['[SC']'[Dépendance']Gains]]-Base[[#This Row],['[SC']'[Dépendance']Coûts]]</f>
        <v>0</v>
      </c>
      <c r="BD653" s="4">
        <f>IF(Base[[#This Row],[Pathologie]]&lt;&gt;"Mort prématurée",0,Base[[#This Row],[Risque]]*Base[[#This Row],[Prévalence]]*Base[[#This Row],[Population_totale]])</f>
        <v>34962.473416801695</v>
      </c>
      <c r="BE653" s="4">
        <v>52.74</v>
      </c>
      <c r="BF653" s="4">
        <f>Base[[#This Row],['[SC']Âge_moyen_retraite]]-Base[[#This Row],['[SC']'[Mort_prématurée']Âge_moyen_mort précoce]]</f>
        <v>10.159999999999997</v>
      </c>
      <c r="BG653" s="4">
        <f>Base[[#This Row],[Espérance_vie]]+Base[[#This Row],['[SC']Hausse_esp_de_vie]]-Base[[#This Row],['[SC']Âge_moyen_retraite]]</f>
        <v>20.404874790994718</v>
      </c>
      <c r="BH653" s="4">
        <v>106583.42676924677</v>
      </c>
      <c r="BI653" s="4">
        <v>97601.789429271477</v>
      </c>
      <c r="BJ653" s="4">
        <v>302038.31496633729</v>
      </c>
      <c r="BK653" s="4">
        <v>117293.58934859755</v>
      </c>
      <c r="BL653" s="4">
        <v>1523999.9999999995</v>
      </c>
      <c r="BM65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3" s="4">
        <v>294804.96027377353</v>
      </c>
      <c r="BO65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3" s="4">
        <f>(Base[[#This Row],['[SC']'[Mort_prématurée']Gains]]-Base[[#This Row],['[SC']'[Mort_prématurée']Coûts]])/Base[[#This Row],[Population_totale]]</f>
        <v>31.333953136298806</v>
      </c>
      <c r="BQ653" s="4">
        <f>IF(Base[[#This Row],[Pathologie]]&lt;&gt;"Mort prématurée",0,Base[[#This Row],[Risque]])</f>
        <v>0.28936709012503803</v>
      </c>
      <c r="BR653" s="4">
        <v>2680</v>
      </c>
      <c r="BS65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3" s="4">
        <f>Base[[#This Row],[Prévalence_prod]]*(1-Base[[#This Row],[Risque]])*Base[[#This Row],[Durée_arrêt]]*Base[[#This Row],[Population_emploi]]</f>
        <v>0</v>
      </c>
      <c r="BV653" s="4">
        <f>Base[[#This Row],['[Prod']'[Absentéisme']Total_jours_absence_avant]]-Base[[#This Row],['[Prod']'[Absentéisme']Total_jours_absence_après]]</f>
        <v>0</v>
      </c>
      <c r="BW653" s="4">
        <f>IF(AND(Base[[#This Row],[Pathologie]]&lt;&gt;"Dépendance",Base[[#This Row],[Pathologie]]&lt;&gt;"Mort prématurée",Base[[#This Row],[Pathologie]]&lt;&gt;"Migraine"),0.0619,0)</f>
        <v>0</v>
      </c>
      <c r="BX653" s="4">
        <v>254</v>
      </c>
      <c r="BY65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3" s="4">
        <f>Base[[#This Row],[Prévalence_prod]]*Base[[#This Row],[Présentéisme]]*Base[[#This Row],['[Prod']Jours_ouvrés]]</f>
        <v>0</v>
      </c>
      <c r="CB653" s="4">
        <f>Base[[#This Row],[Prévalence_prod]]*(1-Base[[#This Row],[Risque]])*Base[[#This Row],[Présentéisme]]*Base[[#This Row],['[Prod']Jours_ouvrés]]</f>
        <v>0</v>
      </c>
      <c r="CC653" s="4">
        <f>Base[[#This Row],['[Prod']'[Présentéisme']Jours_avant]]-Base[[#This Row],['[Prod']'[Présentéisme']Jours_après]]</f>
        <v>0</v>
      </c>
      <c r="CD653" s="4">
        <f>Base[[#This Row],['[Prod']'[Présentéisme']Jours_gagnés]]/Base[[#This Row],['[Prod']Jours_ouvrés]]</f>
        <v>0</v>
      </c>
      <c r="CE653">
        <v>9.3428413505841454E-2</v>
      </c>
      <c r="CF653">
        <v>2.1038737314955848E-2</v>
      </c>
      <c r="CG653" s="4">
        <v>11</v>
      </c>
      <c r="CH653" s="4">
        <v>0.85274500894619554</v>
      </c>
      <c r="CI653" s="4">
        <v>4.2903496994109176E-2</v>
      </c>
      <c r="CJ653" s="4">
        <f>IF(Base[[#This Row],[Secteur]]&lt;&gt;"Moyenne",Base[[#This Row],['[Prod']'[Turnover']DMC_initiale]]*(1+Base[[#This Row],['[Prod']'[Turnover']Ecart_accidents]]*Base[[#This Row],['[Prod']Impact_motifs_turnover]]),CJ636*CI636+CJ637*CI637+CJ638*CI638+CJ639*CI639+CJ640*CI640+CJ641*CI641+CJ642*CI642+CJ643*CI643+CJ644*CI644+CJ645*CI645+CJ646*CI646+CJ647*CI647+CJ648*CI648+CJ649*CI649+CJ650*CI650+CJ651*CI651+CJ652*CI652)</f>
        <v>11.197347460638447</v>
      </c>
      <c r="CK653" s="4">
        <f>1/Base[[#This Row],['[Prod']'[Turnover']DMC_initiale]]</f>
        <v>9.0909090909090912E-2</v>
      </c>
      <c r="CL653" s="4">
        <f>1/Base[[#This Row],['[Prod']'[Turnover']DMC_finale]]</f>
        <v>8.930686517635153E-2</v>
      </c>
    </row>
    <row r="654" spans="2:90" x14ac:dyDescent="0.25">
      <c r="B654" s="4" t="s">
        <v>322</v>
      </c>
      <c r="C654">
        <v>30</v>
      </c>
      <c r="D654" t="s">
        <v>85</v>
      </c>
      <c r="E654" t="s">
        <v>59</v>
      </c>
      <c r="F654" s="3">
        <v>0.28936709012503803</v>
      </c>
      <c r="G654" s="3">
        <v>1.7864082739021815E-3</v>
      </c>
      <c r="H654" s="3">
        <v>1.7864082739021815E-3</v>
      </c>
      <c r="I654" s="3">
        <v>0</v>
      </c>
      <c r="J654" s="3">
        <v>0</v>
      </c>
      <c r="K654" s="3">
        <v>7.0000000000000007E-2</v>
      </c>
      <c r="L654" s="2">
        <f>Base[[#This Row],[Coût]]*Base[[#This Row],[Part_ménages_dépenses_santé]]</f>
        <v>0</v>
      </c>
      <c r="M654" s="2">
        <v>0</v>
      </c>
      <c r="N654" s="6">
        <v>27700000</v>
      </c>
      <c r="O654" s="7">
        <f>Base[[#This Row],[Coût_salarié]]*10^9*Base[[#This Row],[Risque]]*Base[[#This Row],[Prévalence]]*Base[[#This Row],[Part_coûts_salarié]]/Base[[#This Row],[Population_emploi]]</f>
        <v>0</v>
      </c>
      <c r="P654">
        <v>50</v>
      </c>
      <c r="Q654">
        <v>50</v>
      </c>
      <c r="R654" s="2">
        <v>9.9999999999999978E-2</v>
      </c>
      <c r="S654" s="2">
        <v>0.33340000000000003</v>
      </c>
      <c r="T654" s="4">
        <v>0</v>
      </c>
      <c r="U654" s="4">
        <f>IF(Bases_annexes!$F$5=0,16.6587111018772,0.77*Bases_annexes!$F$5/(IF(OR(ISBLANK('Données_d''entrée'!$E$44),'Données_d''entrée'!$E$44=0),35,'Données_d''entrée'!$E$44)*52))</f>
        <v>16.658711101877199</v>
      </c>
      <c r="V654" s="4">
        <v>0</v>
      </c>
      <c r="W65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4" s="4">
        <v>234.5</v>
      </c>
      <c r="Y654" s="4">
        <f>(Base[[#This Row],['[Maladies']Coûts_évités_par_salarié]]+Base[[#This Row],['[Travail']Coûts_évités_par_salarié]])/Base[[#This Row],[Budget_santé_salarié]]</f>
        <v>0</v>
      </c>
      <c r="Z654" s="4">
        <v>0.8</v>
      </c>
      <c r="AA654" s="4">
        <f>Base[[#This Row],[Coût]]*Base[[#This Row],[Part_société_dépenses_santé]]</f>
        <v>0</v>
      </c>
      <c r="AB654" s="4">
        <v>67635124</v>
      </c>
      <c r="AC654" s="4">
        <v>82.297079063317852</v>
      </c>
      <c r="AD654" s="4">
        <v>0</v>
      </c>
      <c r="AE654" s="4">
        <f>Base[[#This Row],['[SC']Prévalence_travail]]*Base[[#This Row],[Population_emploi]]</f>
        <v>0</v>
      </c>
      <c r="AF654" s="4">
        <f>Base[[#This Row],[Risque]]*Base[[#This Row],['[SC']Patients_en_emploi]]</f>
        <v>0</v>
      </c>
      <c r="AG654" s="4">
        <v>0</v>
      </c>
      <c r="AH654" s="4">
        <f>IFERROR(Base[[#This Row],['[SC']Prestations]]/Base[[#This Row],['[SC']Patients_en_emploi]],0)</f>
        <v>0</v>
      </c>
      <c r="AI654" s="4">
        <v>51.7</v>
      </c>
      <c r="AJ65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4" s="4">
        <f>Base[[#This Row],['[SC']'[Travail']Coûts_évités]]/Base[[#This Row],[Population_emploi]]</f>
        <v>0</v>
      </c>
      <c r="AL654" s="4">
        <f>Base[[#This Row],[Coût_société]]*10^9*Base[[#This Row],[Risque]]*Base[[#This Row],[Prévalence]]*Base[[#This Row],[Part_coûts_salarié]]/Base[[#This Row],[Population_emploi]]</f>
        <v>0</v>
      </c>
      <c r="AM654" s="4">
        <f>IF(Base[[#This Row],[Pathologie]]&lt;&gt;"Dépendance",0,14909.24243952)</f>
        <v>0</v>
      </c>
      <c r="AN654" s="4">
        <f>IF(Base[[#This Row],[Pathologie]]&lt;&gt;"Dépendance",0,1316000)</f>
        <v>0</v>
      </c>
      <c r="AO654" s="4">
        <f>IF(Base[[#This Row],[Pathologie]]&lt;&gt;"Dépendance",0,Base[[#This Row],['[SC']Coût_personne_dépendante]]*Base[[#This Row],['[SC']Nb_personnes_dépendantes]])</f>
        <v>0</v>
      </c>
      <c r="AP654" s="4">
        <f>IF(Base[[#This Row],[Pathologie]]&lt;&gt;"Dépendance",0,Base[[#This Row],['[SC']Coût_total_dépendance]]/Base[[#This Row],[Population_totale]])</f>
        <v>0</v>
      </c>
      <c r="AQ654" s="4">
        <f>IF(Base[[#This Row],[Pathologie]]&lt;&gt;"Dépendance",0,4.5)</f>
        <v>0</v>
      </c>
      <c r="AR654" s="4">
        <v>1.0077957276768601</v>
      </c>
      <c r="AS654" s="4">
        <f>Base[[#This Row],[Espérance_vie]]+Base[[#This Row],['[SC']Hausse_esp_de_vie]]-Base[[#This Row],['[SC']Durée_moyenne_dépendance_avt]]+Base[[#This Row],[Risque]]</f>
        <v>83.594241881119757</v>
      </c>
      <c r="AT65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4" s="4">
        <v>62.9</v>
      </c>
      <c r="AW654" s="4">
        <f t="shared" si="22"/>
        <v>336905600000</v>
      </c>
      <c r="AX654" s="4">
        <v>15049171</v>
      </c>
      <c r="AY654" s="4">
        <f>Base[[#This Row],['[SC']Budget_total_retraites]]/Base[[#This Row],['[SC']Nombre_de_retraités]]</f>
        <v>22386.987296509556</v>
      </c>
      <c r="AZ654" s="4">
        <f>Base[[#This Row],['[SC']Budget_par_retraité]]*Base[[#This Row],['[SC']Nb_personnes_dépendantes]]</f>
        <v>0</v>
      </c>
      <c r="BA654" s="4">
        <f>Base[[#This Row],['[SC']'[Dépendance']Coût_retraite_personnes_dépendantes]]/Base[[#This Row],[Population_totale]]</f>
        <v>0</v>
      </c>
      <c r="BB65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4" s="4">
        <f>Base[[#This Row],['[SC']'[Dépendance']Gains]]-Base[[#This Row],['[SC']'[Dépendance']Coûts]]</f>
        <v>0</v>
      </c>
      <c r="BD654" s="4">
        <f>IF(Base[[#This Row],[Pathologie]]&lt;&gt;"Mort prématurée",0,Base[[#This Row],[Risque]]*Base[[#This Row],[Prévalence]]*Base[[#This Row],[Population_totale]])</f>
        <v>34962.473416801695</v>
      </c>
      <c r="BE654" s="4">
        <v>52.74</v>
      </c>
      <c r="BF654" s="4">
        <f>Base[[#This Row],['[SC']Âge_moyen_retraite]]-Base[[#This Row],['[SC']'[Mort_prématurée']Âge_moyen_mort précoce]]</f>
        <v>10.159999999999997</v>
      </c>
      <c r="BG654" s="4">
        <f>Base[[#This Row],[Espérance_vie]]+Base[[#This Row],['[SC']Hausse_esp_de_vie]]-Base[[#This Row],['[SC']Âge_moyen_retraite]]</f>
        <v>20.404874790994718</v>
      </c>
      <c r="BH654" s="4">
        <v>106583.42676924677</v>
      </c>
      <c r="BI654" s="4">
        <v>97601.789429271477</v>
      </c>
      <c r="BJ654" s="4">
        <v>302038.31496633729</v>
      </c>
      <c r="BK654" s="4">
        <v>117293.58934859755</v>
      </c>
      <c r="BL654" s="4">
        <v>1523999.9999999995</v>
      </c>
      <c r="BM65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4" s="4">
        <v>294804.96027377353</v>
      </c>
      <c r="BO65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4" s="4">
        <f>(Base[[#This Row],['[SC']'[Mort_prématurée']Gains]]-Base[[#This Row],['[SC']'[Mort_prématurée']Coûts]])/Base[[#This Row],[Population_totale]]</f>
        <v>31.333953136298806</v>
      </c>
      <c r="BQ654" s="4">
        <f>IF(Base[[#This Row],[Pathologie]]&lt;&gt;"Mort prématurée",0,Base[[#This Row],[Risque]])</f>
        <v>0.28936709012503803</v>
      </c>
      <c r="BR654" s="4">
        <v>2680</v>
      </c>
      <c r="BS65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4" s="4">
        <f>Base[[#This Row],[Prévalence_prod]]*(1-Base[[#This Row],[Risque]])*Base[[#This Row],[Durée_arrêt]]*Base[[#This Row],[Population_emploi]]</f>
        <v>0</v>
      </c>
      <c r="BV654" s="4">
        <f>Base[[#This Row],['[Prod']'[Absentéisme']Total_jours_absence_avant]]-Base[[#This Row],['[Prod']'[Absentéisme']Total_jours_absence_après]]</f>
        <v>0</v>
      </c>
      <c r="BW654" s="4">
        <f>IF(AND(Base[[#This Row],[Pathologie]]&lt;&gt;"Dépendance",Base[[#This Row],[Pathologie]]&lt;&gt;"Mort prématurée",Base[[#This Row],[Pathologie]]&lt;&gt;"Migraine"),0.0619,0)</f>
        <v>0</v>
      </c>
      <c r="BX654" s="4">
        <v>254</v>
      </c>
      <c r="BY65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4" s="4">
        <f>Base[[#This Row],[Prévalence_prod]]*Base[[#This Row],[Présentéisme]]*Base[[#This Row],['[Prod']Jours_ouvrés]]</f>
        <v>0</v>
      </c>
      <c r="CB654" s="4">
        <f>Base[[#This Row],[Prévalence_prod]]*(1-Base[[#This Row],[Risque]])*Base[[#This Row],[Présentéisme]]*Base[[#This Row],['[Prod']Jours_ouvrés]]</f>
        <v>0</v>
      </c>
      <c r="CC654" s="4">
        <f>Base[[#This Row],['[Prod']'[Présentéisme']Jours_avant]]-Base[[#This Row],['[Prod']'[Présentéisme']Jours_après]]</f>
        <v>0</v>
      </c>
      <c r="CD654" s="4">
        <f>Base[[#This Row],['[Prod']'[Présentéisme']Jours_gagnés]]/Base[[#This Row],['[Prod']Jours_ouvrés]]</f>
        <v>0</v>
      </c>
      <c r="CE654">
        <v>9.3428413505841454E-2</v>
      </c>
      <c r="CF654">
        <v>2.1038737314955848E-2</v>
      </c>
      <c r="CG654" s="4">
        <v>11</v>
      </c>
      <c r="CH654" s="4">
        <v>1.6219398392978641</v>
      </c>
      <c r="CI654" s="4">
        <v>9.628527536862988E-2</v>
      </c>
      <c r="CJ654" s="4">
        <f>IF(Base[[#This Row],[Secteur]]&lt;&gt;"Moyenne",Base[[#This Row],['[Prod']'[Turnover']DMC_initiale]]*(1+Base[[#This Row],['[Prod']'[Turnover']Ecart_accidents]]*Base[[#This Row],['[Prod']Impact_motifs_turnover]]),CJ637*CI637+CJ638*CI638+CJ639*CI639+CJ640*CI640+CJ641*CI641+CJ642*CI642+CJ643*CI643+CJ644*CI644+CJ645*CI645+CJ646*CI646+CJ647*CI647+CJ648*CI648+CJ649*CI649+CJ650*CI650+CJ651*CI651+CJ652*CI652+CJ653*CI653)</f>
        <v>11.375359228416144</v>
      </c>
      <c r="CK654" s="4">
        <f>1/Base[[#This Row],['[Prod']'[Turnover']DMC_initiale]]</f>
        <v>9.0909090909090912E-2</v>
      </c>
      <c r="CL654" s="4">
        <f>1/Base[[#This Row],['[Prod']'[Turnover']DMC_finale]]</f>
        <v>8.7909311690303041E-2</v>
      </c>
    </row>
    <row r="655" spans="2:90" x14ac:dyDescent="0.25">
      <c r="B655" s="4" t="s">
        <v>323</v>
      </c>
      <c r="C655">
        <v>30</v>
      </c>
      <c r="D655" t="s">
        <v>85</v>
      </c>
      <c r="E655" t="s">
        <v>59</v>
      </c>
      <c r="F655" s="3">
        <v>0.28936709012503803</v>
      </c>
      <c r="G655" s="3">
        <v>1.7864082739021815E-3</v>
      </c>
      <c r="H655" s="3">
        <v>1.7864082739021815E-3</v>
      </c>
      <c r="I655" s="3">
        <v>0</v>
      </c>
      <c r="J655" s="3">
        <v>0</v>
      </c>
      <c r="K655" s="3">
        <v>7.0000000000000007E-2</v>
      </c>
      <c r="L655" s="2">
        <f>Base[[#This Row],[Coût]]*Base[[#This Row],[Part_ménages_dépenses_santé]]</f>
        <v>0</v>
      </c>
      <c r="M655" s="2">
        <v>0</v>
      </c>
      <c r="N655" s="6">
        <v>27700000</v>
      </c>
      <c r="O655" s="7">
        <f>Base[[#This Row],[Coût_salarié]]*10^9*Base[[#This Row],[Risque]]*Base[[#This Row],[Prévalence]]*Base[[#This Row],[Part_coûts_salarié]]/Base[[#This Row],[Population_emploi]]</f>
        <v>0</v>
      </c>
      <c r="P655">
        <v>50</v>
      </c>
      <c r="Q655">
        <v>50</v>
      </c>
      <c r="R655" s="2">
        <v>9.9999999999999978E-2</v>
      </c>
      <c r="S655" s="2">
        <v>0.33340000000000003</v>
      </c>
      <c r="T655" s="4">
        <v>0</v>
      </c>
      <c r="U655" s="4">
        <f>IF(Bases_annexes!$F$5=0,16.6587111018772,0.77*Bases_annexes!$F$5/(IF(OR(ISBLANK('Données_d''entrée'!$E$44),'Données_d''entrée'!$E$44=0),35,'Données_d''entrée'!$E$44)*52))</f>
        <v>16.658711101877199</v>
      </c>
      <c r="V655" s="4">
        <v>0</v>
      </c>
      <c r="W65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5" s="4">
        <v>234.5</v>
      </c>
      <c r="Y655" s="4">
        <f>(Base[[#This Row],['[Maladies']Coûts_évités_par_salarié]]+Base[[#This Row],['[Travail']Coûts_évités_par_salarié]])/Base[[#This Row],[Budget_santé_salarié]]</f>
        <v>0</v>
      </c>
      <c r="Z655" s="4">
        <v>0.8</v>
      </c>
      <c r="AA655" s="4">
        <f>Base[[#This Row],[Coût]]*Base[[#This Row],[Part_société_dépenses_santé]]</f>
        <v>0</v>
      </c>
      <c r="AB655" s="4">
        <v>67635124</v>
      </c>
      <c r="AC655" s="4">
        <v>82.297079063317852</v>
      </c>
      <c r="AD655" s="4">
        <v>0</v>
      </c>
      <c r="AE655" s="4">
        <f>Base[[#This Row],['[SC']Prévalence_travail]]*Base[[#This Row],[Population_emploi]]</f>
        <v>0</v>
      </c>
      <c r="AF655" s="4">
        <f>Base[[#This Row],[Risque]]*Base[[#This Row],['[SC']Patients_en_emploi]]</f>
        <v>0</v>
      </c>
      <c r="AG655" s="4">
        <v>0</v>
      </c>
      <c r="AH655" s="4">
        <f>IFERROR(Base[[#This Row],['[SC']Prestations]]/Base[[#This Row],['[SC']Patients_en_emploi]],0)</f>
        <v>0</v>
      </c>
      <c r="AI655" s="4">
        <v>51.7</v>
      </c>
      <c r="AJ65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5" s="4">
        <f>Base[[#This Row],['[SC']'[Travail']Coûts_évités]]/Base[[#This Row],[Population_emploi]]</f>
        <v>0</v>
      </c>
      <c r="AL655" s="4">
        <f>Base[[#This Row],[Coût_société]]*10^9*Base[[#This Row],[Risque]]*Base[[#This Row],[Prévalence]]*Base[[#This Row],[Part_coûts_salarié]]/Base[[#This Row],[Population_emploi]]</f>
        <v>0</v>
      </c>
      <c r="AM655" s="4">
        <f>IF(Base[[#This Row],[Pathologie]]&lt;&gt;"Dépendance",0,14909.24243952)</f>
        <v>0</v>
      </c>
      <c r="AN655" s="4">
        <f>IF(Base[[#This Row],[Pathologie]]&lt;&gt;"Dépendance",0,1316000)</f>
        <v>0</v>
      </c>
      <c r="AO655" s="4">
        <f>IF(Base[[#This Row],[Pathologie]]&lt;&gt;"Dépendance",0,Base[[#This Row],['[SC']Coût_personne_dépendante]]*Base[[#This Row],['[SC']Nb_personnes_dépendantes]])</f>
        <v>0</v>
      </c>
      <c r="AP655" s="4">
        <f>IF(Base[[#This Row],[Pathologie]]&lt;&gt;"Dépendance",0,Base[[#This Row],['[SC']Coût_total_dépendance]]/Base[[#This Row],[Population_totale]])</f>
        <v>0</v>
      </c>
      <c r="AQ655" s="4">
        <f>IF(Base[[#This Row],[Pathologie]]&lt;&gt;"Dépendance",0,4.5)</f>
        <v>0</v>
      </c>
      <c r="AR655" s="4">
        <v>1.0077957276768601</v>
      </c>
      <c r="AS655" s="4">
        <f>Base[[#This Row],[Espérance_vie]]+Base[[#This Row],['[SC']Hausse_esp_de_vie]]-Base[[#This Row],['[SC']Durée_moyenne_dépendance_avt]]+Base[[#This Row],[Risque]]</f>
        <v>83.594241881119757</v>
      </c>
      <c r="AT65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5" s="4">
        <v>62.9</v>
      </c>
      <c r="AW655" s="4">
        <f t="shared" si="22"/>
        <v>336905600000</v>
      </c>
      <c r="AX655" s="4">
        <v>15049171</v>
      </c>
      <c r="AY655" s="4">
        <f>Base[[#This Row],['[SC']Budget_total_retraites]]/Base[[#This Row],['[SC']Nombre_de_retraités]]</f>
        <v>22386.987296509556</v>
      </c>
      <c r="AZ655" s="4">
        <f>Base[[#This Row],['[SC']Budget_par_retraité]]*Base[[#This Row],['[SC']Nb_personnes_dépendantes]]</f>
        <v>0</v>
      </c>
      <c r="BA655" s="4">
        <f>Base[[#This Row],['[SC']'[Dépendance']Coût_retraite_personnes_dépendantes]]/Base[[#This Row],[Population_totale]]</f>
        <v>0</v>
      </c>
      <c r="BB65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5" s="4">
        <f>Base[[#This Row],['[SC']'[Dépendance']Gains]]-Base[[#This Row],['[SC']'[Dépendance']Coûts]]</f>
        <v>0</v>
      </c>
      <c r="BD655" s="4">
        <f>IF(Base[[#This Row],[Pathologie]]&lt;&gt;"Mort prématurée",0,Base[[#This Row],[Risque]]*Base[[#This Row],[Prévalence]]*Base[[#This Row],[Population_totale]])</f>
        <v>34962.473416801695</v>
      </c>
      <c r="BE655" s="4">
        <v>52.74</v>
      </c>
      <c r="BF655" s="4">
        <f>Base[[#This Row],['[SC']Âge_moyen_retraite]]-Base[[#This Row],['[SC']'[Mort_prématurée']Âge_moyen_mort précoce]]</f>
        <v>10.159999999999997</v>
      </c>
      <c r="BG655" s="4">
        <f>Base[[#This Row],[Espérance_vie]]+Base[[#This Row],['[SC']Hausse_esp_de_vie]]-Base[[#This Row],['[SC']Âge_moyen_retraite]]</f>
        <v>20.404874790994718</v>
      </c>
      <c r="BH655" s="4">
        <v>106583.42676924677</v>
      </c>
      <c r="BI655" s="4">
        <v>97601.789429271477</v>
      </c>
      <c r="BJ655" s="4">
        <v>302038.31496633729</v>
      </c>
      <c r="BK655" s="4">
        <v>117293.58934859755</v>
      </c>
      <c r="BL655" s="4">
        <v>1523999.9999999995</v>
      </c>
      <c r="BM65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5" s="4">
        <v>294804.96027377353</v>
      </c>
      <c r="BO65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5" s="4">
        <f>(Base[[#This Row],['[SC']'[Mort_prématurée']Gains]]-Base[[#This Row],['[SC']'[Mort_prématurée']Coûts]])/Base[[#This Row],[Population_totale]]</f>
        <v>31.333953136298806</v>
      </c>
      <c r="BQ655" s="4">
        <f>IF(Base[[#This Row],[Pathologie]]&lt;&gt;"Mort prématurée",0,Base[[#This Row],[Risque]])</f>
        <v>0.28936709012503803</v>
      </c>
      <c r="BR655" s="4">
        <v>2680</v>
      </c>
      <c r="BS65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5" s="4">
        <f>Base[[#This Row],[Prévalence_prod]]*(1-Base[[#This Row],[Risque]])*Base[[#This Row],[Durée_arrêt]]*Base[[#This Row],[Population_emploi]]</f>
        <v>0</v>
      </c>
      <c r="BV655" s="4">
        <f>Base[[#This Row],['[Prod']'[Absentéisme']Total_jours_absence_avant]]-Base[[#This Row],['[Prod']'[Absentéisme']Total_jours_absence_après]]</f>
        <v>0</v>
      </c>
      <c r="BW655" s="4">
        <f>IF(AND(Base[[#This Row],[Pathologie]]&lt;&gt;"Dépendance",Base[[#This Row],[Pathologie]]&lt;&gt;"Mort prématurée",Base[[#This Row],[Pathologie]]&lt;&gt;"Migraine"),0.0619,0)</f>
        <v>0</v>
      </c>
      <c r="BX655" s="4">
        <v>254</v>
      </c>
      <c r="BY65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5" s="4">
        <f>Base[[#This Row],[Prévalence_prod]]*Base[[#This Row],[Présentéisme]]*Base[[#This Row],['[Prod']Jours_ouvrés]]</f>
        <v>0</v>
      </c>
      <c r="CB655" s="4">
        <f>Base[[#This Row],[Prévalence_prod]]*(1-Base[[#This Row],[Risque]])*Base[[#This Row],[Présentéisme]]*Base[[#This Row],['[Prod']Jours_ouvrés]]</f>
        <v>0</v>
      </c>
      <c r="CC655" s="4">
        <f>Base[[#This Row],['[Prod']'[Présentéisme']Jours_avant]]-Base[[#This Row],['[Prod']'[Présentéisme']Jours_après]]</f>
        <v>0</v>
      </c>
      <c r="CD655" s="4">
        <f>Base[[#This Row],['[Prod']'[Présentéisme']Jours_gagnés]]/Base[[#This Row],['[Prod']Jours_ouvrés]]</f>
        <v>0</v>
      </c>
      <c r="CE655">
        <v>9.3428413505841454E-2</v>
      </c>
      <c r="CF655">
        <v>2.1038737314955848E-2</v>
      </c>
      <c r="CG655" s="4">
        <v>11</v>
      </c>
      <c r="CH655" s="4">
        <v>0.96913802401210614</v>
      </c>
      <c r="CI655" s="4">
        <v>0.10293966445307301</v>
      </c>
      <c r="CJ655" s="4">
        <f>IF(Base[[#This Row],[Secteur]]&lt;&gt;"Moyenne",Base[[#This Row],['[Prod']'[Turnover']DMC_initiale]]*(1+Base[[#This Row],['[Prod']'[Turnover']Ecart_accidents]]*Base[[#This Row],['[Prod']Impact_motifs_turnover]]),CJ638*CI638+CJ639*CI639+CJ640*CI640+CJ641*CI641+CJ642*CI642+CJ643*CI643+CJ644*CI644+CJ645*CI645+CJ646*CI646+CJ647*CI647+CJ648*CI648+CJ649*CI649+CJ650*CI650+CJ651*CI651+CJ652*CI652+CJ653*CI653+CJ654*CI654)</f>
        <v>11.224283843400386</v>
      </c>
      <c r="CK655" s="4">
        <f>1/Base[[#This Row],['[Prod']'[Turnover']DMC_initiale]]</f>
        <v>9.0909090909090912E-2</v>
      </c>
      <c r="CL655" s="4">
        <f>1/Base[[#This Row],['[Prod']'[Turnover']DMC_finale]]</f>
        <v>8.9092543805186858E-2</v>
      </c>
    </row>
    <row r="656" spans="2:90" x14ac:dyDescent="0.25">
      <c r="B656" s="4" t="s">
        <v>324</v>
      </c>
      <c r="C656">
        <v>30</v>
      </c>
      <c r="D656" t="s">
        <v>85</v>
      </c>
      <c r="E656" t="s">
        <v>59</v>
      </c>
      <c r="F656" s="3">
        <v>0.28936709012503803</v>
      </c>
      <c r="G656" s="3">
        <v>1.7864082739021815E-3</v>
      </c>
      <c r="H656" s="3">
        <v>1.7864082739021815E-3</v>
      </c>
      <c r="I656" s="3">
        <v>0</v>
      </c>
      <c r="J656" s="3">
        <v>0</v>
      </c>
      <c r="K656" s="3">
        <v>7.0000000000000007E-2</v>
      </c>
      <c r="L656" s="2">
        <f>Base[[#This Row],[Coût]]*Base[[#This Row],[Part_ménages_dépenses_santé]]</f>
        <v>0</v>
      </c>
      <c r="M656" s="2">
        <v>0</v>
      </c>
      <c r="N656" s="6">
        <v>27700000</v>
      </c>
      <c r="O656" s="7">
        <f>Base[[#This Row],[Coût_salarié]]*10^9*Base[[#This Row],[Risque]]*Base[[#This Row],[Prévalence]]*Base[[#This Row],[Part_coûts_salarié]]/Base[[#This Row],[Population_emploi]]</f>
        <v>0</v>
      </c>
      <c r="P656">
        <v>50</v>
      </c>
      <c r="Q656">
        <v>50</v>
      </c>
      <c r="R656" s="2">
        <v>9.9999999999999978E-2</v>
      </c>
      <c r="S656" s="2">
        <v>0.33340000000000003</v>
      </c>
      <c r="T656" s="4">
        <v>0</v>
      </c>
      <c r="U656" s="4">
        <f>IF(Bases_annexes!$F$5=0,16.6587111018772,0.77*Bases_annexes!$F$5/(IF(OR(ISBLANK('Données_d''entrée'!$E$44),'Données_d''entrée'!$E$44=0),35,'Données_d''entrée'!$E$44)*52))</f>
        <v>16.658711101877199</v>
      </c>
      <c r="V656" s="4">
        <v>0</v>
      </c>
      <c r="W65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6" s="4">
        <v>234.5</v>
      </c>
      <c r="Y656" s="4">
        <f>(Base[[#This Row],['[Maladies']Coûts_évités_par_salarié]]+Base[[#This Row],['[Travail']Coûts_évités_par_salarié]])/Base[[#This Row],[Budget_santé_salarié]]</f>
        <v>0</v>
      </c>
      <c r="Z656" s="4">
        <v>0.8</v>
      </c>
      <c r="AA656" s="4">
        <f>Base[[#This Row],[Coût]]*Base[[#This Row],[Part_société_dépenses_santé]]</f>
        <v>0</v>
      </c>
      <c r="AB656" s="4">
        <v>67635124</v>
      </c>
      <c r="AC656" s="4">
        <v>82.297079063317852</v>
      </c>
      <c r="AD656" s="4">
        <v>0</v>
      </c>
      <c r="AE656" s="4">
        <f>Base[[#This Row],['[SC']Prévalence_travail]]*Base[[#This Row],[Population_emploi]]</f>
        <v>0</v>
      </c>
      <c r="AF656" s="4">
        <f>Base[[#This Row],[Risque]]*Base[[#This Row],['[SC']Patients_en_emploi]]</f>
        <v>0</v>
      </c>
      <c r="AG656" s="4">
        <v>0</v>
      </c>
      <c r="AH656" s="4">
        <f>IFERROR(Base[[#This Row],['[SC']Prestations]]/Base[[#This Row],['[SC']Patients_en_emploi]],0)</f>
        <v>0</v>
      </c>
      <c r="AI656" s="4">
        <v>51.7</v>
      </c>
      <c r="AJ65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6" s="4">
        <f>Base[[#This Row],['[SC']'[Travail']Coûts_évités]]/Base[[#This Row],[Population_emploi]]</f>
        <v>0</v>
      </c>
      <c r="AL656" s="4">
        <f>Base[[#This Row],[Coût_société]]*10^9*Base[[#This Row],[Risque]]*Base[[#This Row],[Prévalence]]*Base[[#This Row],[Part_coûts_salarié]]/Base[[#This Row],[Population_emploi]]</f>
        <v>0</v>
      </c>
      <c r="AM656" s="4">
        <f>IF(Base[[#This Row],[Pathologie]]&lt;&gt;"Dépendance",0,14909.24243952)</f>
        <v>0</v>
      </c>
      <c r="AN656" s="4">
        <f>IF(Base[[#This Row],[Pathologie]]&lt;&gt;"Dépendance",0,1316000)</f>
        <v>0</v>
      </c>
      <c r="AO656" s="4">
        <f>IF(Base[[#This Row],[Pathologie]]&lt;&gt;"Dépendance",0,Base[[#This Row],['[SC']Coût_personne_dépendante]]*Base[[#This Row],['[SC']Nb_personnes_dépendantes]])</f>
        <v>0</v>
      </c>
      <c r="AP656" s="4">
        <f>IF(Base[[#This Row],[Pathologie]]&lt;&gt;"Dépendance",0,Base[[#This Row],['[SC']Coût_total_dépendance]]/Base[[#This Row],[Population_totale]])</f>
        <v>0</v>
      </c>
      <c r="AQ656" s="4">
        <f>IF(Base[[#This Row],[Pathologie]]&lt;&gt;"Dépendance",0,4.5)</f>
        <v>0</v>
      </c>
      <c r="AR656" s="4">
        <v>1.0077957276768601</v>
      </c>
      <c r="AS656" s="4">
        <f>Base[[#This Row],[Espérance_vie]]+Base[[#This Row],['[SC']Hausse_esp_de_vie]]-Base[[#This Row],['[SC']Durée_moyenne_dépendance_avt]]+Base[[#This Row],[Risque]]</f>
        <v>83.594241881119757</v>
      </c>
      <c r="AT65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6" s="4">
        <v>62.9</v>
      </c>
      <c r="AW656" s="4">
        <f t="shared" si="22"/>
        <v>336905600000</v>
      </c>
      <c r="AX656" s="4">
        <v>15049171</v>
      </c>
      <c r="AY656" s="4">
        <f>Base[[#This Row],['[SC']Budget_total_retraites]]/Base[[#This Row],['[SC']Nombre_de_retraités]]</f>
        <v>22386.987296509556</v>
      </c>
      <c r="AZ656" s="4">
        <f>Base[[#This Row],['[SC']Budget_par_retraité]]*Base[[#This Row],['[SC']Nb_personnes_dépendantes]]</f>
        <v>0</v>
      </c>
      <c r="BA656" s="4">
        <f>Base[[#This Row],['[SC']'[Dépendance']Coût_retraite_personnes_dépendantes]]/Base[[#This Row],[Population_totale]]</f>
        <v>0</v>
      </c>
      <c r="BB65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6" s="4">
        <f>Base[[#This Row],['[SC']'[Dépendance']Gains]]-Base[[#This Row],['[SC']'[Dépendance']Coûts]]</f>
        <v>0</v>
      </c>
      <c r="BD656" s="4">
        <f>IF(Base[[#This Row],[Pathologie]]&lt;&gt;"Mort prématurée",0,Base[[#This Row],[Risque]]*Base[[#This Row],[Prévalence]]*Base[[#This Row],[Population_totale]])</f>
        <v>34962.473416801695</v>
      </c>
      <c r="BE656" s="4">
        <v>52.74</v>
      </c>
      <c r="BF656" s="4">
        <f>Base[[#This Row],['[SC']Âge_moyen_retraite]]-Base[[#This Row],['[SC']'[Mort_prématurée']Âge_moyen_mort précoce]]</f>
        <v>10.159999999999997</v>
      </c>
      <c r="BG656" s="4">
        <f>Base[[#This Row],[Espérance_vie]]+Base[[#This Row],['[SC']Hausse_esp_de_vie]]-Base[[#This Row],['[SC']Âge_moyen_retraite]]</f>
        <v>20.404874790994718</v>
      </c>
      <c r="BH656" s="4">
        <v>106583.42676924677</v>
      </c>
      <c r="BI656" s="4">
        <v>97601.789429271477</v>
      </c>
      <c r="BJ656" s="4">
        <v>302038.31496633729</v>
      </c>
      <c r="BK656" s="4">
        <v>117293.58934859755</v>
      </c>
      <c r="BL656" s="4">
        <v>1523999.9999999995</v>
      </c>
      <c r="BM65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6" s="4">
        <v>294804.96027377353</v>
      </c>
      <c r="BO65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6" s="4">
        <f>(Base[[#This Row],['[SC']'[Mort_prématurée']Gains]]-Base[[#This Row],['[SC']'[Mort_prématurée']Coûts]])/Base[[#This Row],[Population_totale]]</f>
        <v>31.333953136298806</v>
      </c>
      <c r="BQ656" s="4">
        <f>IF(Base[[#This Row],[Pathologie]]&lt;&gt;"Mort prématurée",0,Base[[#This Row],[Risque]])</f>
        <v>0.28936709012503803</v>
      </c>
      <c r="BR656" s="4">
        <v>2680</v>
      </c>
      <c r="BS65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6" s="4">
        <f>Base[[#This Row],[Prévalence_prod]]*(1-Base[[#This Row],[Risque]])*Base[[#This Row],[Durée_arrêt]]*Base[[#This Row],[Population_emploi]]</f>
        <v>0</v>
      </c>
      <c r="BV656" s="4">
        <f>Base[[#This Row],['[Prod']'[Absentéisme']Total_jours_absence_avant]]-Base[[#This Row],['[Prod']'[Absentéisme']Total_jours_absence_après]]</f>
        <v>0</v>
      </c>
      <c r="BW656" s="4">
        <f>IF(AND(Base[[#This Row],[Pathologie]]&lt;&gt;"Dépendance",Base[[#This Row],[Pathologie]]&lt;&gt;"Mort prématurée",Base[[#This Row],[Pathologie]]&lt;&gt;"Migraine"),0.0619,0)</f>
        <v>0</v>
      </c>
      <c r="BX656" s="4">
        <v>254</v>
      </c>
      <c r="BY65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6" s="4">
        <f>Base[[#This Row],[Prévalence_prod]]*Base[[#This Row],[Présentéisme]]*Base[[#This Row],['[Prod']Jours_ouvrés]]</f>
        <v>0</v>
      </c>
      <c r="CB656" s="4">
        <f>Base[[#This Row],[Prévalence_prod]]*(1-Base[[#This Row],[Risque]])*Base[[#This Row],[Présentéisme]]*Base[[#This Row],['[Prod']Jours_ouvrés]]</f>
        <v>0</v>
      </c>
      <c r="CC656" s="4">
        <f>Base[[#This Row],['[Prod']'[Présentéisme']Jours_avant]]-Base[[#This Row],['[Prod']'[Présentéisme']Jours_après]]</f>
        <v>0</v>
      </c>
      <c r="CD656" s="4">
        <f>Base[[#This Row],['[Prod']'[Présentéisme']Jours_gagnés]]/Base[[#This Row],['[Prod']Jours_ouvrés]]</f>
        <v>0</v>
      </c>
      <c r="CE656">
        <v>9.3428413505841454E-2</v>
      </c>
      <c r="CF656">
        <v>2.1038737314955848E-2</v>
      </c>
      <c r="CG656" s="4">
        <v>11</v>
      </c>
      <c r="CH656" s="4">
        <v>1.3987208237662601</v>
      </c>
      <c r="CI656" s="4">
        <v>2.1768516166491274E-2</v>
      </c>
      <c r="CJ656" s="4">
        <f>IF(Base[[#This Row],[Secteur]]&lt;&gt;"Moyenne",Base[[#This Row],['[Prod']'[Turnover']DMC_initiale]]*(1+Base[[#This Row],['[Prod']'[Turnover']Ecart_accidents]]*Base[[#This Row],['[Prod']Impact_motifs_turnover]]),CJ639*CI639+CJ640*CI640+CJ641*CI641+CJ642*CI642+CJ643*CI643+CJ644*CI644+CJ645*CI645+CJ646*CI646+CJ647*CI647+CJ648*CI648+CJ649*CI649+CJ650*CI650+CJ651*CI651+CJ652*CI652+CJ653*CI653+CJ654*CI654+CJ655*CI655)</f>
        <v>11.323700519869947</v>
      </c>
      <c r="CK656" s="4">
        <f>1/Base[[#This Row],['[Prod']'[Turnover']DMC_initiale]]</f>
        <v>9.0909090909090912E-2</v>
      </c>
      <c r="CL656" s="4">
        <f>1/Base[[#This Row],['[Prod']'[Turnover']DMC_finale]]</f>
        <v>8.8310353867561045E-2</v>
      </c>
    </row>
    <row r="657" spans="2:90" x14ac:dyDescent="0.25">
      <c r="B657" s="4" t="s">
        <v>325</v>
      </c>
      <c r="C657">
        <v>30</v>
      </c>
      <c r="D657" t="s">
        <v>85</v>
      </c>
      <c r="E657" t="s">
        <v>59</v>
      </c>
      <c r="F657" s="3">
        <v>0.28936709012503803</v>
      </c>
      <c r="G657" s="3">
        <v>1.7864082739021815E-3</v>
      </c>
      <c r="H657" s="3">
        <v>1.7864082739021815E-3</v>
      </c>
      <c r="I657" s="3">
        <v>0</v>
      </c>
      <c r="J657" s="3">
        <v>0</v>
      </c>
      <c r="K657" s="3">
        <v>7.0000000000000007E-2</v>
      </c>
      <c r="L657" s="2">
        <f>Base[[#This Row],[Coût]]*Base[[#This Row],[Part_ménages_dépenses_santé]]</f>
        <v>0</v>
      </c>
      <c r="M657" s="2">
        <v>0</v>
      </c>
      <c r="N657" s="6">
        <v>27700000</v>
      </c>
      <c r="O657" s="7">
        <f>Base[[#This Row],[Coût_salarié]]*10^9*Base[[#This Row],[Risque]]*Base[[#This Row],[Prévalence]]*Base[[#This Row],[Part_coûts_salarié]]/Base[[#This Row],[Population_emploi]]</f>
        <v>0</v>
      </c>
      <c r="P657">
        <v>50</v>
      </c>
      <c r="Q657">
        <v>50</v>
      </c>
      <c r="R657" s="2">
        <v>9.9999999999999978E-2</v>
      </c>
      <c r="S657" s="2">
        <v>0.33340000000000003</v>
      </c>
      <c r="T657" s="4">
        <v>0</v>
      </c>
      <c r="U657" s="4">
        <f>IF(Bases_annexes!$F$5=0,16.6587111018772,0.77*Bases_annexes!$F$5/(IF(OR(ISBLANK('Données_d''entrée'!$E$44),'Données_d''entrée'!$E$44=0),35,'Données_d''entrée'!$E$44)*52))</f>
        <v>16.658711101877199</v>
      </c>
      <c r="V657" s="4">
        <v>0</v>
      </c>
      <c r="W65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7" s="4">
        <v>234.5</v>
      </c>
      <c r="Y657" s="4">
        <f>(Base[[#This Row],['[Maladies']Coûts_évités_par_salarié]]+Base[[#This Row],['[Travail']Coûts_évités_par_salarié]])/Base[[#This Row],[Budget_santé_salarié]]</f>
        <v>0</v>
      </c>
      <c r="Z657" s="4">
        <v>0.8</v>
      </c>
      <c r="AA657" s="4">
        <f>Base[[#This Row],[Coût]]*Base[[#This Row],[Part_société_dépenses_santé]]</f>
        <v>0</v>
      </c>
      <c r="AB657" s="4">
        <v>67635124</v>
      </c>
      <c r="AC657" s="4">
        <v>82.297079063317852</v>
      </c>
      <c r="AD657" s="4">
        <v>0</v>
      </c>
      <c r="AE657" s="4">
        <f>Base[[#This Row],['[SC']Prévalence_travail]]*Base[[#This Row],[Population_emploi]]</f>
        <v>0</v>
      </c>
      <c r="AF657" s="4">
        <f>Base[[#This Row],[Risque]]*Base[[#This Row],['[SC']Patients_en_emploi]]</f>
        <v>0</v>
      </c>
      <c r="AG657" s="4">
        <v>0</v>
      </c>
      <c r="AH657" s="4">
        <f>IFERROR(Base[[#This Row],['[SC']Prestations]]/Base[[#This Row],['[SC']Patients_en_emploi]],0)</f>
        <v>0</v>
      </c>
      <c r="AI657" s="4">
        <v>51.7</v>
      </c>
      <c r="AJ65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7" s="4">
        <f>Base[[#This Row],['[SC']'[Travail']Coûts_évités]]/Base[[#This Row],[Population_emploi]]</f>
        <v>0</v>
      </c>
      <c r="AL657" s="4">
        <f>Base[[#This Row],[Coût_société]]*10^9*Base[[#This Row],[Risque]]*Base[[#This Row],[Prévalence]]*Base[[#This Row],[Part_coûts_salarié]]/Base[[#This Row],[Population_emploi]]</f>
        <v>0</v>
      </c>
      <c r="AM657" s="4">
        <f>IF(Base[[#This Row],[Pathologie]]&lt;&gt;"Dépendance",0,14909.24243952)</f>
        <v>0</v>
      </c>
      <c r="AN657" s="4">
        <f>IF(Base[[#This Row],[Pathologie]]&lt;&gt;"Dépendance",0,1316000)</f>
        <v>0</v>
      </c>
      <c r="AO657" s="4">
        <f>IF(Base[[#This Row],[Pathologie]]&lt;&gt;"Dépendance",0,Base[[#This Row],['[SC']Coût_personne_dépendante]]*Base[[#This Row],['[SC']Nb_personnes_dépendantes]])</f>
        <v>0</v>
      </c>
      <c r="AP657" s="4">
        <f>IF(Base[[#This Row],[Pathologie]]&lt;&gt;"Dépendance",0,Base[[#This Row],['[SC']Coût_total_dépendance]]/Base[[#This Row],[Population_totale]])</f>
        <v>0</v>
      </c>
      <c r="AQ657" s="4">
        <f>IF(Base[[#This Row],[Pathologie]]&lt;&gt;"Dépendance",0,4.5)</f>
        <v>0</v>
      </c>
      <c r="AR657" s="4">
        <v>1.0077957276768601</v>
      </c>
      <c r="AS657" s="4">
        <f>Base[[#This Row],[Espérance_vie]]+Base[[#This Row],['[SC']Hausse_esp_de_vie]]-Base[[#This Row],['[SC']Durée_moyenne_dépendance_avt]]+Base[[#This Row],[Risque]]</f>
        <v>83.594241881119757</v>
      </c>
      <c r="AT65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7" s="4">
        <v>62.9</v>
      </c>
      <c r="AW657" s="4">
        <f t="shared" si="22"/>
        <v>336905600000</v>
      </c>
      <c r="AX657" s="4">
        <v>15049171</v>
      </c>
      <c r="AY657" s="4">
        <f>Base[[#This Row],['[SC']Budget_total_retraites]]/Base[[#This Row],['[SC']Nombre_de_retraités]]</f>
        <v>22386.987296509556</v>
      </c>
      <c r="AZ657" s="4">
        <f>Base[[#This Row],['[SC']Budget_par_retraité]]*Base[[#This Row],['[SC']Nb_personnes_dépendantes]]</f>
        <v>0</v>
      </c>
      <c r="BA657" s="4">
        <f>Base[[#This Row],['[SC']'[Dépendance']Coût_retraite_personnes_dépendantes]]/Base[[#This Row],[Population_totale]]</f>
        <v>0</v>
      </c>
      <c r="BB65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7" s="4">
        <f>Base[[#This Row],['[SC']'[Dépendance']Gains]]-Base[[#This Row],['[SC']'[Dépendance']Coûts]]</f>
        <v>0</v>
      </c>
      <c r="BD657" s="4">
        <f>IF(Base[[#This Row],[Pathologie]]&lt;&gt;"Mort prématurée",0,Base[[#This Row],[Risque]]*Base[[#This Row],[Prévalence]]*Base[[#This Row],[Population_totale]])</f>
        <v>34962.473416801695</v>
      </c>
      <c r="BE657" s="4">
        <v>52.74</v>
      </c>
      <c r="BF657" s="4">
        <f>Base[[#This Row],['[SC']Âge_moyen_retraite]]-Base[[#This Row],['[SC']'[Mort_prématurée']Âge_moyen_mort précoce]]</f>
        <v>10.159999999999997</v>
      </c>
      <c r="BG657" s="4">
        <f>Base[[#This Row],[Espérance_vie]]+Base[[#This Row],['[SC']Hausse_esp_de_vie]]-Base[[#This Row],['[SC']Âge_moyen_retraite]]</f>
        <v>20.404874790994718</v>
      </c>
      <c r="BH657" s="4">
        <v>106583.42676924677</v>
      </c>
      <c r="BI657" s="4">
        <v>97601.789429271477</v>
      </c>
      <c r="BJ657" s="4">
        <v>302038.31496633729</v>
      </c>
      <c r="BK657" s="4">
        <v>117293.58934859755</v>
      </c>
      <c r="BL657" s="4">
        <v>1523999.9999999995</v>
      </c>
      <c r="BM65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7" s="4">
        <v>294804.96027377353</v>
      </c>
      <c r="BO65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7" s="4">
        <f>(Base[[#This Row],['[SC']'[Mort_prématurée']Gains]]-Base[[#This Row],['[SC']'[Mort_prématurée']Coûts]])/Base[[#This Row],[Population_totale]]</f>
        <v>31.333953136298806</v>
      </c>
      <c r="BQ657" s="4">
        <f>IF(Base[[#This Row],[Pathologie]]&lt;&gt;"Mort prématurée",0,Base[[#This Row],[Risque]])</f>
        <v>0.28936709012503803</v>
      </c>
      <c r="BR657" s="4">
        <v>2680</v>
      </c>
      <c r="BS65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7" s="4">
        <f>Base[[#This Row],[Prévalence_prod]]*(1-Base[[#This Row],[Risque]])*Base[[#This Row],[Durée_arrêt]]*Base[[#This Row],[Population_emploi]]</f>
        <v>0</v>
      </c>
      <c r="BV657" s="4">
        <f>Base[[#This Row],['[Prod']'[Absentéisme']Total_jours_absence_avant]]-Base[[#This Row],['[Prod']'[Absentéisme']Total_jours_absence_après]]</f>
        <v>0</v>
      </c>
      <c r="BW657" s="4">
        <f>IF(AND(Base[[#This Row],[Pathologie]]&lt;&gt;"Dépendance",Base[[#This Row],[Pathologie]]&lt;&gt;"Mort prématurée",Base[[#This Row],[Pathologie]]&lt;&gt;"Migraine"),0.0619,0)</f>
        <v>0</v>
      </c>
      <c r="BX657" s="4">
        <v>254</v>
      </c>
      <c r="BY65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7" s="4">
        <f>Base[[#This Row],[Prévalence_prod]]*Base[[#This Row],[Présentéisme]]*Base[[#This Row],['[Prod']Jours_ouvrés]]</f>
        <v>0</v>
      </c>
      <c r="CB657" s="4">
        <f>Base[[#This Row],[Prévalence_prod]]*(1-Base[[#This Row],[Risque]])*Base[[#This Row],[Présentéisme]]*Base[[#This Row],['[Prod']Jours_ouvrés]]</f>
        <v>0</v>
      </c>
      <c r="CC657" s="4">
        <f>Base[[#This Row],['[Prod']'[Présentéisme']Jours_avant]]-Base[[#This Row],['[Prod']'[Présentéisme']Jours_après]]</f>
        <v>0</v>
      </c>
      <c r="CD657" s="4">
        <f>Base[[#This Row],['[Prod']'[Présentéisme']Jours_gagnés]]/Base[[#This Row],['[Prod']Jours_ouvrés]]</f>
        <v>0</v>
      </c>
      <c r="CE657">
        <v>9.3428413505841454E-2</v>
      </c>
      <c r="CF657">
        <v>2.1038737314955848E-2</v>
      </c>
      <c r="CG657" s="4">
        <v>11</v>
      </c>
      <c r="CH657" s="4">
        <v>1.1624525375985588</v>
      </c>
      <c r="CI657" s="4">
        <v>3.7953151649308701E-2</v>
      </c>
      <c r="CJ657" s="4">
        <f>IF(Base[[#This Row],[Secteur]]&lt;&gt;"Moyenne",Base[[#This Row],['[Prod']'[Turnover']DMC_initiale]]*(1+Base[[#This Row],['[Prod']'[Turnover']Ecart_accidents]]*Base[[#This Row],['[Prod']Impact_motifs_turnover]]),CJ640*CI640+CJ641*CI641+CJ642*CI642+CJ643*CI643+CJ644*CI644+CJ645*CI645+CJ646*CI646+CJ647*CI647+CJ648*CI648+CJ649*CI649+CJ650*CI650+CJ651*CI651+CJ652*CI652+CJ653*CI653+CJ654*CI654+CJ655*CI655+CJ656*CI656)</f>
        <v>11.269021869376038</v>
      </c>
      <c r="CK657" s="4">
        <f>1/Base[[#This Row],['[Prod']'[Turnover']DMC_initiale]]</f>
        <v>9.0909090909090912E-2</v>
      </c>
      <c r="CL657" s="4">
        <f>1/Base[[#This Row],['[Prod']'[Turnover']DMC_finale]]</f>
        <v>8.8738846333907204E-2</v>
      </c>
    </row>
    <row r="658" spans="2:90" x14ac:dyDescent="0.25">
      <c r="B658" s="4" t="s">
        <v>326</v>
      </c>
      <c r="C658">
        <v>30</v>
      </c>
      <c r="D658" t="s">
        <v>85</v>
      </c>
      <c r="E658" t="s">
        <v>59</v>
      </c>
      <c r="F658" s="3">
        <v>0.28936709012503803</v>
      </c>
      <c r="G658" s="3">
        <v>1.7864082739021815E-3</v>
      </c>
      <c r="H658" s="3">
        <v>1.7864082739021815E-3</v>
      </c>
      <c r="I658" s="3">
        <v>0</v>
      </c>
      <c r="J658" s="3">
        <v>0</v>
      </c>
      <c r="K658" s="3">
        <v>7.0000000000000007E-2</v>
      </c>
      <c r="L658" s="2">
        <f>Base[[#This Row],[Coût]]*Base[[#This Row],[Part_ménages_dépenses_santé]]</f>
        <v>0</v>
      </c>
      <c r="M658" s="2">
        <v>0</v>
      </c>
      <c r="N658" s="6">
        <v>27700000</v>
      </c>
      <c r="O658" s="7">
        <f>Base[[#This Row],[Coût_salarié]]*10^9*Base[[#This Row],[Risque]]*Base[[#This Row],[Prévalence]]*Base[[#This Row],[Part_coûts_salarié]]/Base[[#This Row],[Population_emploi]]</f>
        <v>0</v>
      </c>
      <c r="P658">
        <v>50</v>
      </c>
      <c r="Q658">
        <v>50</v>
      </c>
      <c r="R658" s="2">
        <v>9.9999999999999978E-2</v>
      </c>
      <c r="S658" s="2">
        <v>0.33340000000000003</v>
      </c>
      <c r="T658" s="4">
        <v>0</v>
      </c>
      <c r="U658" s="4">
        <f>IF(Bases_annexes!$F$5=0,16.6587111018772,0.77*Bases_annexes!$F$5/(IF(OR(ISBLANK('Données_d''entrée'!$E$44),'Données_d''entrée'!$E$44=0),35,'Données_d''entrée'!$E$44)*52))</f>
        <v>16.658711101877199</v>
      </c>
      <c r="V658" s="4">
        <v>0</v>
      </c>
      <c r="W65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8" s="4">
        <v>234.5</v>
      </c>
      <c r="Y658" s="4">
        <f>(Base[[#This Row],['[Maladies']Coûts_évités_par_salarié]]+Base[[#This Row],['[Travail']Coûts_évités_par_salarié]])/Base[[#This Row],[Budget_santé_salarié]]</f>
        <v>0</v>
      </c>
      <c r="Z658" s="4">
        <v>0.8</v>
      </c>
      <c r="AA658" s="4">
        <f>Base[[#This Row],[Coût]]*Base[[#This Row],[Part_société_dépenses_santé]]</f>
        <v>0</v>
      </c>
      <c r="AB658" s="4">
        <v>67635124</v>
      </c>
      <c r="AC658" s="4">
        <v>82.297079063317852</v>
      </c>
      <c r="AD658" s="4">
        <v>0</v>
      </c>
      <c r="AE658" s="4">
        <f>Base[[#This Row],['[SC']Prévalence_travail]]*Base[[#This Row],[Population_emploi]]</f>
        <v>0</v>
      </c>
      <c r="AF658" s="4">
        <f>Base[[#This Row],[Risque]]*Base[[#This Row],['[SC']Patients_en_emploi]]</f>
        <v>0</v>
      </c>
      <c r="AG658" s="4">
        <v>0</v>
      </c>
      <c r="AH658" s="4">
        <f>IFERROR(Base[[#This Row],['[SC']Prestations]]/Base[[#This Row],['[SC']Patients_en_emploi]],0)</f>
        <v>0</v>
      </c>
      <c r="AI658" s="4">
        <v>51.7</v>
      </c>
      <c r="AJ65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8" s="4">
        <f>Base[[#This Row],['[SC']'[Travail']Coûts_évités]]/Base[[#This Row],[Population_emploi]]</f>
        <v>0</v>
      </c>
      <c r="AL658" s="4">
        <f>Base[[#This Row],[Coût_société]]*10^9*Base[[#This Row],[Risque]]*Base[[#This Row],[Prévalence]]*Base[[#This Row],[Part_coûts_salarié]]/Base[[#This Row],[Population_emploi]]</f>
        <v>0</v>
      </c>
      <c r="AM658" s="4">
        <f>IF(Base[[#This Row],[Pathologie]]&lt;&gt;"Dépendance",0,14909.24243952)</f>
        <v>0</v>
      </c>
      <c r="AN658" s="4">
        <f>IF(Base[[#This Row],[Pathologie]]&lt;&gt;"Dépendance",0,1316000)</f>
        <v>0</v>
      </c>
      <c r="AO658" s="4">
        <f>IF(Base[[#This Row],[Pathologie]]&lt;&gt;"Dépendance",0,Base[[#This Row],['[SC']Coût_personne_dépendante]]*Base[[#This Row],['[SC']Nb_personnes_dépendantes]])</f>
        <v>0</v>
      </c>
      <c r="AP658" s="4">
        <f>IF(Base[[#This Row],[Pathologie]]&lt;&gt;"Dépendance",0,Base[[#This Row],['[SC']Coût_total_dépendance]]/Base[[#This Row],[Population_totale]])</f>
        <v>0</v>
      </c>
      <c r="AQ658" s="4">
        <f>IF(Base[[#This Row],[Pathologie]]&lt;&gt;"Dépendance",0,4.5)</f>
        <v>0</v>
      </c>
      <c r="AR658" s="4">
        <v>1.0077957276768601</v>
      </c>
      <c r="AS658" s="4">
        <f>Base[[#This Row],[Espérance_vie]]+Base[[#This Row],['[SC']Hausse_esp_de_vie]]-Base[[#This Row],['[SC']Durée_moyenne_dépendance_avt]]+Base[[#This Row],[Risque]]</f>
        <v>83.594241881119757</v>
      </c>
      <c r="AT65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8" s="4">
        <v>62.9</v>
      </c>
      <c r="AW658" s="4">
        <f t="shared" si="22"/>
        <v>336905600000</v>
      </c>
      <c r="AX658" s="4">
        <v>15049171</v>
      </c>
      <c r="AY658" s="4">
        <f>Base[[#This Row],['[SC']Budget_total_retraites]]/Base[[#This Row],['[SC']Nombre_de_retraités]]</f>
        <v>22386.987296509556</v>
      </c>
      <c r="AZ658" s="4">
        <f>Base[[#This Row],['[SC']Budget_par_retraité]]*Base[[#This Row],['[SC']Nb_personnes_dépendantes]]</f>
        <v>0</v>
      </c>
      <c r="BA658" s="4">
        <f>Base[[#This Row],['[SC']'[Dépendance']Coût_retraite_personnes_dépendantes]]/Base[[#This Row],[Population_totale]]</f>
        <v>0</v>
      </c>
      <c r="BB65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8" s="4">
        <f>Base[[#This Row],['[SC']'[Dépendance']Gains]]-Base[[#This Row],['[SC']'[Dépendance']Coûts]]</f>
        <v>0</v>
      </c>
      <c r="BD658" s="4">
        <f>IF(Base[[#This Row],[Pathologie]]&lt;&gt;"Mort prématurée",0,Base[[#This Row],[Risque]]*Base[[#This Row],[Prévalence]]*Base[[#This Row],[Population_totale]])</f>
        <v>34962.473416801695</v>
      </c>
      <c r="BE658" s="4">
        <v>52.74</v>
      </c>
      <c r="BF658" s="4">
        <f>Base[[#This Row],['[SC']Âge_moyen_retraite]]-Base[[#This Row],['[SC']'[Mort_prématurée']Âge_moyen_mort précoce]]</f>
        <v>10.159999999999997</v>
      </c>
      <c r="BG658" s="4">
        <f>Base[[#This Row],[Espérance_vie]]+Base[[#This Row],['[SC']Hausse_esp_de_vie]]-Base[[#This Row],['[SC']Âge_moyen_retraite]]</f>
        <v>20.404874790994718</v>
      </c>
      <c r="BH658" s="4">
        <v>106583.42676924677</v>
      </c>
      <c r="BI658" s="4">
        <v>97601.789429271477</v>
      </c>
      <c r="BJ658" s="4">
        <v>302038.31496633729</v>
      </c>
      <c r="BK658" s="4">
        <v>117293.58934859755</v>
      </c>
      <c r="BL658" s="4">
        <v>1523999.9999999995</v>
      </c>
      <c r="BM65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8" s="4">
        <v>294804.96027377353</v>
      </c>
      <c r="BO65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8" s="4">
        <f>(Base[[#This Row],['[SC']'[Mort_prématurée']Gains]]-Base[[#This Row],['[SC']'[Mort_prématurée']Coûts]])/Base[[#This Row],[Population_totale]]</f>
        <v>31.333953136298806</v>
      </c>
      <c r="BQ658" s="4">
        <f>IF(Base[[#This Row],[Pathologie]]&lt;&gt;"Mort prématurée",0,Base[[#This Row],[Risque]])</f>
        <v>0.28936709012503803</v>
      </c>
      <c r="BR658" s="4">
        <v>2680</v>
      </c>
      <c r="BS65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8" s="4">
        <f>Base[[#This Row],[Prévalence_prod]]*(1-Base[[#This Row],[Risque]])*Base[[#This Row],[Durée_arrêt]]*Base[[#This Row],[Population_emploi]]</f>
        <v>0</v>
      </c>
      <c r="BV658" s="4">
        <f>Base[[#This Row],['[Prod']'[Absentéisme']Total_jours_absence_avant]]-Base[[#This Row],['[Prod']'[Absentéisme']Total_jours_absence_après]]</f>
        <v>0</v>
      </c>
      <c r="BW658" s="4">
        <f>IF(AND(Base[[#This Row],[Pathologie]]&lt;&gt;"Dépendance",Base[[#This Row],[Pathologie]]&lt;&gt;"Mort prématurée",Base[[#This Row],[Pathologie]]&lt;&gt;"Migraine"),0.0619,0)</f>
        <v>0</v>
      </c>
      <c r="BX658" s="4">
        <v>254</v>
      </c>
      <c r="BY65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8" s="4">
        <f>Base[[#This Row],[Prévalence_prod]]*Base[[#This Row],[Présentéisme]]*Base[[#This Row],['[Prod']Jours_ouvrés]]</f>
        <v>0</v>
      </c>
      <c r="CB658" s="4">
        <f>Base[[#This Row],[Prévalence_prod]]*(1-Base[[#This Row],[Risque]])*Base[[#This Row],[Présentéisme]]*Base[[#This Row],['[Prod']Jours_ouvrés]]</f>
        <v>0</v>
      </c>
      <c r="CC658" s="4">
        <f>Base[[#This Row],['[Prod']'[Présentéisme']Jours_avant]]-Base[[#This Row],['[Prod']'[Présentéisme']Jours_après]]</f>
        <v>0</v>
      </c>
      <c r="CD658" s="4">
        <f>Base[[#This Row],['[Prod']'[Présentéisme']Jours_gagnés]]/Base[[#This Row],['[Prod']Jours_ouvrés]]</f>
        <v>0</v>
      </c>
      <c r="CE658">
        <v>9.3428413505841454E-2</v>
      </c>
      <c r="CF658">
        <v>2.1038737314955848E-2</v>
      </c>
      <c r="CG658" s="4">
        <v>11</v>
      </c>
      <c r="CH658" s="4">
        <v>0.19346787829229528</v>
      </c>
      <c r="CI658" s="4">
        <v>2.8126549817953091E-2</v>
      </c>
      <c r="CJ658" s="4">
        <f>IF(Base[[#This Row],[Secteur]]&lt;&gt;"Moyenne",Base[[#This Row],['[Prod']'[Turnover']DMC_initiale]]*(1+Base[[#This Row],['[Prod']'[Turnover']Ecart_accidents]]*Base[[#This Row],['[Prod']Impact_motifs_turnover]]),CJ641*CI641+CJ642*CI642+CJ643*CI643+CJ644*CI644+CJ645*CI645+CJ646*CI646+CJ647*CI647+CJ648*CI648+CJ649*CI649+CJ650*CI650+CJ651*CI651+CJ652*CI652+CJ653*CI653+CJ654*CI654+CJ655*CI655+CJ656*CI656+CJ657*CI657)</f>
        <v>11.044773518573008</v>
      </c>
      <c r="CK658" s="4">
        <f>1/Base[[#This Row],['[Prod']'[Turnover']DMC_initiale]]</f>
        <v>9.0909090909090912E-2</v>
      </c>
      <c r="CL658" s="4">
        <f>1/Base[[#This Row],['[Prod']'[Turnover']DMC_finale]]</f>
        <v>9.0540561861082031E-2</v>
      </c>
    </row>
    <row r="659" spans="2:90" x14ac:dyDescent="0.25">
      <c r="B659" s="4" t="s">
        <v>327</v>
      </c>
      <c r="C659">
        <v>30</v>
      </c>
      <c r="D659" t="s">
        <v>85</v>
      </c>
      <c r="E659" t="s">
        <v>59</v>
      </c>
      <c r="F659" s="3">
        <v>0.28936709012503803</v>
      </c>
      <c r="G659" s="3">
        <v>1.7864082739021815E-3</v>
      </c>
      <c r="H659" s="3">
        <v>1.7864082739021815E-3</v>
      </c>
      <c r="I659" s="3">
        <v>0</v>
      </c>
      <c r="J659" s="3">
        <v>0</v>
      </c>
      <c r="K659" s="3">
        <v>7.0000000000000007E-2</v>
      </c>
      <c r="L659" s="2">
        <f>Base[[#This Row],[Coût]]*Base[[#This Row],[Part_ménages_dépenses_santé]]</f>
        <v>0</v>
      </c>
      <c r="M659" s="2">
        <v>0</v>
      </c>
      <c r="N659" s="6">
        <v>27700000</v>
      </c>
      <c r="O659" s="7">
        <f>Base[[#This Row],[Coût_salarié]]*10^9*Base[[#This Row],[Risque]]*Base[[#This Row],[Prévalence]]*Base[[#This Row],[Part_coûts_salarié]]/Base[[#This Row],[Population_emploi]]</f>
        <v>0</v>
      </c>
      <c r="P659">
        <v>50</v>
      </c>
      <c r="Q659">
        <v>50</v>
      </c>
      <c r="R659" s="2">
        <v>9.9999999999999978E-2</v>
      </c>
      <c r="S659" s="2">
        <v>0.33340000000000003</v>
      </c>
      <c r="T659" s="4">
        <v>0</v>
      </c>
      <c r="U659" s="4">
        <f>IF(Bases_annexes!$F$5=0,16.6587111018772,0.77*Bases_annexes!$F$5/(IF(OR(ISBLANK('Données_d''entrée'!$E$44),'Données_d''entrée'!$E$44=0),35,'Données_d''entrée'!$E$44)*52))</f>
        <v>16.658711101877199</v>
      </c>
      <c r="V659" s="4">
        <v>0</v>
      </c>
      <c r="W65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59" s="4">
        <v>234.5</v>
      </c>
      <c r="Y659" s="4">
        <f>(Base[[#This Row],['[Maladies']Coûts_évités_par_salarié]]+Base[[#This Row],['[Travail']Coûts_évités_par_salarié]])/Base[[#This Row],[Budget_santé_salarié]]</f>
        <v>0</v>
      </c>
      <c r="Z659" s="4">
        <v>0.8</v>
      </c>
      <c r="AA659" s="4">
        <f>Base[[#This Row],[Coût]]*Base[[#This Row],[Part_société_dépenses_santé]]</f>
        <v>0</v>
      </c>
      <c r="AB659" s="4">
        <v>67635124</v>
      </c>
      <c r="AC659" s="4">
        <v>82.297079063317852</v>
      </c>
      <c r="AD659" s="4">
        <v>0</v>
      </c>
      <c r="AE659" s="4">
        <f>Base[[#This Row],['[SC']Prévalence_travail]]*Base[[#This Row],[Population_emploi]]</f>
        <v>0</v>
      </c>
      <c r="AF659" s="4">
        <f>Base[[#This Row],[Risque]]*Base[[#This Row],['[SC']Patients_en_emploi]]</f>
        <v>0</v>
      </c>
      <c r="AG659" s="4">
        <v>0</v>
      </c>
      <c r="AH659" s="4">
        <f>IFERROR(Base[[#This Row],['[SC']Prestations]]/Base[[#This Row],['[SC']Patients_en_emploi]],0)</f>
        <v>0</v>
      </c>
      <c r="AI659" s="4">
        <v>51.7</v>
      </c>
      <c r="AJ65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59" s="4">
        <f>Base[[#This Row],['[SC']'[Travail']Coûts_évités]]/Base[[#This Row],[Population_emploi]]</f>
        <v>0</v>
      </c>
      <c r="AL659" s="4">
        <f>Base[[#This Row],[Coût_société]]*10^9*Base[[#This Row],[Risque]]*Base[[#This Row],[Prévalence]]*Base[[#This Row],[Part_coûts_salarié]]/Base[[#This Row],[Population_emploi]]</f>
        <v>0</v>
      </c>
      <c r="AM659" s="4">
        <f>IF(Base[[#This Row],[Pathologie]]&lt;&gt;"Dépendance",0,14909.24243952)</f>
        <v>0</v>
      </c>
      <c r="AN659" s="4">
        <f>IF(Base[[#This Row],[Pathologie]]&lt;&gt;"Dépendance",0,1316000)</f>
        <v>0</v>
      </c>
      <c r="AO659" s="4">
        <f>IF(Base[[#This Row],[Pathologie]]&lt;&gt;"Dépendance",0,Base[[#This Row],['[SC']Coût_personne_dépendante]]*Base[[#This Row],['[SC']Nb_personnes_dépendantes]])</f>
        <v>0</v>
      </c>
      <c r="AP659" s="4">
        <f>IF(Base[[#This Row],[Pathologie]]&lt;&gt;"Dépendance",0,Base[[#This Row],['[SC']Coût_total_dépendance]]/Base[[#This Row],[Population_totale]])</f>
        <v>0</v>
      </c>
      <c r="AQ659" s="4">
        <f>IF(Base[[#This Row],[Pathologie]]&lt;&gt;"Dépendance",0,4.5)</f>
        <v>0</v>
      </c>
      <c r="AR659" s="4">
        <v>1.0077957276768601</v>
      </c>
      <c r="AS659" s="4">
        <f>Base[[#This Row],[Espérance_vie]]+Base[[#This Row],['[SC']Hausse_esp_de_vie]]-Base[[#This Row],['[SC']Durée_moyenne_dépendance_avt]]+Base[[#This Row],[Risque]]</f>
        <v>83.594241881119757</v>
      </c>
      <c r="AT65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5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59" s="4">
        <v>62.9</v>
      </c>
      <c r="AW659" s="4">
        <f t="shared" si="22"/>
        <v>336905600000</v>
      </c>
      <c r="AX659" s="4">
        <v>15049171</v>
      </c>
      <c r="AY659" s="4">
        <f>Base[[#This Row],['[SC']Budget_total_retraites]]/Base[[#This Row],['[SC']Nombre_de_retraités]]</f>
        <v>22386.987296509556</v>
      </c>
      <c r="AZ659" s="4">
        <f>Base[[#This Row],['[SC']Budget_par_retraité]]*Base[[#This Row],['[SC']Nb_personnes_dépendantes]]</f>
        <v>0</v>
      </c>
      <c r="BA659" s="4">
        <f>Base[[#This Row],['[SC']'[Dépendance']Coût_retraite_personnes_dépendantes]]/Base[[#This Row],[Population_totale]]</f>
        <v>0</v>
      </c>
      <c r="BB65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59" s="4">
        <f>Base[[#This Row],['[SC']'[Dépendance']Gains]]-Base[[#This Row],['[SC']'[Dépendance']Coûts]]</f>
        <v>0</v>
      </c>
      <c r="BD659" s="4">
        <f>IF(Base[[#This Row],[Pathologie]]&lt;&gt;"Mort prématurée",0,Base[[#This Row],[Risque]]*Base[[#This Row],[Prévalence]]*Base[[#This Row],[Population_totale]])</f>
        <v>34962.473416801695</v>
      </c>
      <c r="BE659" s="4">
        <v>52.74</v>
      </c>
      <c r="BF659" s="4">
        <f>Base[[#This Row],['[SC']Âge_moyen_retraite]]-Base[[#This Row],['[SC']'[Mort_prématurée']Âge_moyen_mort précoce]]</f>
        <v>10.159999999999997</v>
      </c>
      <c r="BG659" s="4">
        <f>Base[[#This Row],[Espérance_vie]]+Base[[#This Row],['[SC']Hausse_esp_de_vie]]-Base[[#This Row],['[SC']Âge_moyen_retraite]]</f>
        <v>20.404874790994718</v>
      </c>
      <c r="BH659" s="4">
        <v>106583.42676924677</v>
      </c>
      <c r="BI659" s="4">
        <v>97601.789429271477</v>
      </c>
      <c r="BJ659" s="4">
        <v>302038.31496633729</v>
      </c>
      <c r="BK659" s="4">
        <v>117293.58934859755</v>
      </c>
      <c r="BL659" s="4">
        <v>1523999.9999999995</v>
      </c>
      <c r="BM65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59" s="4">
        <v>294804.96027377353</v>
      </c>
      <c r="BO65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59" s="4">
        <f>(Base[[#This Row],['[SC']'[Mort_prématurée']Gains]]-Base[[#This Row],['[SC']'[Mort_prématurée']Coûts]])/Base[[#This Row],[Population_totale]]</f>
        <v>31.333953136298806</v>
      </c>
      <c r="BQ659" s="4">
        <f>IF(Base[[#This Row],[Pathologie]]&lt;&gt;"Mort prématurée",0,Base[[#This Row],[Risque]])</f>
        <v>0.28936709012503803</v>
      </c>
      <c r="BR659" s="4">
        <v>2680</v>
      </c>
      <c r="BS65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5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59" s="4">
        <f>Base[[#This Row],[Prévalence_prod]]*(1-Base[[#This Row],[Risque]])*Base[[#This Row],[Durée_arrêt]]*Base[[#This Row],[Population_emploi]]</f>
        <v>0</v>
      </c>
      <c r="BV659" s="4">
        <f>Base[[#This Row],['[Prod']'[Absentéisme']Total_jours_absence_avant]]-Base[[#This Row],['[Prod']'[Absentéisme']Total_jours_absence_après]]</f>
        <v>0</v>
      </c>
      <c r="BW659" s="4">
        <f>IF(AND(Base[[#This Row],[Pathologie]]&lt;&gt;"Dépendance",Base[[#This Row],[Pathologie]]&lt;&gt;"Mort prématurée",Base[[#This Row],[Pathologie]]&lt;&gt;"Migraine"),0.0619,0)</f>
        <v>0</v>
      </c>
      <c r="BX659" s="4">
        <v>254</v>
      </c>
      <c r="BY65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5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59" s="4">
        <f>Base[[#This Row],[Prévalence_prod]]*Base[[#This Row],[Présentéisme]]*Base[[#This Row],['[Prod']Jours_ouvrés]]</f>
        <v>0</v>
      </c>
      <c r="CB659" s="4">
        <f>Base[[#This Row],[Prévalence_prod]]*(1-Base[[#This Row],[Risque]])*Base[[#This Row],[Présentéisme]]*Base[[#This Row],['[Prod']Jours_ouvrés]]</f>
        <v>0</v>
      </c>
      <c r="CC659" s="4">
        <f>Base[[#This Row],['[Prod']'[Présentéisme']Jours_avant]]-Base[[#This Row],['[Prod']'[Présentéisme']Jours_après]]</f>
        <v>0</v>
      </c>
      <c r="CD659" s="4">
        <f>Base[[#This Row],['[Prod']'[Présentéisme']Jours_gagnés]]/Base[[#This Row],['[Prod']Jours_ouvrés]]</f>
        <v>0</v>
      </c>
      <c r="CE659">
        <v>9.3428413505841454E-2</v>
      </c>
      <c r="CF659">
        <v>2.1038737314955848E-2</v>
      </c>
      <c r="CG659" s="4">
        <v>11</v>
      </c>
      <c r="CH659" s="4">
        <v>0.13729577077682142</v>
      </c>
      <c r="CI659" s="4">
        <v>1.373516710817578E-2</v>
      </c>
      <c r="CJ659" s="4">
        <f>IF(Base[[#This Row],[Secteur]]&lt;&gt;"Moyenne",Base[[#This Row],['[Prod']'[Turnover']DMC_initiale]]*(1+Base[[#This Row],['[Prod']'[Turnover']Ecart_accidents]]*Base[[#This Row],['[Prod']Impact_motifs_turnover]]),CJ642*CI642+CJ643*CI643+CJ644*CI644+CJ645*CI645+CJ646*CI646+CJ647*CI647+CJ648*CI648+CJ649*CI649+CJ650*CI650+CJ651*CI651+CJ652*CI652+CJ653*CI653+CJ654*CI654+CJ655*CI655+CJ656*CI656+CJ657*CI657+CJ658*CI658)</f>
        <v>11.031773826214106</v>
      </c>
      <c r="CK659" s="4">
        <f>1/Base[[#This Row],['[Prod']'[Turnover']DMC_initiale]]</f>
        <v>9.0909090909090912E-2</v>
      </c>
      <c r="CL659" s="4">
        <f>1/Base[[#This Row],['[Prod']'[Turnover']DMC_finale]]</f>
        <v>9.0647253628764871E-2</v>
      </c>
    </row>
    <row r="660" spans="2:90" x14ac:dyDescent="0.25">
      <c r="B660" s="4" t="s">
        <v>328</v>
      </c>
      <c r="C660">
        <v>30</v>
      </c>
      <c r="D660" t="s">
        <v>85</v>
      </c>
      <c r="E660" t="s">
        <v>59</v>
      </c>
      <c r="F660" s="3">
        <v>0.28936709012503803</v>
      </c>
      <c r="G660" s="3">
        <v>1.7864082739021815E-3</v>
      </c>
      <c r="H660" s="3">
        <v>1.7864082739021815E-3</v>
      </c>
      <c r="I660" s="3">
        <v>0</v>
      </c>
      <c r="J660" s="3">
        <v>0</v>
      </c>
      <c r="K660" s="3">
        <v>7.0000000000000007E-2</v>
      </c>
      <c r="L660" s="2">
        <f>Base[[#This Row],[Coût]]*Base[[#This Row],[Part_ménages_dépenses_santé]]</f>
        <v>0</v>
      </c>
      <c r="M660" s="2">
        <v>0</v>
      </c>
      <c r="N660" s="6">
        <v>27700000</v>
      </c>
      <c r="O660" s="7">
        <f>Base[[#This Row],[Coût_salarié]]*10^9*Base[[#This Row],[Risque]]*Base[[#This Row],[Prévalence]]*Base[[#This Row],[Part_coûts_salarié]]/Base[[#This Row],[Population_emploi]]</f>
        <v>0</v>
      </c>
      <c r="P660">
        <v>50</v>
      </c>
      <c r="Q660">
        <v>50</v>
      </c>
      <c r="R660" s="2">
        <v>9.9999999999999978E-2</v>
      </c>
      <c r="S660" s="2">
        <v>0.33340000000000003</v>
      </c>
      <c r="T660" s="4">
        <v>0</v>
      </c>
      <c r="U660" s="4">
        <f>IF(Bases_annexes!$F$5=0,16.6587111018772,0.77*Bases_annexes!$F$5/(IF(OR(ISBLANK('Données_d''entrée'!$E$44),'Données_d''entrée'!$E$44=0),35,'Données_d''entrée'!$E$44)*52))</f>
        <v>16.658711101877199</v>
      </c>
      <c r="V660" s="4">
        <v>0</v>
      </c>
      <c r="W66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0" s="4">
        <v>234.5</v>
      </c>
      <c r="Y660" s="4">
        <f>(Base[[#This Row],['[Maladies']Coûts_évités_par_salarié]]+Base[[#This Row],['[Travail']Coûts_évités_par_salarié]])/Base[[#This Row],[Budget_santé_salarié]]</f>
        <v>0</v>
      </c>
      <c r="Z660" s="4">
        <v>0.8</v>
      </c>
      <c r="AA660" s="4">
        <f>Base[[#This Row],[Coût]]*Base[[#This Row],[Part_société_dépenses_santé]]</f>
        <v>0</v>
      </c>
      <c r="AB660" s="4">
        <v>67635124</v>
      </c>
      <c r="AC660" s="4">
        <v>82.297079063317852</v>
      </c>
      <c r="AD660" s="4">
        <v>0</v>
      </c>
      <c r="AE660" s="4">
        <f>Base[[#This Row],['[SC']Prévalence_travail]]*Base[[#This Row],[Population_emploi]]</f>
        <v>0</v>
      </c>
      <c r="AF660" s="4">
        <f>Base[[#This Row],[Risque]]*Base[[#This Row],['[SC']Patients_en_emploi]]</f>
        <v>0</v>
      </c>
      <c r="AG660" s="4">
        <v>0</v>
      </c>
      <c r="AH660" s="4">
        <f>IFERROR(Base[[#This Row],['[SC']Prestations]]/Base[[#This Row],['[SC']Patients_en_emploi]],0)</f>
        <v>0</v>
      </c>
      <c r="AI660" s="4">
        <v>51.7</v>
      </c>
      <c r="AJ66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0" s="4">
        <f>Base[[#This Row],['[SC']'[Travail']Coûts_évités]]/Base[[#This Row],[Population_emploi]]</f>
        <v>0</v>
      </c>
      <c r="AL660" s="4">
        <f>Base[[#This Row],[Coût_société]]*10^9*Base[[#This Row],[Risque]]*Base[[#This Row],[Prévalence]]*Base[[#This Row],[Part_coûts_salarié]]/Base[[#This Row],[Population_emploi]]</f>
        <v>0</v>
      </c>
      <c r="AM660" s="4">
        <f>IF(Base[[#This Row],[Pathologie]]&lt;&gt;"Dépendance",0,14909.24243952)</f>
        <v>0</v>
      </c>
      <c r="AN660" s="4">
        <f>IF(Base[[#This Row],[Pathologie]]&lt;&gt;"Dépendance",0,1316000)</f>
        <v>0</v>
      </c>
      <c r="AO660" s="4">
        <f>IF(Base[[#This Row],[Pathologie]]&lt;&gt;"Dépendance",0,Base[[#This Row],['[SC']Coût_personne_dépendante]]*Base[[#This Row],['[SC']Nb_personnes_dépendantes]])</f>
        <v>0</v>
      </c>
      <c r="AP660" s="4">
        <f>IF(Base[[#This Row],[Pathologie]]&lt;&gt;"Dépendance",0,Base[[#This Row],['[SC']Coût_total_dépendance]]/Base[[#This Row],[Population_totale]])</f>
        <v>0</v>
      </c>
      <c r="AQ660" s="4">
        <f>IF(Base[[#This Row],[Pathologie]]&lt;&gt;"Dépendance",0,4.5)</f>
        <v>0</v>
      </c>
      <c r="AR660" s="4">
        <v>1.0077957276768601</v>
      </c>
      <c r="AS660" s="4">
        <f>Base[[#This Row],[Espérance_vie]]+Base[[#This Row],['[SC']Hausse_esp_de_vie]]-Base[[#This Row],['[SC']Durée_moyenne_dépendance_avt]]+Base[[#This Row],[Risque]]</f>
        <v>83.594241881119757</v>
      </c>
      <c r="AT66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0" s="4">
        <v>62.9</v>
      </c>
      <c r="AW660" s="4">
        <f t="shared" si="22"/>
        <v>336905600000</v>
      </c>
      <c r="AX660" s="4">
        <v>15049171</v>
      </c>
      <c r="AY660" s="4">
        <f>Base[[#This Row],['[SC']Budget_total_retraites]]/Base[[#This Row],['[SC']Nombre_de_retraités]]</f>
        <v>22386.987296509556</v>
      </c>
      <c r="AZ660" s="4">
        <f>Base[[#This Row],['[SC']Budget_par_retraité]]*Base[[#This Row],['[SC']Nb_personnes_dépendantes]]</f>
        <v>0</v>
      </c>
      <c r="BA660" s="4">
        <f>Base[[#This Row],['[SC']'[Dépendance']Coût_retraite_personnes_dépendantes]]/Base[[#This Row],[Population_totale]]</f>
        <v>0</v>
      </c>
      <c r="BB66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0" s="4">
        <f>Base[[#This Row],['[SC']'[Dépendance']Gains]]-Base[[#This Row],['[SC']'[Dépendance']Coûts]]</f>
        <v>0</v>
      </c>
      <c r="BD660" s="4">
        <f>IF(Base[[#This Row],[Pathologie]]&lt;&gt;"Mort prématurée",0,Base[[#This Row],[Risque]]*Base[[#This Row],[Prévalence]]*Base[[#This Row],[Population_totale]])</f>
        <v>34962.473416801695</v>
      </c>
      <c r="BE660" s="4">
        <v>52.74</v>
      </c>
      <c r="BF660" s="4">
        <f>Base[[#This Row],['[SC']Âge_moyen_retraite]]-Base[[#This Row],['[SC']'[Mort_prématurée']Âge_moyen_mort précoce]]</f>
        <v>10.159999999999997</v>
      </c>
      <c r="BG660" s="4">
        <f>Base[[#This Row],[Espérance_vie]]+Base[[#This Row],['[SC']Hausse_esp_de_vie]]-Base[[#This Row],['[SC']Âge_moyen_retraite]]</f>
        <v>20.404874790994718</v>
      </c>
      <c r="BH660" s="4">
        <v>106583.42676924677</v>
      </c>
      <c r="BI660" s="4">
        <v>97601.789429271477</v>
      </c>
      <c r="BJ660" s="4">
        <v>302038.31496633729</v>
      </c>
      <c r="BK660" s="4">
        <v>117293.58934859755</v>
      </c>
      <c r="BL660" s="4">
        <v>1523999.9999999995</v>
      </c>
      <c r="BM66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60" s="4">
        <v>294804.96027377353</v>
      </c>
      <c r="BO66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60" s="4">
        <f>(Base[[#This Row],['[SC']'[Mort_prématurée']Gains]]-Base[[#This Row],['[SC']'[Mort_prématurée']Coûts]])/Base[[#This Row],[Population_totale]]</f>
        <v>31.333953136298806</v>
      </c>
      <c r="BQ660" s="4">
        <f>IF(Base[[#This Row],[Pathologie]]&lt;&gt;"Mort prématurée",0,Base[[#This Row],[Risque]])</f>
        <v>0.28936709012503803</v>
      </c>
      <c r="BR660" s="4">
        <v>2680</v>
      </c>
      <c r="BS66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6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0" s="4">
        <f>Base[[#This Row],[Prévalence_prod]]*(1-Base[[#This Row],[Risque]])*Base[[#This Row],[Durée_arrêt]]*Base[[#This Row],[Population_emploi]]</f>
        <v>0</v>
      </c>
      <c r="BV660" s="4">
        <f>Base[[#This Row],['[Prod']'[Absentéisme']Total_jours_absence_avant]]-Base[[#This Row],['[Prod']'[Absentéisme']Total_jours_absence_après]]</f>
        <v>0</v>
      </c>
      <c r="BW660" s="4">
        <f>IF(AND(Base[[#This Row],[Pathologie]]&lt;&gt;"Dépendance",Base[[#This Row],[Pathologie]]&lt;&gt;"Mort prématurée",Base[[#This Row],[Pathologie]]&lt;&gt;"Migraine"),0.0619,0)</f>
        <v>0</v>
      </c>
      <c r="BX660" s="4">
        <v>254</v>
      </c>
      <c r="BY66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0" s="4">
        <f>Base[[#This Row],[Prévalence_prod]]*Base[[#This Row],[Présentéisme]]*Base[[#This Row],['[Prod']Jours_ouvrés]]</f>
        <v>0</v>
      </c>
      <c r="CB660" s="4">
        <f>Base[[#This Row],[Prévalence_prod]]*(1-Base[[#This Row],[Risque]])*Base[[#This Row],[Présentéisme]]*Base[[#This Row],['[Prod']Jours_ouvrés]]</f>
        <v>0</v>
      </c>
      <c r="CC660" s="4">
        <f>Base[[#This Row],['[Prod']'[Présentéisme']Jours_avant]]-Base[[#This Row],['[Prod']'[Présentéisme']Jours_après]]</f>
        <v>0</v>
      </c>
      <c r="CD660" s="4">
        <f>Base[[#This Row],['[Prod']'[Présentéisme']Jours_gagnés]]/Base[[#This Row],['[Prod']Jours_ouvrés]]</f>
        <v>0</v>
      </c>
      <c r="CE660">
        <v>9.3428413505841454E-2</v>
      </c>
      <c r="CF660">
        <v>2.1038737314955848E-2</v>
      </c>
      <c r="CG660" s="4">
        <v>11</v>
      </c>
      <c r="CH660" s="4">
        <v>0.60922528771817497</v>
      </c>
      <c r="CI660" s="4">
        <v>3.8601807163334179E-3</v>
      </c>
      <c r="CJ660" s="4">
        <f>IF(Base[[#This Row],[Secteur]]&lt;&gt;"Moyenne",Base[[#This Row],['[Prod']'[Turnover']DMC_initiale]]*(1+Base[[#This Row],['[Prod']'[Turnover']Ecart_accidents]]*Base[[#This Row],['[Prod']Impact_motifs_turnover]]),CJ643*CI643+CJ644*CI644+CJ645*CI645+CJ646*CI646+CJ647*CI647+CJ648*CI648+CJ649*CI649+CJ650*CI650+CJ651*CI651+CJ652*CI652+CJ653*CI653+CJ654*CI654+CJ655*CI655+CJ656*CI656+CJ657*CI657+CJ658*CI658+CJ659*CI659)</f>
        <v>11.140990638733241</v>
      </c>
      <c r="CK660" s="4">
        <f>1/Base[[#This Row],['[Prod']'[Turnover']DMC_initiale]]</f>
        <v>9.0909090909090912E-2</v>
      </c>
      <c r="CL660" s="4">
        <f>1/Base[[#This Row],['[Prod']'[Turnover']DMC_finale]]</f>
        <v>8.9758624921859057E-2</v>
      </c>
    </row>
    <row r="661" spans="2:90" x14ac:dyDescent="0.25">
      <c r="B661" s="4" t="s">
        <v>329</v>
      </c>
      <c r="C661">
        <v>30</v>
      </c>
      <c r="D661" t="s">
        <v>85</v>
      </c>
      <c r="E661" t="s">
        <v>59</v>
      </c>
      <c r="F661" s="3">
        <v>0.28936709012503803</v>
      </c>
      <c r="G661" s="3">
        <v>1.7864082739021815E-3</v>
      </c>
      <c r="H661" s="3">
        <v>1.7864082739021815E-3</v>
      </c>
      <c r="I661" s="3">
        <v>0</v>
      </c>
      <c r="J661" s="3">
        <v>0</v>
      </c>
      <c r="K661" s="3">
        <v>7.0000000000000007E-2</v>
      </c>
      <c r="L661" s="2">
        <f>Base[[#This Row],[Coût]]*Base[[#This Row],[Part_ménages_dépenses_santé]]</f>
        <v>0</v>
      </c>
      <c r="M661" s="2">
        <v>0</v>
      </c>
      <c r="N661" s="6">
        <v>27700000</v>
      </c>
      <c r="O661" s="7">
        <f>Base[[#This Row],[Coût_salarié]]*10^9*Base[[#This Row],[Risque]]*Base[[#This Row],[Prévalence]]*Base[[#This Row],[Part_coûts_salarié]]/Base[[#This Row],[Population_emploi]]</f>
        <v>0</v>
      </c>
      <c r="P661">
        <v>50</v>
      </c>
      <c r="Q661">
        <v>50</v>
      </c>
      <c r="R661" s="2">
        <v>9.9999999999999978E-2</v>
      </c>
      <c r="S661" s="2">
        <v>0.33340000000000003</v>
      </c>
      <c r="T661" s="4">
        <v>0</v>
      </c>
      <c r="U661" s="4">
        <f>IF(Bases_annexes!$F$5=0,16.6587111018772,0.77*Bases_annexes!$F$5/(IF(OR(ISBLANK('Données_d''entrée'!$E$44),'Données_d''entrée'!$E$44=0),35,'Données_d''entrée'!$E$44)*52))</f>
        <v>16.658711101877199</v>
      </c>
      <c r="V661" s="4">
        <v>0</v>
      </c>
      <c r="W66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1" s="4">
        <v>234.5</v>
      </c>
      <c r="Y661" s="4">
        <f>(Base[[#This Row],['[Maladies']Coûts_évités_par_salarié]]+Base[[#This Row],['[Travail']Coûts_évités_par_salarié]])/Base[[#This Row],[Budget_santé_salarié]]</f>
        <v>0</v>
      </c>
      <c r="Z661" s="4">
        <v>0.8</v>
      </c>
      <c r="AA661" s="4">
        <f>Base[[#This Row],[Coût]]*Base[[#This Row],[Part_société_dépenses_santé]]</f>
        <v>0</v>
      </c>
      <c r="AB661" s="4">
        <v>67635124</v>
      </c>
      <c r="AC661" s="4">
        <v>82.297079063317852</v>
      </c>
      <c r="AD661" s="4">
        <v>0</v>
      </c>
      <c r="AE661" s="4">
        <f>Base[[#This Row],['[SC']Prévalence_travail]]*Base[[#This Row],[Population_emploi]]</f>
        <v>0</v>
      </c>
      <c r="AF661" s="4">
        <f>Base[[#This Row],[Risque]]*Base[[#This Row],['[SC']Patients_en_emploi]]</f>
        <v>0</v>
      </c>
      <c r="AG661" s="4">
        <v>0</v>
      </c>
      <c r="AH661" s="4">
        <f>IFERROR(Base[[#This Row],['[SC']Prestations]]/Base[[#This Row],['[SC']Patients_en_emploi]],0)</f>
        <v>0</v>
      </c>
      <c r="AI661" s="4">
        <v>51.7</v>
      </c>
      <c r="AJ66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1" s="4">
        <f>Base[[#This Row],['[SC']'[Travail']Coûts_évités]]/Base[[#This Row],[Population_emploi]]</f>
        <v>0</v>
      </c>
      <c r="AL661" s="4">
        <f>Base[[#This Row],[Coût_société]]*10^9*Base[[#This Row],[Risque]]*Base[[#This Row],[Prévalence]]*Base[[#This Row],[Part_coûts_salarié]]/Base[[#This Row],[Population_emploi]]</f>
        <v>0</v>
      </c>
      <c r="AM661" s="4">
        <f>IF(Base[[#This Row],[Pathologie]]&lt;&gt;"Dépendance",0,14909.24243952)</f>
        <v>0</v>
      </c>
      <c r="AN661" s="4">
        <f>IF(Base[[#This Row],[Pathologie]]&lt;&gt;"Dépendance",0,1316000)</f>
        <v>0</v>
      </c>
      <c r="AO661" s="4">
        <f>IF(Base[[#This Row],[Pathologie]]&lt;&gt;"Dépendance",0,Base[[#This Row],['[SC']Coût_personne_dépendante]]*Base[[#This Row],['[SC']Nb_personnes_dépendantes]])</f>
        <v>0</v>
      </c>
      <c r="AP661" s="4">
        <f>IF(Base[[#This Row],[Pathologie]]&lt;&gt;"Dépendance",0,Base[[#This Row],['[SC']Coût_total_dépendance]]/Base[[#This Row],[Population_totale]])</f>
        <v>0</v>
      </c>
      <c r="AQ661" s="4">
        <f>IF(Base[[#This Row],[Pathologie]]&lt;&gt;"Dépendance",0,4.5)</f>
        <v>0</v>
      </c>
      <c r="AR661" s="4">
        <v>1.0077957276768601</v>
      </c>
      <c r="AS661" s="4">
        <f>Base[[#This Row],[Espérance_vie]]+Base[[#This Row],['[SC']Hausse_esp_de_vie]]-Base[[#This Row],['[SC']Durée_moyenne_dépendance_avt]]+Base[[#This Row],[Risque]]</f>
        <v>83.594241881119757</v>
      </c>
      <c r="AT66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1" s="4">
        <v>62.9</v>
      </c>
      <c r="AW661" s="4">
        <f t="shared" si="22"/>
        <v>336905600000</v>
      </c>
      <c r="AX661" s="4">
        <v>15049171</v>
      </c>
      <c r="AY661" s="4">
        <f>Base[[#This Row],['[SC']Budget_total_retraites]]/Base[[#This Row],['[SC']Nombre_de_retraités]]</f>
        <v>22386.987296509556</v>
      </c>
      <c r="AZ661" s="4">
        <f>Base[[#This Row],['[SC']Budget_par_retraité]]*Base[[#This Row],['[SC']Nb_personnes_dépendantes]]</f>
        <v>0</v>
      </c>
      <c r="BA661" s="4">
        <f>Base[[#This Row],['[SC']'[Dépendance']Coût_retraite_personnes_dépendantes]]/Base[[#This Row],[Population_totale]]</f>
        <v>0</v>
      </c>
      <c r="BB66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1" s="4">
        <f>Base[[#This Row],['[SC']'[Dépendance']Gains]]-Base[[#This Row],['[SC']'[Dépendance']Coûts]]</f>
        <v>0</v>
      </c>
      <c r="BD661" s="4">
        <f>IF(Base[[#This Row],[Pathologie]]&lt;&gt;"Mort prématurée",0,Base[[#This Row],[Risque]]*Base[[#This Row],[Prévalence]]*Base[[#This Row],[Population_totale]])</f>
        <v>34962.473416801695</v>
      </c>
      <c r="BE661" s="4">
        <v>52.74</v>
      </c>
      <c r="BF661" s="4">
        <f>Base[[#This Row],['[SC']Âge_moyen_retraite]]-Base[[#This Row],['[SC']'[Mort_prématurée']Âge_moyen_mort précoce]]</f>
        <v>10.159999999999997</v>
      </c>
      <c r="BG661" s="4">
        <f>Base[[#This Row],[Espérance_vie]]+Base[[#This Row],['[SC']Hausse_esp_de_vie]]-Base[[#This Row],['[SC']Âge_moyen_retraite]]</f>
        <v>20.404874790994718</v>
      </c>
      <c r="BH661" s="4">
        <v>106583.42676924677</v>
      </c>
      <c r="BI661" s="4">
        <v>97601.789429271477</v>
      </c>
      <c r="BJ661" s="4">
        <v>302038.31496633729</v>
      </c>
      <c r="BK661" s="4">
        <v>117293.58934859755</v>
      </c>
      <c r="BL661" s="4">
        <v>1523999.9999999995</v>
      </c>
      <c r="BM66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61" s="4">
        <v>294804.96027377353</v>
      </c>
      <c r="BO66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61" s="4">
        <f>(Base[[#This Row],['[SC']'[Mort_prématurée']Gains]]-Base[[#This Row],['[SC']'[Mort_prématurée']Coûts]])/Base[[#This Row],[Population_totale]]</f>
        <v>31.333953136298806</v>
      </c>
      <c r="BQ661" s="4">
        <f>IF(Base[[#This Row],[Pathologie]]&lt;&gt;"Mort prématurée",0,Base[[#This Row],[Risque]])</f>
        <v>0.28936709012503803</v>
      </c>
      <c r="BR661" s="4">
        <v>2680</v>
      </c>
      <c r="BS66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6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1" s="4">
        <f>Base[[#This Row],[Prévalence_prod]]*(1-Base[[#This Row],[Risque]])*Base[[#This Row],[Durée_arrêt]]*Base[[#This Row],[Population_emploi]]</f>
        <v>0</v>
      </c>
      <c r="BV661" s="4">
        <f>Base[[#This Row],['[Prod']'[Absentéisme']Total_jours_absence_avant]]-Base[[#This Row],['[Prod']'[Absentéisme']Total_jours_absence_après]]</f>
        <v>0</v>
      </c>
      <c r="BW661" s="4">
        <f>IF(AND(Base[[#This Row],[Pathologie]]&lt;&gt;"Dépendance",Base[[#This Row],[Pathologie]]&lt;&gt;"Mort prématurée",Base[[#This Row],[Pathologie]]&lt;&gt;"Migraine"),0.0619,0)</f>
        <v>0</v>
      </c>
      <c r="BX661" s="4">
        <v>254</v>
      </c>
      <c r="BY66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1" s="4">
        <f>Base[[#This Row],[Prévalence_prod]]*Base[[#This Row],[Présentéisme]]*Base[[#This Row],['[Prod']Jours_ouvrés]]</f>
        <v>0</v>
      </c>
      <c r="CB661" s="4">
        <f>Base[[#This Row],[Prévalence_prod]]*(1-Base[[#This Row],[Risque]])*Base[[#This Row],[Présentéisme]]*Base[[#This Row],['[Prod']Jours_ouvrés]]</f>
        <v>0</v>
      </c>
      <c r="CC661" s="4">
        <f>Base[[#This Row],['[Prod']'[Présentéisme']Jours_avant]]-Base[[#This Row],['[Prod']'[Présentéisme']Jours_après]]</f>
        <v>0</v>
      </c>
      <c r="CD661" s="4">
        <f>Base[[#This Row],['[Prod']'[Présentéisme']Jours_gagnés]]/Base[[#This Row],['[Prod']Jours_ouvrés]]</f>
        <v>0</v>
      </c>
      <c r="CE661">
        <v>9.3428413505841454E-2</v>
      </c>
      <c r="CF661">
        <v>2.1038737314955848E-2</v>
      </c>
      <c r="CG661" s="4">
        <v>11</v>
      </c>
      <c r="CH661" s="4">
        <v>0.78414927716175975</v>
      </c>
      <c r="CI661" s="4">
        <v>0.12835819090128339</v>
      </c>
      <c r="CJ661" s="4">
        <f>IF(Base[[#This Row],[Secteur]]&lt;&gt;"Moyenne",Base[[#This Row],['[Prod']'[Turnover']DMC_initiale]]*(1+Base[[#This Row],['[Prod']'[Turnover']Ecart_accidents]]*Base[[#This Row],['[Prod']Impact_motifs_turnover]]),CJ644*CI644+CJ645*CI645+CJ646*CI646+CJ647*CI647+CJ648*CI648+CJ649*CI649+CJ650*CI650+CJ651*CI651+CJ652*CI652+CJ653*CI653+CJ654*CI654+CJ655*CI655+CJ656*CI656+CJ657*CI657+CJ658*CI658+CJ659*CI659+CJ660*CI660)</f>
        <v>11.181472617237107</v>
      </c>
      <c r="CK661" s="4">
        <f>1/Base[[#This Row],['[Prod']'[Turnover']DMC_initiale]]</f>
        <v>9.0909090909090912E-2</v>
      </c>
      <c r="CL661" s="4">
        <f>1/Base[[#This Row],['[Prod']'[Turnover']DMC_finale]]</f>
        <v>8.9433658180088235E-2</v>
      </c>
    </row>
    <row r="662" spans="2:90" x14ac:dyDescent="0.25">
      <c r="B662" s="4" t="s">
        <v>330</v>
      </c>
      <c r="C662">
        <v>30</v>
      </c>
      <c r="D662" t="s">
        <v>85</v>
      </c>
      <c r="E662" t="s">
        <v>59</v>
      </c>
      <c r="F662" s="3">
        <v>0.28936709012503803</v>
      </c>
      <c r="G662" s="3">
        <v>1.7864082739021815E-3</v>
      </c>
      <c r="H662" s="3">
        <v>1.7864082739021815E-3</v>
      </c>
      <c r="I662" s="3">
        <v>0</v>
      </c>
      <c r="J662" s="3">
        <v>0</v>
      </c>
      <c r="K662" s="3">
        <v>7.0000000000000007E-2</v>
      </c>
      <c r="L662" s="2">
        <f>Base[[#This Row],[Coût]]*Base[[#This Row],[Part_ménages_dépenses_santé]]</f>
        <v>0</v>
      </c>
      <c r="M662" s="2">
        <v>0</v>
      </c>
      <c r="N662" s="6">
        <v>27700000</v>
      </c>
      <c r="O662" s="7">
        <f>Base[[#This Row],[Coût_salarié]]*10^9*Base[[#This Row],[Risque]]*Base[[#This Row],[Prévalence]]*Base[[#This Row],[Part_coûts_salarié]]/Base[[#This Row],[Population_emploi]]</f>
        <v>0</v>
      </c>
      <c r="P662">
        <v>50</v>
      </c>
      <c r="Q662">
        <v>50</v>
      </c>
      <c r="R662" s="2">
        <v>9.9999999999999978E-2</v>
      </c>
      <c r="S662" s="2">
        <v>0.33340000000000003</v>
      </c>
      <c r="T662" s="4">
        <v>0</v>
      </c>
      <c r="U662" s="4">
        <f>IF(Bases_annexes!$F$5=0,16.6587111018772,0.77*Bases_annexes!$F$5/(IF(OR(ISBLANK('Données_d''entrée'!$E$44),'Données_d''entrée'!$E$44=0),35,'Données_d''entrée'!$E$44)*52))</f>
        <v>16.658711101877199</v>
      </c>
      <c r="V662" s="4">
        <v>0</v>
      </c>
      <c r="W66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2" s="4">
        <v>234.5</v>
      </c>
      <c r="Y662" s="4">
        <f>(Base[[#This Row],['[Maladies']Coûts_évités_par_salarié]]+Base[[#This Row],['[Travail']Coûts_évités_par_salarié]])/Base[[#This Row],[Budget_santé_salarié]]</f>
        <v>0</v>
      </c>
      <c r="Z662" s="4">
        <v>0.8</v>
      </c>
      <c r="AA662" s="4">
        <f>Base[[#This Row],[Coût]]*Base[[#This Row],[Part_société_dépenses_santé]]</f>
        <v>0</v>
      </c>
      <c r="AB662" s="4">
        <v>67635124</v>
      </c>
      <c r="AC662" s="4">
        <v>82.297079063317852</v>
      </c>
      <c r="AD662" s="4">
        <v>0</v>
      </c>
      <c r="AE662" s="4">
        <f>Base[[#This Row],['[SC']Prévalence_travail]]*Base[[#This Row],[Population_emploi]]</f>
        <v>0</v>
      </c>
      <c r="AF662" s="4">
        <f>Base[[#This Row],[Risque]]*Base[[#This Row],['[SC']Patients_en_emploi]]</f>
        <v>0</v>
      </c>
      <c r="AG662" s="4">
        <v>0</v>
      </c>
      <c r="AH662" s="4">
        <f>IFERROR(Base[[#This Row],['[SC']Prestations]]/Base[[#This Row],['[SC']Patients_en_emploi]],0)</f>
        <v>0</v>
      </c>
      <c r="AI662" s="4">
        <v>51.7</v>
      </c>
      <c r="AJ66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2" s="4">
        <f>Base[[#This Row],['[SC']'[Travail']Coûts_évités]]/Base[[#This Row],[Population_emploi]]</f>
        <v>0</v>
      </c>
      <c r="AL662" s="4">
        <f>Base[[#This Row],[Coût_société]]*10^9*Base[[#This Row],[Risque]]*Base[[#This Row],[Prévalence]]*Base[[#This Row],[Part_coûts_salarié]]/Base[[#This Row],[Population_emploi]]</f>
        <v>0</v>
      </c>
      <c r="AM662" s="4">
        <f>IF(Base[[#This Row],[Pathologie]]&lt;&gt;"Dépendance",0,14909.24243952)</f>
        <v>0</v>
      </c>
      <c r="AN662" s="4">
        <f>IF(Base[[#This Row],[Pathologie]]&lt;&gt;"Dépendance",0,1316000)</f>
        <v>0</v>
      </c>
      <c r="AO662" s="4">
        <f>IF(Base[[#This Row],[Pathologie]]&lt;&gt;"Dépendance",0,Base[[#This Row],['[SC']Coût_personne_dépendante]]*Base[[#This Row],['[SC']Nb_personnes_dépendantes]])</f>
        <v>0</v>
      </c>
      <c r="AP662" s="4">
        <f>IF(Base[[#This Row],[Pathologie]]&lt;&gt;"Dépendance",0,Base[[#This Row],['[SC']Coût_total_dépendance]]/Base[[#This Row],[Population_totale]])</f>
        <v>0</v>
      </c>
      <c r="AQ662" s="4">
        <f>IF(Base[[#This Row],[Pathologie]]&lt;&gt;"Dépendance",0,4.5)</f>
        <v>0</v>
      </c>
      <c r="AR662" s="4">
        <v>1.0077957276768601</v>
      </c>
      <c r="AS662" s="4">
        <f>Base[[#This Row],[Espérance_vie]]+Base[[#This Row],['[SC']Hausse_esp_de_vie]]-Base[[#This Row],['[SC']Durée_moyenne_dépendance_avt]]+Base[[#This Row],[Risque]]</f>
        <v>83.594241881119757</v>
      </c>
      <c r="AT66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2" s="4">
        <v>62.9</v>
      </c>
      <c r="AW662" s="4">
        <f t="shared" si="22"/>
        <v>336905600000</v>
      </c>
      <c r="AX662" s="4">
        <v>15049171</v>
      </c>
      <c r="AY662" s="4">
        <f>Base[[#This Row],['[SC']Budget_total_retraites]]/Base[[#This Row],['[SC']Nombre_de_retraités]]</f>
        <v>22386.987296509556</v>
      </c>
      <c r="AZ662" s="4">
        <f>Base[[#This Row],['[SC']Budget_par_retraité]]*Base[[#This Row],['[SC']Nb_personnes_dépendantes]]</f>
        <v>0</v>
      </c>
      <c r="BA662" s="4">
        <f>Base[[#This Row],['[SC']'[Dépendance']Coût_retraite_personnes_dépendantes]]/Base[[#This Row],[Population_totale]]</f>
        <v>0</v>
      </c>
      <c r="BB66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2" s="4">
        <f>Base[[#This Row],['[SC']'[Dépendance']Gains]]-Base[[#This Row],['[SC']'[Dépendance']Coûts]]</f>
        <v>0</v>
      </c>
      <c r="BD662" s="4">
        <f>IF(Base[[#This Row],[Pathologie]]&lt;&gt;"Mort prématurée",0,Base[[#This Row],[Risque]]*Base[[#This Row],[Prévalence]]*Base[[#This Row],[Population_totale]])</f>
        <v>34962.473416801695</v>
      </c>
      <c r="BE662" s="4">
        <v>52.74</v>
      </c>
      <c r="BF662" s="4">
        <f>Base[[#This Row],['[SC']Âge_moyen_retraite]]-Base[[#This Row],['[SC']'[Mort_prématurée']Âge_moyen_mort précoce]]</f>
        <v>10.159999999999997</v>
      </c>
      <c r="BG662" s="4">
        <f>Base[[#This Row],[Espérance_vie]]+Base[[#This Row],['[SC']Hausse_esp_de_vie]]-Base[[#This Row],['[SC']Âge_moyen_retraite]]</f>
        <v>20.404874790994718</v>
      </c>
      <c r="BH662" s="4">
        <v>106583.42676924677</v>
      </c>
      <c r="BI662" s="4">
        <v>97601.789429271477</v>
      </c>
      <c r="BJ662" s="4">
        <v>302038.31496633729</v>
      </c>
      <c r="BK662" s="4">
        <v>117293.58934859755</v>
      </c>
      <c r="BL662" s="4">
        <v>1523999.9999999995</v>
      </c>
      <c r="BM66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62" s="4">
        <v>294804.96027377353</v>
      </c>
      <c r="BO66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62" s="4">
        <f>(Base[[#This Row],['[SC']'[Mort_prématurée']Gains]]-Base[[#This Row],['[SC']'[Mort_prématurée']Coûts]])/Base[[#This Row],[Population_totale]]</f>
        <v>31.333953136298806</v>
      </c>
      <c r="BQ662" s="4">
        <f>IF(Base[[#This Row],[Pathologie]]&lt;&gt;"Mort prématurée",0,Base[[#This Row],[Risque]])</f>
        <v>0.28936709012503803</v>
      </c>
      <c r="BR662" s="4">
        <v>2680</v>
      </c>
      <c r="BS66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6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2" s="4">
        <f>Base[[#This Row],[Prévalence_prod]]*(1-Base[[#This Row],[Risque]])*Base[[#This Row],[Durée_arrêt]]*Base[[#This Row],[Population_emploi]]</f>
        <v>0</v>
      </c>
      <c r="BV662" s="4">
        <f>Base[[#This Row],['[Prod']'[Absentéisme']Total_jours_absence_avant]]-Base[[#This Row],['[Prod']'[Absentéisme']Total_jours_absence_après]]</f>
        <v>0</v>
      </c>
      <c r="BW662" s="4">
        <f>IF(AND(Base[[#This Row],[Pathologie]]&lt;&gt;"Dépendance",Base[[#This Row],[Pathologie]]&lt;&gt;"Mort prématurée",Base[[#This Row],[Pathologie]]&lt;&gt;"Migraine"),0.0619,0)</f>
        <v>0</v>
      </c>
      <c r="BX662" s="4">
        <v>254</v>
      </c>
      <c r="BY66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2" s="4">
        <f>Base[[#This Row],[Prévalence_prod]]*Base[[#This Row],[Présentéisme]]*Base[[#This Row],['[Prod']Jours_ouvrés]]</f>
        <v>0</v>
      </c>
      <c r="CB662" s="4">
        <f>Base[[#This Row],[Prévalence_prod]]*(1-Base[[#This Row],[Risque]])*Base[[#This Row],[Présentéisme]]*Base[[#This Row],['[Prod']Jours_ouvrés]]</f>
        <v>0</v>
      </c>
      <c r="CC662" s="4">
        <f>Base[[#This Row],['[Prod']'[Présentéisme']Jours_avant]]-Base[[#This Row],['[Prod']'[Présentéisme']Jours_après]]</f>
        <v>0</v>
      </c>
      <c r="CD662" s="4">
        <f>Base[[#This Row],['[Prod']'[Présentéisme']Jours_gagnés]]/Base[[#This Row],['[Prod']Jours_ouvrés]]</f>
        <v>0</v>
      </c>
      <c r="CE662">
        <v>9.3428413505841454E-2</v>
      </c>
      <c r="CF662">
        <v>2.1038737314955848E-2</v>
      </c>
      <c r="CG662" s="4">
        <v>11</v>
      </c>
      <c r="CH662" s="4">
        <v>0.99648427619813984</v>
      </c>
      <c r="CI662" s="4">
        <v>0.42377466100567313</v>
      </c>
      <c r="CJ662" s="4">
        <f>IF(Base[[#This Row],[Secteur]]&lt;&gt;"Moyenne",Base[[#This Row],['[Prod']'[Turnover']DMC_initiale]]*(1+Base[[#This Row],['[Prod']'[Turnover']Ecart_accidents]]*Base[[#This Row],['[Prod']Impact_motifs_turnover]]),CJ645*CI645+CJ646*CI646+CJ647*CI647+CJ648*CI648+CJ649*CI649+CJ650*CI650+CJ651*CI651+CJ652*CI652+CJ653*CI653+CJ654*CI654+CJ655*CI655+CJ656*CI656+CJ657*CI657+CJ658*CI658+CJ659*CI659+CJ660*CI660+CJ661*CI661)</f>
        <v>11.230612480179582</v>
      </c>
      <c r="CK662" s="4">
        <f>1/Base[[#This Row],['[Prod']'[Turnover']DMC_initiale]]</f>
        <v>9.0909090909090912E-2</v>
      </c>
      <c r="CL662" s="4">
        <f>1/Base[[#This Row],['[Prod']'[Turnover']DMC_finale]]</f>
        <v>8.9042338676083466E-2</v>
      </c>
    </row>
    <row r="663" spans="2:90" x14ac:dyDescent="0.25">
      <c r="B663" s="4" t="s">
        <v>331</v>
      </c>
      <c r="C663">
        <v>30</v>
      </c>
      <c r="D663" t="s">
        <v>85</v>
      </c>
      <c r="E663" t="s">
        <v>59</v>
      </c>
      <c r="F663" s="3">
        <v>0.28936709012503803</v>
      </c>
      <c r="G663" s="3">
        <v>1.7864082739021815E-3</v>
      </c>
      <c r="H663" s="3">
        <v>1.7864082739021815E-3</v>
      </c>
      <c r="I663" s="3">
        <v>0</v>
      </c>
      <c r="J663" s="3">
        <v>0</v>
      </c>
      <c r="K663" s="3">
        <v>7.0000000000000007E-2</v>
      </c>
      <c r="L663" s="2">
        <f>Base[[#This Row],[Coût]]*Base[[#This Row],[Part_ménages_dépenses_santé]]</f>
        <v>0</v>
      </c>
      <c r="M663" s="2">
        <v>0</v>
      </c>
      <c r="N663" s="6">
        <v>27700000</v>
      </c>
      <c r="O663" s="7">
        <f>Base[[#This Row],[Coût_salarié]]*10^9*Base[[#This Row],[Risque]]*Base[[#This Row],[Prévalence]]*Base[[#This Row],[Part_coûts_salarié]]/Base[[#This Row],[Population_emploi]]</f>
        <v>0</v>
      </c>
      <c r="P663">
        <v>50</v>
      </c>
      <c r="Q663">
        <v>50</v>
      </c>
      <c r="R663" s="2">
        <v>9.9999999999999978E-2</v>
      </c>
      <c r="S663" s="2">
        <v>0.33340000000000003</v>
      </c>
      <c r="T663" s="4">
        <v>0</v>
      </c>
      <c r="U663" s="4">
        <f>IF(Bases_annexes!$F$5=0,16.6587111018772,0.77*Bases_annexes!$F$5/(IF(OR(ISBLANK('Données_d''entrée'!$E$44),'Données_d''entrée'!$E$44=0),35,'Données_d''entrée'!$E$44)*52))</f>
        <v>16.658711101877199</v>
      </c>
      <c r="V663" s="4">
        <v>0</v>
      </c>
      <c r="W66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3" s="4">
        <v>234.5</v>
      </c>
      <c r="Y663" s="4">
        <f>(Base[[#This Row],['[Maladies']Coûts_évités_par_salarié]]+Base[[#This Row],['[Travail']Coûts_évités_par_salarié]])/Base[[#This Row],[Budget_santé_salarié]]</f>
        <v>0</v>
      </c>
      <c r="Z663" s="4">
        <v>0.8</v>
      </c>
      <c r="AA663" s="4">
        <f>Base[[#This Row],[Coût]]*Base[[#This Row],[Part_société_dépenses_santé]]</f>
        <v>0</v>
      </c>
      <c r="AB663" s="4">
        <v>67635124</v>
      </c>
      <c r="AC663" s="4">
        <v>82.297079063317852</v>
      </c>
      <c r="AD663" s="4">
        <v>0</v>
      </c>
      <c r="AE663" s="4">
        <f>Base[[#This Row],['[SC']Prévalence_travail]]*Base[[#This Row],[Population_emploi]]</f>
        <v>0</v>
      </c>
      <c r="AF663" s="4">
        <f>Base[[#This Row],[Risque]]*Base[[#This Row],['[SC']Patients_en_emploi]]</f>
        <v>0</v>
      </c>
      <c r="AG663" s="4">
        <v>0</v>
      </c>
      <c r="AH663" s="4">
        <f>IFERROR(Base[[#This Row],['[SC']Prestations]]/Base[[#This Row],['[SC']Patients_en_emploi]],0)</f>
        <v>0</v>
      </c>
      <c r="AI663" s="4">
        <v>51.7</v>
      </c>
      <c r="AJ66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3" s="4">
        <f>Base[[#This Row],['[SC']'[Travail']Coûts_évités]]/Base[[#This Row],[Population_emploi]]</f>
        <v>0</v>
      </c>
      <c r="AL663" s="4">
        <f>Base[[#This Row],[Coût_société]]*10^9*Base[[#This Row],[Risque]]*Base[[#This Row],[Prévalence]]*Base[[#This Row],[Part_coûts_salarié]]/Base[[#This Row],[Population_emploi]]</f>
        <v>0</v>
      </c>
      <c r="AM663" s="4">
        <f>IF(Base[[#This Row],[Pathologie]]&lt;&gt;"Dépendance",0,14909.24243952)</f>
        <v>0</v>
      </c>
      <c r="AN663" s="4">
        <f>IF(Base[[#This Row],[Pathologie]]&lt;&gt;"Dépendance",0,1316000)</f>
        <v>0</v>
      </c>
      <c r="AO663" s="4">
        <f>IF(Base[[#This Row],[Pathologie]]&lt;&gt;"Dépendance",0,Base[[#This Row],['[SC']Coût_personne_dépendante]]*Base[[#This Row],['[SC']Nb_personnes_dépendantes]])</f>
        <v>0</v>
      </c>
      <c r="AP663" s="4">
        <f>IF(Base[[#This Row],[Pathologie]]&lt;&gt;"Dépendance",0,Base[[#This Row],['[SC']Coût_total_dépendance]]/Base[[#This Row],[Population_totale]])</f>
        <v>0</v>
      </c>
      <c r="AQ663" s="4">
        <f>IF(Base[[#This Row],[Pathologie]]&lt;&gt;"Dépendance",0,4.5)</f>
        <v>0</v>
      </c>
      <c r="AR663" s="4">
        <v>1.0077957276768601</v>
      </c>
      <c r="AS663" s="4">
        <f>Base[[#This Row],[Espérance_vie]]+Base[[#This Row],['[SC']Hausse_esp_de_vie]]-Base[[#This Row],['[SC']Durée_moyenne_dépendance_avt]]+Base[[#This Row],[Risque]]</f>
        <v>83.594241881119757</v>
      </c>
      <c r="AT66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3" s="4">
        <v>62.9</v>
      </c>
      <c r="AW663" s="4">
        <f t="shared" si="22"/>
        <v>336905600000</v>
      </c>
      <c r="AX663" s="4">
        <v>15049171</v>
      </c>
      <c r="AY663" s="4">
        <f>Base[[#This Row],['[SC']Budget_total_retraites]]/Base[[#This Row],['[SC']Nombre_de_retraités]]</f>
        <v>22386.987296509556</v>
      </c>
      <c r="AZ663" s="4">
        <f>Base[[#This Row],['[SC']Budget_par_retraité]]*Base[[#This Row],['[SC']Nb_personnes_dépendantes]]</f>
        <v>0</v>
      </c>
      <c r="BA663" s="4">
        <f>Base[[#This Row],['[SC']'[Dépendance']Coût_retraite_personnes_dépendantes]]/Base[[#This Row],[Population_totale]]</f>
        <v>0</v>
      </c>
      <c r="BB66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3" s="4">
        <f>Base[[#This Row],['[SC']'[Dépendance']Gains]]-Base[[#This Row],['[SC']'[Dépendance']Coûts]]</f>
        <v>0</v>
      </c>
      <c r="BD663" s="4">
        <f>IF(Base[[#This Row],[Pathologie]]&lt;&gt;"Mort prématurée",0,Base[[#This Row],[Risque]]*Base[[#This Row],[Prévalence]]*Base[[#This Row],[Population_totale]])</f>
        <v>34962.473416801695</v>
      </c>
      <c r="BE663" s="4">
        <v>52.74</v>
      </c>
      <c r="BF663" s="4">
        <f>Base[[#This Row],['[SC']Âge_moyen_retraite]]-Base[[#This Row],['[SC']'[Mort_prématurée']Âge_moyen_mort précoce]]</f>
        <v>10.159999999999997</v>
      </c>
      <c r="BG663" s="4">
        <f>Base[[#This Row],[Espérance_vie]]+Base[[#This Row],['[SC']Hausse_esp_de_vie]]-Base[[#This Row],['[SC']Âge_moyen_retraite]]</f>
        <v>20.404874790994718</v>
      </c>
      <c r="BH663" s="4">
        <v>106583.42676924677</v>
      </c>
      <c r="BI663" s="4">
        <v>97601.789429271477</v>
      </c>
      <c r="BJ663" s="4">
        <v>302038.31496633729</v>
      </c>
      <c r="BK663" s="4">
        <v>117293.58934859755</v>
      </c>
      <c r="BL663" s="4">
        <v>1523999.9999999995</v>
      </c>
      <c r="BM66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63" s="4">
        <v>294804.96027377353</v>
      </c>
      <c r="BO66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63" s="4">
        <f>(Base[[#This Row],['[SC']'[Mort_prématurée']Gains]]-Base[[#This Row],['[SC']'[Mort_prématurée']Coûts]])/Base[[#This Row],[Population_totale]]</f>
        <v>31.333953136298806</v>
      </c>
      <c r="BQ663" s="4">
        <f>IF(Base[[#This Row],[Pathologie]]&lt;&gt;"Mort prématurée",0,Base[[#This Row],[Risque]])</f>
        <v>0.28936709012503803</v>
      </c>
      <c r="BR663" s="4">
        <v>2680</v>
      </c>
      <c r="BS66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6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3" s="4">
        <f>Base[[#This Row],[Prévalence_prod]]*(1-Base[[#This Row],[Risque]])*Base[[#This Row],[Durée_arrêt]]*Base[[#This Row],[Population_emploi]]</f>
        <v>0</v>
      </c>
      <c r="BV663" s="4">
        <f>Base[[#This Row],['[Prod']'[Absentéisme']Total_jours_absence_avant]]-Base[[#This Row],['[Prod']'[Absentéisme']Total_jours_absence_après]]</f>
        <v>0</v>
      </c>
      <c r="BW663" s="4">
        <f>IF(AND(Base[[#This Row],[Pathologie]]&lt;&gt;"Dépendance",Base[[#This Row],[Pathologie]]&lt;&gt;"Mort prématurée",Base[[#This Row],[Pathologie]]&lt;&gt;"Migraine"),0.0619,0)</f>
        <v>0</v>
      </c>
      <c r="BX663" s="4">
        <v>254</v>
      </c>
      <c r="BY66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3" s="4">
        <f>Base[[#This Row],[Prévalence_prod]]*Base[[#This Row],[Présentéisme]]*Base[[#This Row],['[Prod']Jours_ouvrés]]</f>
        <v>0</v>
      </c>
      <c r="CB663" s="4">
        <f>Base[[#This Row],[Prévalence_prod]]*(1-Base[[#This Row],[Risque]])*Base[[#This Row],[Présentéisme]]*Base[[#This Row],['[Prod']Jours_ouvrés]]</f>
        <v>0</v>
      </c>
      <c r="CC663" s="4">
        <f>Base[[#This Row],['[Prod']'[Présentéisme']Jours_avant]]-Base[[#This Row],['[Prod']'[Présentéisme']Jours_après]]</f>
        <v>0</v>
      </c>
      <c r="CD663" s="4">
        <f>Base[[#This Row],['[Prod']'[Présentéisme']Jours_gagnés]]/Base[[#This Row],['[Prod']Jours_ouvrés]]</f>
        <v>0</v>
      </c>
      <c r="CE663">
        <v>9.3428413505841454E-2</v>
      </c>
      <c r="CF663">
        <v>2.1038737314955848E-2</v>
      </c>
      <c r="CG663" s="4">
        <v>11</v>
      </c>
      <c r="CH663" s="4">
        <v>1.1593596509901765</v>
      </c>
      <c r="CI663" s="4">
        <v>4.0741311947357597E-2</v>
      </c>
      <c r="CJ663" s="4">
        <f>IF(Base[[#This Row],[Secteur]]&lt;&gt;"Moyenne",Base[[#This Row],['[Prod']'[Turnover']DMC_initiale]]*(1+Base[[#This Row],['[Prod']'[Turnover']Ecart_accidents]]*Base[[#This Row],['[Prod']Impact_motifs_turnover]]),CJ646*CI646+CJ647*CI647+CJ648*CI648+CJ649*CI649+CJ650*CI650+CJ651*CI651+CJ652*CI652+CJ653*CI653+CJ654*CI654+CJ655*CI655+CJ656*CI656+CJ657*CI657+CJ658*CI658+CJ659*CI659+CJ660*CI660+CJ661*CI661+CJ662*CI662)</f>
        <v>11.268306094658152</v>
      </c>
      <c r="CK663" s="4">
        <f>1/Base[[#This Row],['[Prod']'[Turnover']DMC_initiale]]</f>
        <v>9.0909090909090912E-2</v>
      </c>
      <c r="CL663" s="4">
        <f>1/Base[[#This Row],['[Prod']'[Turnover']DMC_finale]]</f>
        <v>8.8744483119256007E-2</v>
      </c>
    </row>
    <row r="664" spans="2:90" x14ac:dyDescent="0.25">
      <c r="B664" s="4" t="s">
        <v>332</v>
      </c>
      <c r="C664">
        <v>30</v>
      </c>
      <c r="D664" t="s">
        <v>85</v>
      </c>
      <c r="E664" t="s">
        <v>59</v>
      </c>
      <c r="F664" s="3">
        <v>0.28936709012503803</v>
      </c>
      <c r="G664" s="3">
        <v>1.7864082739021815E-3</v>
      </c>
      <c r="H664" s="3">
        <v>1.7864082739021815E-3</v>
      </c>
      <c r="I664" s="3">
        <v>0</v>
      </c>
      <c r="J664" s="3">
        <v>0</v>
      </c>
      <c r="K664" s="3">
        <v>7.0000000000000007E-2</v>
      </c>
      <c r="L664" s="2">
        <f>Base[[#This Row],[Coût]]*Base[[#This Row],[Part_ménages_dépenses_santé]]</f>
        <v>0</v>
      </c>
      <c r="M664" s="2">
        <v>0</v>
      </c>
      <c r="N664" s="6">
        <v>27700000</v>
      </c>
      <c r="O664" s="7">
        <f>Base[[#This Row],[Coût_salarié]]*10^9*Base[[#This Row],[Risque]]*Base[[#This Row],[Prévalence]]*Base[[#This Row],[Part_coûts_salarié]]/Base[[#This Row],[Population_emploi]]</f>
        <v>0</v>
      </c>
      <c r="P664">
        <v>50</v>
      </c>
      <c r="Q664">
        <v>50</v>
      </c>
      <c r="R664" s="2">
        <v>9.9999999999999978E-2</v>
      </c>
      <c r="S664" s="2">
        <v>0.33340000000000003</v>
      </c>
      <c r="T664" s="4">
        <v>0</v>
      </c>
      <c r="U664" s="4">
        <f>IF(Bases_annexes!$F$5=0,16.6587111018772,0.77*Bases_annexes!$F$5/(IF(OR(ISBLANK('Données_d''entrée'!$E$44),'Données_d''entrée'!$E$44=0),35,'Données_d''entrée'!$E$44)*52))</f>
        <v>16.658711101877199</v>
      </c>
      <c r="V664" s="4">
        <v>0</v>
      </c>
      <c r="W66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4" s="4">
        <v>234.5</v>
      </c>
      <c r="Y664" s="4">
        <f>(Base[[#This Row],['[Maladies']Coûts_évités_par_salarié]]+Base[[#This Row],['[Travail']Coûts_évités_par_salarié]])/Base[[#This Row],[Budget_santé_salarié]]</f>
        <v>0</v>
      </c>
      <c r="Z664" s="4">
        <v>0.8</v>
      </c>
      <c r="AA664" s="4">
        <f>Base[[#This Row],[Coût]]*Base[[#This Row],[Part_société_dépenses_santé]]</f>
        <v>0</v>
      </c>
      <c r="AB664" s="4">
        <v>67635124</v>
      </c>
      <c r="AC664" s="4">
        <v>82.297079063317852</v>
      </c>
      <c r="AD664" s="4">
        <v>0</v>
      </c>
      <c r="AE664" s="4">
        <f>Base[[#This Row],['[SC']Prévalence_travail]]*Base[[#This Row],[Population_emploi]]</f>
        <v>0</v>
      </c>
      <c r="AF664" s="4">
        <f>Base[[#This Row],[Risque]]*Base[[#This Row],['[SC']Patients_en_emploi]]</f>
        <v>0</v>
      </c>
      <c r="AG664" s="4">
        <v>0</v>
      </c>
      <c r="AH664" s="4">
        <f>IFERROR(Base[[#This Row],['[SC']Prestations]]/Base[[#This Row],['[SC']Patients_en_emploi]],0)</f>
        <v>0</v>
      </c>
      <c r="AI664" s="4">
        <v>51.7</v>
      </c>
      <c r="AJ66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4" s="4">
        <f>Base[[#This Row],['[SC']'[Travail']Coûts_évités]]/Base[[#This Row],[Population_emploi]]</f>
        <v>0</v>
      </c>
      <c r="AL664" s="4">
        <f>Base[[#This Row],[Coût_société]]*10^9*Base[[#This Row],[Risque]]*Base[[#This Row],[Prévalence]]*Base[[#This Row],[Part_coûts_salarié]]/Base[[#This Row],[Population_emploi]]</f>
        <v>0</v>
      </c>
      <c r="AM664" s="4">
        <f>IF(Base[[#This Row],[Pathologie]]&lt;&gt;"Dépendance",0,14909.24243952)</f>
        <v>0</v>
      </c>
      <c r="AN664" s="4">
        <f>IF(Base[[#This Row],[Pathologie]]&lt;&gt;"Dépendance",0,1316000)</f>
        <v>0</v>
      </c>
      <c r="AO664" s="4">
        <f>IF(Base[[#This Row],[Pathologie]]&lt;&gt;"Dépendance",0,Base[[#This Row],['[SC']Coût_personne_dépendante]]*Base[[#This Row],['[SC']Nb_personnes_dépendantes]])</f>
        <v>0</v>
      </c>
      <c r="AP664" s="4">
        <f>IF(Base[[#This Row],[Pathologie]]&lt;&gt;"Dépendance",0,Base[[#This Row],['[SC']Coût_total_dépendance]]/Base[[#This Row],[Population_totale]])</f>
        <v>0</v>
      </c>
      <c r="AQ664" s="4">
        <f>IF(Base[[#This Row],[Pathologie]]&lt;&gt;"Dépendance",0,4.5)</f>
        <v>0</v>
      </c>
      <c r="AR664" s="4">
        <v>1.0077957276768601</v>
      </c>
      <c r="AS664" s="4">
        <f>Base[[#This Row],[Espérance_vie]]+Base[[#This Row],['[SC']Hausse_esp_de_vie]]-Base[[#This Row],['[SC']Durée_moyenne_dépendance_avt]]+Base[[#This Row],[Risque]]</f>
        <v>83.594241881119757</v>
      </c>
      <c r="AT66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4" s="4">
        <v>62.9</v>
      </c>
      <c r="AW664" s="4">
        <f t="shared" si="22"/>
        <v>336905600000</v>
      </c>
      <c r="AX664" s="4">
        <v>15049171</v>
      </c>
      <c r="AY664" s="4">
        <f>Base[[#This Row],['[SC']Budget_total_retraites]]/Base[[#This Row],['[SC']Nombre_de_retraités]]</f>
        <v>22386.987296509556</v>
      </c>
      <c r="AZ664" s="4">
        <f>Base[[#This Row],['[SC']Budget_par_retraité]]*Base[[#This Row],['[SC']Nb_personnes_dépendantes]]</f>
        <v>0</v>
      </c>
      <c r="BA664" s="4">
        <f>Base[[#This Row],['[SC']'[Dépendance']Coût_retraite_personnes_dépendantes]]/Base[[#This Row],[Population_totale]]</f>
        <v>0</v>
      </c>
      <c r="BB66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4" s="4">
        <f>Base[[#This Row],['[SC']'[Dépendance']Gains]]-Base[[#This Row],['[SC']'[Dépendance']Coûts]]</f>
        <v>0</v>
      </c>
      <c r="BD664" s="4">
        <f>IF(Base[[#This Row],[Pathologie]]&lt;&gt;"Mort prématurée",0,Base[[#This Row],[Risque]]*Base[[#This Row],[Prévalence]]*Base[[#This Row],[Population_totale]])</f>
        <v>34962.473416801695</v>
      </c>
      <c r="BE664" s="4">
        <v>52.74</v>
      </c>
      <c r="BF664" s="4">
        <f>Base[[#This Row],['[SC']Âge_moyen_retraite]]-Base[[#This Row],['[SC']'[Mort_prématurée']Âge_moyen_mort précoce]]</f>
        <v>10.159999999999997</v>
      </c>
      <c r="BG664" s="4">
        <f>Base[[#This Row],[Espérance_vie]]+Base[[#This Row],['[SC']Hausse_esp_de_vie]]-Base[[#This Row],['[SC']Âge_moyen_retraite]]</f>
        <v>20.404874790994718</v>
      </c>
      <c r="BH664" s="4">
        <v>106583.42676924677</v>
      </c>
      <c r="BI664" s="4">
        <v>97601.789429271477</v>
      </c>
      <c r="BJ664" s="4">
        <v>302038.31496633729</v>
      </c>
      <c r="BK664" s="4">
        <v>117293.58934859755</v>
      </c>
      <c r="BL664" s="4">
        <v>1523999.9999999995</v>
      </c>
      <c r="BM66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2456496574.9573283</v>
      </c>
      <c r="BN664" s="4">
        <v>294804.96027377353</v>
      </c>
      <c r="BO66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337220769.17356968</v>
      </c>
      <c r="BP664" s="4">
        <f>(Base[[#This Row],['[SC']'[Mort_prématurée']Gains]]-Base[[#This Row],['[SC']'[Mort_prématurée']Coûts]])/Base[[#This Row],[Population_totale]]</f>
        <v>31.333953136298806</v>
      </c>
      <c r="BQ664" s="4">
        <f>IF(Base[[#This Row],[Pathologie]]&lt;&gt;"Mort prématurée",0,Base[[#This Row],[Risque]])</f>
        <v>0.28936709012503803</v>
      </c>
      <c r="BR664" s="4">
        <v>2680</v>
      </c>
      <c r="BS66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1.169177355832045E-2</v>
      </c>
      <c r="BT66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4" s="4">
        <f>Base[[#This Row],[Prévalence_prod]]*(1-Base[[#This Row],[Risque]])*Base[[#This Row],[Durée_arrêt]]*Base[[#This Row],[Population_emploi]]</f>
        <v>0</v>
      </c>
      <c r="BV664" s="4">
        <f>Base[[#This Row],['[Prod']'[Absentéisme']Total_jours_absence_avant]]-Base[[#This Row],['[Prod']'[Absentéisme']Total_jours_absence_après]]</f>
        <v>0</v>
      </c>
      <c r="BW664" s="4">
        <f>IF(AND(Base[[#This Row],[Pathologie]]&lt;&gt;"Dépendance",Base[[#This Row],[Pathologie]]&lt;&gt;"Mort prématurée",Base[[#This Row],[Pathologie]]&lt;&gt;"Migraine"),0.0619,0)</f>
        <v>0</v>
      </c>
      <c r="BX664" s="4">
        <v>254</v>
      </c>
      <c r="BY66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4" s="4">
        <f>Base[[#This Row],[Prévalence_prod]]*Base[[#This Row],[Présentéisme]]*Base[[#This Row],['[Prod']Jours_ouvrés]]</f>
        <v>0</v>
      </c>
      <c r="CB664" s="4">
        <f>Base[[#This Row],[Prévalence_prod]]*(1-Base[[#This Row],[Risque]])*Base[[#This Row],[Présentéisme]]*Base[[#This Row],['[Prod']Jours_ouvrés]]</f>
        <v>0</v>
      </c>
      <c r="CC664" s="4">
        <f>Base[[#This Row],['[Prod']'[Présentéisme']Jours_avant]]-Base[[#This Row],['[Prod']'[Présentéisme']Jours_après]]</f>
        <v>0</v>
      </c>
      <c r="CD664" s="4">
        <f>Base[[#This Row],['[Prod']'[Présentéisme']Jours_gagnés]]/Base[[#This Row],['[Prod']Jours_ouvrés]]</f>
        <v>0</v>
      </c>
      <c r="CE664">
        <v>9.3428413505841454E-2</v>
      </c>
      <c r="CF664">
        <v>2.1038737314955848E-2</v>
      </c>
      <c r="CG664" s="4">
        <v>11</v>
      </c>
      <c r="CH664" s="4">
        <v>0.85076983926913452</v>
      </c>
      <c r="CI664" s="4">
        <v>0</v>
      </c>
      <c r="CJ664" s="4">
        <f>IF(Base[[#This Row],[Secteur]]&lt;&gt;"Moyenne",Base[[#This Row],['[Prod']'[Turnover']DMC_initiale]]*(1+Base[[#This Row],['[Prod']'[Turnover']Ecart_accidents]]*Base[[#This Row],['[Prod']Impact_motifs_turnover]]),CJ647*CI647+CJ648*CI648+CJ649*CI649+CJ650*CI650+CJ651*CI651+CJ652*CI652+CJ653*CI653+CJ654*CI654+CJ655*CI655+CJ656*CI656+CJ657*CI657+CJ658*CI658+CJ659*CI659+CJ660*CI660+CJ661*CI661+CJ662*CI662+CJ663*CI663)</f>
        <v>11.196890354802576</v>
      </c>
      <c r="CK664" s="4">
        <f>1/Base[[#This Row],['[Prod']'[Turnover']DMC_initiale]]</f>
        <v>9.0909090909090912E-2</v>
      </c>
      <c r="CL664" s="4">
        <f>1/Base[[#This Row],['[Prod']'[Turnover']DMC_finale]]</f>
        <v>8.9310511071592255E-2</v>
      </c>
    </row>
    <row r="665" spans="2:90" x14ac:dyDescent="0.25">
      <c r="B665" s="4" t="s">
        <v>315</v>
      </c>
      <c r="C665">
        <v>30</v>
      </c>
      <c r="D665" t="s">
        <v>85</v>
      </c>
      <c r="E665" t="s">
        <v>97</v>
      </c>
      <c r="F665" s="3">
        <v>0.41908337190522699</v>
      </c>
      <c r="G665" s="3">
        <v>0.2</v>
      </c>
      <c r="H665" s="3">
        <v>0.2</v>
      </c>
      <c r="I665" s="3">
        <v>0.127</v>
      </c>
      <c r="J665" s="3">
        <v>0</v>
      </c>
      <c r="K665" s="3">
        <v>7.0000000000000007E-2</v>
      </c>
      <c r="L665" s="2">
        <f>Base[[#This Row],[Coût]]*Base[[#This Row],[Part_ménages_dépenses_santé]]</f>
        <v>0</v>
      </c>
      <c r="M665" s="2">
        <v>0</v>
      </c>
      <c r="N665" s="6">
        <v>27700000</v>
      </c>
      <c r="O665" s="7">
        <f>Base[[#This Row],[Coût_salarié]]*10^9*Base[[#This Row],[Risque]]*Base[[#This Row],[Prévalence]]*Base[[#This Row],[Part_coûts_salarié]]/Base[[#This Row],[Population_emploi]]</f>
        <v>0</v>
      </c>
      <c r="P665">
        <v>50</v>
      </c>
      <c r="Q665">
        <v>50</v>
      </c>
      <c r="R665" s="2">
        <v>9.9999999999999978E-2</v>
      </c>
      <c r="S665" s="2">
        <v>0.33340000000000003</v>
      </c>
      <c r="T665" s="4">
        <v>0</v>
      </c>
      <c r="U665" s="4">
        <f>IF(Bases_annexes!$F$5=0,16.6587111018772,0.77*Bases_annexes!$F$5/(IF(OR(ISBLANK('Données_d''entrée'!$E$44),'Données_d''entrée'!$E$44=0),35,'Données_d''entrée'!$E$44)*52))</f>
        <v>16.658711101877199</v>
      </c>
      <c r="V665" s="4">
        <v>0</v>
      </c>
      <c r="W66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5" s="4">
        <v>234.5</v>
      </c>
      <c r="Y665" s="4">
        <f>(Base[[#This Row],['[Maladies']Coûts_évités_par_salarié]]+Base[[#This Row],['[Travail']Coûts_évités_par_salarié]])/Base[[#This Row],[Budget_santé_salarié]]</f>
        <v>0</v>
      </c>
      <c r="Z665" s="4">
        <v>0.8</v>
      </c>
      <c r="AA665" s="4">
        <f>Base[[#This Row],[Coût]]*Base[[#This Row],[Part_société_dépenses_santé]]</f>
        <v>0</v>
      </c>
      <c r="AB665" s="4">
        <v>67635124</v>
      </c>
      <c r="AC665" s="4">
        <v>82.297079063317852</v>
      </c>
      <c r="AD665" s="4">
        <v>0</v>
      </c>
      <c r="AE665" s="4">
        <f>Base[[#This Row],['[SC']Prévalence_travail]]*Base[[#This Row],[Population_emploi]]</f>
        <v>0</v>
      </c>
      <c r="AF665" s="4">
        <f>Base[[#This Row],[Risque]]*Base[[#This Row],['[SC']Patients_en_emploi]]</f>
        <v>0</v>
      </c>
      <c r="AG665" s="4">
        <v>0</v>
      </c>
      <c r="AH665" s="4">
        <f>IFERROR(Base[[#This Row],['[SC']Prestations]]/Base[[#This Row],['[SC']Patients_en_emploi]],0)</f>
        <v>0</v>
      </c>
      <c r="AI665" s="4">
        <v>51.7</v>
      </c>
      <c r="AJ66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5" s="4">
        <f>Base[[#This Row],['[SC']'[Travail']Coûts_évités]]/Base[[#This Row],[Population_emploi]]</f>
        <v>0</v>
      </c>
      <c r="AL665" s="4">
        <f>Base[[#This Row],[Coût_société]]*10^9*Base[[#This Row],[Risque]]*Base[[#This Row],[Prévalence]]*Base[[#This Row],[Part_coûts_salarié]]/Base[[#This Row],[Population_emploi]]</f>
        <v>0</v>
      </c>
      <c r="AM665" s="4">
        <f>IF(Base[[#This Row],[Pathologie]]&lt;&gt;"Dépendance",0,14909.24243952)</f>
        <v>0</v>
      </c>
      <c r="AN665" s="4">
        <f>IF(Base[[#This Row],[Pathologie]]&lt;&gt;"Dépendance",0,1316000)</f>
        <v>0</v>
      </c>
      <c r="AO665" s="4">
        <f>IF(Base[[#This Row],[Pathologie]]&lt;&gt;"Dépendance",0,Base[[#This Row],['[SC']Coût_personne_dépendante]]*Base[[#This Row],['[SC']Nb_personnes_dépendantes]])</f>
        <v>0</v>
      </c>
      <c r="AP665" s="4">
        <f>IF(Base[[#This Row],[Pathologie]]&lt;&gt;"Dépendance",0,Base[[#This Row],['[SC']Coût_total_dépendance]]/Base[[#This Row],[Population_totale]])</f>
        <v>0</v>
      </c>
      <c r="AQ665" s="4">
        <f>IF(Base[[#This Row],[Pathologie]]&lt;&gt;"Dépendance",0,4.5)</f>
        <v>0</v>
      </c>
      <c r="AR665" s="4">
        <v>1.0077957276768601</v>
      </c>
      <c r="AS665" s="4">
        <f>Base[[#This Row],[Espérance_vie]]+Base[[#This Row],['[SC']Hausse_esp_de_vie]]-Base[[#This Row],['[SC']Durée_moyenne_dépendance_avt]]+Base[[#This Row],[Risque]]</f>
        <v>83.723958162899947</v>
      </c>
      <c r="AT66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5" s="4">
        <v>62.9</v>
      </c>
      <c r="AW665" s="4">
        <f>336905600000</f>
        <v>336905600000</v>
      </c>
      <c r="AX665" s="4">
        <v>15049171</v>
      </c>
      <c r="AY665" s="4">
        <f>Base[[#This Row],['[SC']Budget_total_retraites]]/Base[[#This Row],['[SC']Nombre_de_retraités]]</f>
        <v>22386.987296509556</v>
      </c>
      <c r="AZ665" s="4">
        <f>Base[[#This Row],['[SC']Budget_par_retraité]]*Base[[#This Row],['[SC']Nb_personnes_dépendantes]]</f>
        <v>0</v>
      </c>
      <c r="BA665" s="4">
        <f>Base[[#This Row],['[SC']'[Dépendance']Coût_retraite_personnes_dépendantes]]/Base[[#This Row],[Population_totale]]</f>
        <v>0</v>
      </c>
      <c r="BB66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5" s="4">
        <f>Base[[#This Row],['[SC']'[Dépendance']Gains]]-Base[[#This Row],['[SC']'[Dépendance']Coûts]]</f>
        <v>0</v>
      </c>
      <c r="BD665" s="4">
        <f>IF(Base[[#This Row],[Pathologie]]&lt;&gt;"Mort prématurée",0,Base[[#This Row],[Risque]]*Base[[#This Row],[Prévalence]]*Base[[#This Row],[Population_totale]])</f>
        <v>0</v>
      </c>
      <c r="BE665" s="4">
        <v>52.74</v>
      </c>
      <c r="BF665" s="4">
        <f>Base[[#This Row],['[SC']Âge_moyen_retraite]]-Base[[#This Row],['[SC']'[Mort_prématurée']Âge_moyen_mort précoce]]</f>
        <v>10.159999999999997</v>
      </c>
      <c r="BG665" s="4">
        <f>Base[[#This Row],[Espérance_vie]]+Base[[#This Row],['[SC']Hausse_esp_de_vie]]-Base[[#This Row],['[SC']Âge_moyen_retraite]]</f>
        <v>20.404874790994718</v>
      </c>
      <c r="BH665" s="4">
        <v>106583.42676924677</v>
      </c>
      <c r="BI665" s="4">
        <v>97601.789429271477</v>
      </c>
      <c r="BJ665" s="4">
        <v>302038.31496633729</v>
      </c>
      <c r="BK665" s="4">
        <v>117293.58934859755</v>
      </c>
      <c r="BL665" s="4">
        <v>1523999.9999999995</v>
      </c>
      <c r="BM66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5" s="4">
        <v>294804.96027377353</v>
      </c>
      <c r="BO66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5" s="4">
        <f>(Base[[#This Row],['[SC']'[Mort_prématurée']Gains]]-Base[[#This Row],['[SC']'[Mort_prématurée']Coûts]])/Base[[#This Row],[Population_totale]]</f>
        <v>0</v>
      </c>
      <c r="BQ665" s="4">
        <f>IF(Base[[#This Row],[Pathologie]]&lt;&gt;"Mort prématurée",0,Base[[#This Row],[Risque]])</f>
        <v>0</v>
      </c>
      <c r="BR665" s="4">
        <v>2680</v>
      </c>
      <c r="BS66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6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5" s="4">
        <f>Base[[#This Row],[Prévalence_prod]]*(1-Base[[#This Row],[Risque]])*Base[[#This Row],[Durée_arrêt]]*Base[[#This Row],[Population_emploi]]</f>
        <v>0</v>
      </c>
      <c r="BV665" s="4">
        <f>Base[[#This Row],['[Prod']'[Absentéisme']Total_jours_absence_avant]]-Base[[#This Row],['[Prod']'[Absentéisme']Total_jours_absence_après]]</f>
        <v>0</v>
      </c>
      <c r="BW665" s="4">
        <f>IF(AND(Base[[#This Row],[Pathologie]]&lt;&gt;"Dépendance",Base[[#This Row],[Pathologie]]&lt;&gt;"Mort prématurée",Base[[#This Row],[Pathologie]]&lt;&gt;"Migraine"),0.0619,0)</f>
        <v>0</v>
      </c>
      <c r="BX665" s="4">
        <v>254</v>
      </c>
      <c r="BY66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5" s="4">
        <f>Base[[#This Row],[Prévalence_prod]]*Base[[#This Row],[Présentéisme]]*Base[[#This Row],['[Prod']Jours_ouvrés]]</f>
        <v>6.4516000000000009</v>
      </c>
      <c r="CB665" s="4">
        <f>Base[[#This Row],[Prévalence_prod]]*(1-Base[[#This Row],[Risque]])*Base[[#This Row],[Présentéisme]]*Base[[#This Row],['[Prod']Jours_ouvrés]]</f>
        <v>3.7478417178162382</v>
      </c>
      <c r="CC665" s="4">
        <f>Base[[#This Row],['[Prod']'[Présentéisme']Jours_avant]]-Base[[#This Row],['[Prod']'[Présentéisme']Jours_après]]</f>
        <v>2.7037582821837627</v>
      </c>
      <c r="CD665" s="4">
        <f>Base[[#This Row],['[Prod']'[Présentéisme']Jours_gagnés]]/Base[[#This Row],['[Prod']Jours_ouvrés]]</f>
        <v>1.0644717646392767E-2</v>
      </c>
      <c r="CE665">
        <v>9.3428413505841454E-2</v>
      </c>
      <c r="CF665">
        <v>2.1038737314955848E-2</v>
      </c>
      <c r="CG665" s="4">
        <v>11</v>
      </c>
      <c r="CH665" s="4">
        <v>1.3966184516047948</v>
      </c>
      <c r="CI665" s="4">
        <v>1.4392894727292521E-2</v>
      </c>
      <c r="CJ665" s="4">
        <f>IF(Base[[#This Row],[Secteur]]&lt;&gt;"Moyenne",Base[[#This Row],['[Prod']'[Turnover']DMC_initiale]]*(1+Base[[#This Row],['[Prod']'[Turnover']Ecart_accidents]]*Base[[#This Row],['[Prod']Impact_motifs_turnover]]),CJ648*CI648+CJ649*CI649+CJ650*CI650+CJ651*CI651+CJ652*CI652+CJ653*CI653+CJ654*CI654+CJ655*CI655+CJ656*CI656+CJ657*CI657+CJ658*CI658+CJ659*CI659+CJ660*CI660+CJ661*CI661+CJ662*CI662+CJ663*CI663+CJ664*CI664)</f>
        <v>11.32321397605787</v>
      </c>
      <c r="CK665" s="4">
        <f>1/Base[[#This Row],['[Prod']'[Turnover']DMC_initiale]]</f>
        <v>9.0909090909090912E-2</v>
      </c>
      <c r="CL665" s="4">
        <f>1/Base[[#This Row],['[Prod']'[Turnover']DMC_finale]]</f>
        <v>8.8314148448879345E-2</v>
      </c>
    </row>
    <row r="666" spans="2:90" x14ac:dyDescent="0.25">
      <c r="B666" s="4" t="s">
        <v>316</v>
      </c>
      <c r="C666">
        <v>30</v>
      </c>
      <c r="D666" t="s">
        <v>85</v>
      </c>
      <c r="E666" t="s">
        <v>97</v>
      </c>
      <c r="F666" s="3">
        <v>0.41908337190522699</v>
      </c>
      <c r="G666" s="3">
        <v>0.2</v>
      </c>
      <c r="H666" s="3">
        <v>0.2</v>
      </c>
      <c r="I666" s="3">
        <v>0.127</v>
      </c>
      <c r="J666" s="3">
        <v>0</v>
      </c>
      <c r="K666" s="3">
        <v>7.0000000000000007E-2</v>
      </c>
      <c r="L666" s="2">
        <f>Base[[#This Row],[Coût]]*Base[[#This Row],[Part_ménages_dépenses_santé]]</f>
        <v>0</v>
      </c>
      <c r="M666" s="2">
        <v>0</v>
      </c>
      <c r="N666" s="6">
        <v>27700000</v>
      </c>
      <c r="O666" s="7">
        <f>Base[[#This Row],[Coût_salarié]]*10^9*Base[[#This Row],[Risque]]*Base[[#This Row],[Prévalence]]*Base[[#This Row],[Part_coûts_salarié]]/Base[[#This Row],[Population_emploi]]</f>
        <v>0</v>
      </c>
      <c r="P666">
        <v>50</v>
      </c>
      <c r="Q666">
        <v>50</v>
      </c>
      <c r="R666" s="2">
        <v>9.9999999999999978E-2</v>
      </c>
      <c r="S666" s="2">
        <v>0.33340000000000003</v>
      </c>
      <c r="T666" s="4">
        <v>0</v>
      </c>
      <c r="U666" s="4">
        <f>IF(Bases_annexes!$F$5=0,16.6587111018772,0.77*Bases_annexes!$F$5/(IF(OR(ISBLANK('Données_d''entrée'!$E$44),'Données_d''entrée'!$E$44=0),35,'Données_d''entrée'!$E$44)*52))</f>
        <v>16.658711101877199</v>
      </c>
      <c r="V666" s="4">
        <v>0</v>
      </c>
      <c r="W66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6" s="4">
        <v>234.5</v>
      </c>
      <c r="Y666" s="4">
        <f>(Base[[#This Row],['[Maladies']Coûts_évités_par_salarié]]+Base[[#This Row],['[Travail']Coûts_évités_par_salarié]])/Base[[#This Row],[Budget_santé_salarié]]</f>
        <v>0</v>
      </c>
      <c r="Z666" s="4">
        <v>0.8</v>
      </c>
      <c r="AA666" s="4">
        <f>Base[[#This Row],[Coût]]*Base[[#This Row],[Part_société_dépenses_santé]]</f>
        <v>0</v>
      </c>
      <c r="AB666" s="4">
        <v>67635124</v>
      </c>
      <c r="AC666" s="4">
        <v>82.297079063317852</v>
      </c>
      <c r="AD666" s="4">
        <v>0</v>
      </c>
      <c r="AE666" s="4">
        <f>Base[[#This Row],['[SC']Prévalence_travail]]*Base[[#This Row],[Population_emploi]]</f>
        <v>0</v>
      </c>
      <c r="AF666" s="4">
        <f>Base[[#This Row],[Risque]]*Base[[#This Row],['[SC']Patients_en_emploi]]</f>
        <v>0</v>
      </c>
      <c r="AG666" s="4">
        <v>0</v>
      </c>
      <c r="AH666" s="4">
        <f>IFERROR(Base[[#This Row],['[SC']Prestations]]/Base[[#This Row],['[SC']Patients_en_emploi]],0)</f>
        <v>0</v>
      </c>
      <c r="AI666" s="4">
        <v>51.7</v>
      </c>
      <c r="AJ66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6" s="4">
        <f>Base[[#This Row],['[SC']'[Travail']Coûts_évités]]/Base[[#This Row],[Population_emploi]]</f>
        <v>0</v>
      </c>
      <c r="AL666" s="4">
        <f>Base[[#This Row],[Coût_société]]*10^9*Base[[#This Row],[Risque]]*Base[[#This Row],[Prévalence]]*Base[[#This Row],[Part_coûts_salarié]]/Base[[#This Row],[Population_emploi]]</f>
        <v>0</v>
      </c>
      <c r="AM666" s="4">
        <f>IF(Base[[#This Row],[Pathologie]]&lt;&gt;"Dépendance",0,14909.24243952)</f>
        <v>0</v>
      </c>
      <c r="AN666" s="4">
        <f>IF(Base[[#This Row],[Pathologie]]&lt;&gt;"Dépendance",0,1316000)</f>
        <v>0</v>
      </c>
      <c r="AO666" s="4">
        <f>IF(Base[[#This Row],[Pathologie]]&lt;&gt;"Dépendance",0,Base[[#This Row],['[SC']Coût_personne_dépendante]]*Base[[#This Row],['[SC']Nb_personnes_dépendantes]])</f>
        <v>0</v>
      </c>
      <c r="AP666" s="4">
        <f>IF(Base[[#This Row],[Pathologie]]&lt;&gt;"Dépendance",0,Base[[#This Row],['[SC']Coût_total_dépendance]]/Base[[#This Row],[Population_totale]])</f>
        <v>0</v>
      </c>
      <c r="AQ666" s="4">
        <f>IF(Base[[#This Row],[Pathologie]]&lt;&gt;"Dépendance",0,4.5)</f>
        <v>0</v>
      </c>
      <c r="AR666" s="4">
        <v>1.0077957276768601</v>
      </c>
      <c r="AS666" s="4">
        <f>Base[[#This Row],[Espérance_vie]]+Base[[#This Row],['[SC']Hausse_esp_de_vie]]-Base[[#This Row],['[SC']Durée_moyenne_dépendance_avt]]+Base[[#This Row],[Risque]]</f>
        <v>83.723958162899947</v>
      </c>
      <c r="AT66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6" s="4">
        <v>62.9</v>
      </c>
      <c r="AW666" s="4">
        <f t="shared" ref="AW666:AW682" si="23">336905600000</f>
        <v>336905600000</v>
      </c>
      <c r="AX666" s="4">
        <v>15049171</v>
      </c>
      <c r="AY666" s="4">
        <f>Base[[#This Row],['[SC']Budget_total_retraites]]/Base[[#This Row],['[SC']Nombre_de_retraités]]</f>
        <v>22386.987296509556</v>
      </c>
      <c r="AZ666" s="4">
        <f>Base[[#This Row],['[SC']Budget_par_retraité]]*Base[[#This Row],['[SC']Nb_personnes_dépendantes]]</f>
        <v>0</v>
      </c>
      <c r="BA666" s="4">
        <f>Base[[#This Row],['[SC']'[Dépendance']Coût_retraite_personnes_dépendantes]]/Base[[#This Row],[Population_totale]]</f>
        <v>0</v>
      </c>
      <c r="BB66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6" s="4">
        <f>Base[[#This Row],['[SC']'[Dépendance']Gains]]-Base[[#This Row],['[SC']'[Dépendance']Coûts]]</f>
        <v>0</v>
      </c>
      <c r="BD666" s="4">
        <f>IF(Base[[#This Row],[Pathologie]]&lt;&gt;"Mort prématurée",0,Base[[#This Row],[Risque]]*Base[[#This Row],[Prévalence]]*Base[[#This Row],[Population_totale]])</f>
        <v>0</v>
      </c>
      <c r="BE666" s="4">
        <v>52.74</v>
      </c>
      <c r="BF666" s="4">
        <f>Base[[#This Row],['[SC']Âge_moyen_retraite]]-Base[[#This Row],['[SC']'[Mort_prématurée']Âge_moyen_mort précoce]]</f>
        <v>10.159999999999997</v>
      </c>
      <c r="BG666" s="4">
        <f>Base[[#This Row],[Espérance_vie]]+Base[[#This Row],['[SC']Hausse_esp_de_vie]]-Base[[#This Row],['[SC']Âge_moyen_retraite]]</f>
        <v>20.404874790994718</v>
      </c>
      <c r="BH666" s="4">
        <v>106583.42676924677</v>
      </c>
      <c r="BI666" s="4">
        <v>97601.789429271477</v>
      </c>
      <c r="BJ666" s="4">
        <v>302038.31496633729</v>
      </c>
      <c r="BK666" s="4">
        <v>117293.58934859755</v>
      </c>
      <c r="BL666" s="4">
        <v>1523999.9999999995</v>
      </c>
      <c r="BM66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6" s="4">
        <v>294804.96027377353</v>
      </c>
      <c r="BO66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6" s="4">
        <f>(Base[[#This Row],['[SC']'[Mort_prématurée']Gains]]-Base[[#This Row],['[SC']'[Mort_prématurée']Coûts]])/Base[[#This Row],[Population_totale]]</f>
        <v>0</v>
      </c>
      <c r="BQ666" s="4">
        <f>IF(Base[[#This Row],[Pathologie]]&lt;&gt;"Mort prématurée",0,Base[[#This Row],[Risque]])</f>
        <v>0</v>
      </c>
      <c r="BR666" s="4">
        <v>2680</v>
      </c>
      <c r="BS66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6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6" s="4">
        <f>Base[[#This Row],[Prévalence_prod]]*(1-Base[[#This Row],[Risque]])*Base[[#This Row],[Durée_arrêt]]*Base[[#This Row],[Population_emploi]]</f>
        <v>0</v>
      </c>
      <c r="BV666" s="4">
        <f>Base[[#This Row],['[Prod']'[Absentéisme']Total_jours_absence_avant]]-Base[[#This Row],['[Prod']'[Absentéisme']Total_jours_absence_après]]</f>
        <v>0</v>
      </c>
      <c r="BW666" s="4">
        <f>IF(AND(Base[[#This Row],[Pathologie]]&lt;&gt;"Dépendance",Base[[#This Row],[Pathologie]]&lt;&gt;"Mort prématurée",Base[[#This Row],[Pathologie]]&lt;&gt;"Migraine"),0.0619,0)</f>
        <v>0</v>
      </c>
      <c r="BX666" s="4">
        <v>254</v>
      </c>
      <c r="BY66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6" s="4">
        <f>Base[[#This Row],[Prévalence_prod]]*Base[[#This Row],[Présentéisme]]*Base[[#This Row],['[Prod']Jours_ouvrés]]</f>
        <v>6.4516000000000009</v>
      </c>
      <c r="CB666" s="4">
        <f>Base[[#This Row],[Prévalence_prod]]*(1-Base[[#This Row],[Risque]])*Base[[#This Row],[Présentéisme]]*Base[[#This Row],['[Prod']Jours_ouvrés]]</f>
        <v>3.7478417178162382</v>
      </c>
      <c r="CC666" s="4">
        <f>Base[[#This Row],['[Prod']'[Présentéisme']Jours_avant]]-Base[[#This Row],['[Prod']'[Présentéisme']Jours_après]]</f>
        <v>2.7037582821837627</v>
      </c>
      <c r="CD666" s="4">
        <f>Base[[#This Row],['[Prod']'[Présentéisme']Jours_gagnés]]/Base[[#This Row],['[Prod']Jours_ouvrés]]</f>
        <v>1.0644717646392767E-2</v>
      </c>
      <c r="CE666">
        <v>9.3428413505841454E-2</v>
      </c>
      <c r="CF666">
        <v>2.1038737314955848E-2</v>
      </c>
      <c r="CG666" s="4">
        <v>11</v>
      </c>
      <c r="CH666" s="4">
        <v>0.68054183762612652</v>
      </c>
      <c r="CI666" s="4">
        <v>1.2135452577082654E-2</v>
      </c>
      <c r="CJ666" s="4">
        <f>IF(Base[[#This Row],[Secteur]]&lt;&gt;"Moyenne",Base[[#This Row],['[Prod']'[Turnover']DMC_initiale]]*(1+Base[[#This Row],['[Prod']'[Turnover']Ecart_accidents]]*Base[[#This Row],['[Prod']Impact_motifs_turnover]]),CJ649*CI649+CJ650*CI650+CJ651*CI651+CJ652*CI652+CJ653*CI653+CJ654*CI654+CJ655*CI655+CJ656*CI656+CJ657*CI657+CJ658*CI658+CJ659*CI659+CJ660*CI660+CJ661*CI661+CJ662*CI662+CJ663*CI663+CJ664*CI664+CJ665*CI665)</f>
        <v>11.157495150490188</v>
      </c>
      <c r="CK666" s="4">
        <f>1/Base[[#This Row],['[Prod']'[Turnover']DMC_initiale]]</f>
        <v>9.0909090909090912E-2</v>
      </c>
      <c r="CL666" s="4">
        <f>1/Base[[#This Row],['[Prod']'[Turnover']DMC_finale]]</f>
        <v>8.9625851189015879E-2</v>
      </c>
    </row>
    <row r="667" spans="2:90" x14ac:dyDescent="0.25">
      <c r="B667" s="4" t="s">
        <v>317</v>
      </c>
      <c r="C667">
        <v>30</v>
      </c>
      <c r="D667" t="s">
        <v>85</v>
      </c>
      <c r="E667" t="s">
        <v>97</v>
      </c>
      <c r="F667" s="3">
        <v>0.41908337190522699</v>
      </c>
      <c r="G667" s="3">
        <v>0.2</v>
      </c>
      <c r="H667" s="3">
        <v>0.2</v>
      </c>
      <c r="I667" s="3">
        <v>0.127</v>
      </c>
      <c r="J667" s="3">
        <v>0</v>
      </c>
      <c r="K667" s="3">
        <v>7.0000000000000007E-2</v>
      </c>
      <c r="L667" s="2">
        <f>Base[[#This Row],[Coût]]*Base[[#This Row],[Part_ménages_dépenses_santé]]</f>
        <v>0</v>
      </c>
      <c r="M667" s="2">
        <v>0</v>
      </c>
      <c r="N667" s="6">
        <v>27700000</v>
      </c>
      <c r="O667" s="7">
        <f>Base[[#This Row],[Coût_salarié]]*10^9*Base[[#This Row],[Risque]]*Base[[#This Row],[Prévalence]]*Base[[#This Row],[Part_coûts_salarié]]/Base[[#This Row],[Population_emploi]]</f>
        <v>0</v>
      </c>
      <c r="P667">
        <v>50</v>
      </c>
      <c r="Q667">
        <v>50</v>
      </c>
      <c r="R667" s="2">
        <v>9.9999999999999978E-2</v>
      </c>
      <c r="S667" s="2">
        <v>0.33340000000000003</v>
      </c>
      <c r="T667" s="4">
        <v>0</v>
      </c>
      <c r="U667" s="4">
        <f>IF(Bases_annexes!$F$5=0,16.6587111018772,0.77*Bases_annexes!$F$5/(IF(OR(ISBLANK('Données_d''entrée'!$E$44),'Données_d''entrée'!$E$44=0),35,'Données_d''entrée'!$E$44)*52))</f>
        <v>16.658711101877199</v>
      </c>
      <c r="V667" s="4">
        <v>0</v>
      </c>
      <c r="W66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7" s="4">
        <v>234.5</v>
      </c>
      <c r="Y667" s="4">
        <f>(Base[[#This Row],['[Maladies']Coûts_évités_par_salarié]]+Base[[#This Row],['[Travail']Coûts_évités_par_salarié]])/Base[[#This Row],[Budget_santé_salarié]]</f>
        <v>0</v>
      </c>
      <c r="Z667" s="4">
        <v>0.8</v>
      </c>
      <c r="AA667" s="4">
        <f>Base[[#This Row],[Coût]]*Base[[#This Row],[Part_société_dépenses_santé]]</f>
        <v>0</v>
      </c>
      <c r="AB667" s="4">
        <v>67635124</v>
      </c>
      <c r="AC667" s="4">
        <v>82.297079063317852</v>
      </c>
      <c r="AD667" s="4">
        <v>0</v>
      </c>
      <c r="AE667" s="4">
        <f>Base[[#This Row],['[SC']Prévalence_travail]]*Base[[#This Row],[Population_emploi]]</f>
        <v>0</v>
      </c>
      <c r="AF667" s="4">
        <f>Base[[#This Row],[Risque]]*Base[[#This Row],['[SC']Patients_en_emploi]]</f>
        <v>0</v>
      </c>
      <c r="AG667" s="4">
        <v>0</v>
      </c>
      <c r="AH667" s="4">
        <f>IFERROR(Base[[#This Row],['[SC']Prestations]]/Base[[#This Row],['[SC']Patients_en_emploi]],0)</f>
        <v>0</v>
      </c>
      <c r="AI667" s="4">
        <v>51.7</v>
      </c>
      <c r="AJ66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7" s="4">
        <f>Base[[#This Row],['[SC']'[Travail']Coûts_évités]]/Base[[#This Row],[Population_emploi]]</f>
        <v>0</v>
      </c>
      <c r="AL667" s="4">
        <f>Base[[#This Row],[Coût_société]]*10^9*Base[[#This Row],[Risque]]*Base[[#This Row],[Prévalence]]*Base[[#This Row],[Part_coûts_salarié]]/Base[[#This Row],[Population_emploi]]</f>
        <v>0</v>
      </c>
      <c r="AM667" s="4">
        <f>IF(Base[[#This Row],[Pathologie]]&lt;&gt;"Dépendance",0,14909.24243952)</f>
        <v>0</v>
      </c>
      <c r="AN667" s="4">
        <f>IF(Base[[#This Row],[Pathologie]]&lt;&gt;"Dépendance",0,1316000)</f>
        <v>0</v>
      </c>
      <c r="AO667" s="4">
        <f>IF(Base[[#This Row],[Pathologie]]&lt;&gt;"Dépendance",0,Base[[#This Row],['[SC']Coût_personne_dépendante]]*Base[[#This Row],['[SC']Nb_personnes_dépendantes]])</f>
        <v>0</v>
      </c>
      <c r="AP667" s="4">
        <f>IF(Base[[#This Row],[Pathologie]]&lt;&gt;"Dépendance",0,Base[[#This Row],['[SC']Coût_total_dépendance]]/Base[[#This Row],[Population_totale]])</f>
        <v>0</v>
      </c>
      <c r="AQ667" s="4">
        <f>IF(Base[[#This Row],[Pathologie]]&lt;&gt;"Dépendance",0,4.5)</f>
        <v>0</v>
      </c>
      <c r="AR667" s="4">
        <v>1.0077957276768601</v>
      </c>
      <c r="AS667" s="4">
        <f>Base[[#This Row],[Espérance_vie]]+Base[[#This Row],['[SC']Hausse_esp_de_vie]]-Base[[#This Row],['[SC']Durée_moyenne_dépendance_avt]]+Base[[#This Row],[Risque]]</f>
        <v>83.723958162899947</v>
      </c>
      <c r="AT66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7" s="4">
        <v>62.9</v>
      </c>
      <c r="AW667" s="4">
        <f t="shared" si="23"/>
        <v>336905600000</v>
      </c>
      <c r="AX667" s="4">
        <v>15049171</v>
      </c>
      <c r="AY667" s="4">
        <f>Base[[#This Row],['[SC']Budget_total_retraites]]/Base[[#This Row],['[SC']Nombre_de_retraités]]</f>
        <v>22386.987296509556</v>
      </c>
      <c r="AZ667" s="4">
        <f>Base[[#This Row],['[SC']Budget_par_retraité]]*Base[[#This Row],['[SC']Nb_personnes_dépendantes]]</f>
        <v>0</v>
      </c>
      <c r="BA667" s="4">
        <f>Base[[#This Row],['[SC']'[Dépendance']Coût_retraite_personnes_dépendantes]]/Base[[#This Row],[Population_totale]]</f>
        <v>0</v>
      </c>
      <c r="BB66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7" s="4">
        <f>Base[[#This Row],['[SC']'[Dépendance']Gains]]-Base[[#This Row],['[SC']'[Dépendance']Coûts]]</f>
        <v>0</v>
      </c>
      <c r="BD667" s="4">
        <f>IF(Base[[#This Row],[Pathologie]]&lt;&gt;"Mort prématurée",0,Base[[#This Row],[Risque]]*Base[[#This Row],[Prévalence]]*Base[[#This Row],[Population_totale]])</f>
        <v>0</v>
      </c>
      <c r="BE667" s="4">
        <v>52.74</v>
      </c>
      <c r="BF667" s="4">
        <f>Base[[#This Row],['[SC']Âge_moyen_retraite]]-Base[[#This Row],['[SC']'[Mort_prématurée']Âge_moyen_mort précoce]]</f>
        <v>10.159999999999997</v>
      </c>
      <c r="BG667" s="4">
        <f>Base[[#This Row],[Espérance_vie]]+Base[[#This Row],['[SC']Hausse_esp_de_vie]]-Base[[#This Row],['[SC']Âge_moyen_retraite]]</f>
        <v>20.404874790994718</v>
      </c>
      <c r="BH667" s="4">
        <v>106583.42676924677</v>
      </c>
      <c r="BI667" s="4">
        <v>97601.789429271477</v>
      </c>
      <c r="BJ667" s="4">
        <v>302038.31496633729</v>
      </c>
      <c r="BK667" s="4">
        <v>117293.58934859755</v>
      </c>
      <c r="BL667" s="4">
        <v>1523999.9999999995</v>
      </c>
      <c r="BM66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7" s="4">
        <v>294804.96027377353</v>
      </c>
      <c r="BO66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7" s="4">
        <f>(Base[[#This Row],['[SC']'[Mort_prématurée']Gains]]-Base[[#This Row],['[SC']'[Mort_prématurée']Coûts]])/Base[[#This Row],[Population_totale]]</f>
        <v>0</v>
      </c>
      <c r="BQ667" s="4">
        <f>IF(Base[[#This Row],[Pathologie]]&lt;&gt;"Mort prématurée",0,Base[[#This Row],[Risque]])</f>
        <v>0</v>
      </c>
      <c r="BR667" s="4">
        <v>2680</v>
      </c>
      <c r="BS66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6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7" s="4">
        <f>Base[[#This Row],[Prévalence_prod]]*(1-Base[[#This Row],[Risque]])*Base[[#This Row],[Durée_arrêt]]*Base[[#This Row],[Population_emploi]]</f>
        <v>0</v>
      </c>
      <c r="BV667" s="4">
        <f>Base[[#This Row],['[Prod']'[Absentéisme']Total_jours_absence_avant]]-Base[[#This Row],['[Prod']'[Absentéisme']Total_jours_absence_après]]</f>
        <v>0</v>
      </c>
      <c r="BW667" s="4">
        <f>IF(AND(Base[[#This Row],[Pathologie]]&lt;&gt;"Dépendance",Base[[#This Row],[Pathologie]]&lt;&gt;"Mort prématurée",Base[[#This Row],[Pathologie]]&lt;&gt;"Migraine"),0.0619,0)</f>
        <v>0</v>
      </c>
      <c r="BX667" s="4">
        <v>254</v>
      </c>
      <c r="BY66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7" s="4">
        <f>Base[[#This Row],[Prévalence_prod]]*Base[[#This Row],[Présentéisme]]*Base[[#This Row],['[Prod']Jours_ouvrés]]</f>
        <v>6.4516000000000009</v>
      </c>
      <c r="CB667" s="4">
        <f>Base[[#This Row],[Prévalence_prod]]*(1-Base[[#This Row],[Risque]])*Base[[#This Row],[Présentéisme]]*Base[[#This Row],['[Prod']Jours_ouvrés]]</f>
        <v>3.7478417178162382</v>
      </c>
      <c r="CC667" s="4">
        <f>Base[[#This Row],['[Prod']'[Présentéisme']Jours_avant]]-Base[[#This Row],['[Prod']'[Présentéisme']Jours_après]]</f>
        <v>2.7037582821837627</v>
      </c>
      <c r="CD667" s="4">
        <f>Base[[#This Row],['[Prod']'[Présentéisme']Jours_gagnés]]/Base[[#This Row],['[Prod']Jours_ouvrés]]</f>
        <v>1.0644717646392767E-2</v>
      </c>
      <c r="CE667">
        <v>9.3428413505841454E-2</v>
      </c>
      <c r="CF667">
        <v>2.1038737314955848E-2</v>
      </c>
      <c r="CG667" s="4">
        <v>11</v>
      </c>
      <c r="CH667" s="4">
        <v>0.31563677172153043</v>
      </c>
      <c r="CI667" s="4">
        <v>1.3003350630813707E-4</v>
      </c>
      <c r="CJ667" s="4">
        <f>IF(Base[[#This Row],[Secteur]]&lt;&gt;"Moyenne",Base[[#This Row],['[Prod']'[Turnover']DMC_initiale]]*(1+Base[[#This Row],['[Prod']'[Turnover']Ecart_accidents]]*Base[[#This Row],['[Prod']Impact_motifs_turnover]]),CJ650*CI650+CJ651*CI651+CJ652*CI652+CJ653*CI653+CJ654*CI654+CJ655*CI655+CJ656*CI656+CJ657*CI657+CJ658*CI658+CJ659*CI659+CJ660*CI660+CJ661*CI661+CJ662*CI662+CJ663*CI663+CJ664*CI664+CJ665*CI665+CJ666*CI666)</f>
        <v>11.073046590399091</v>
      </c>
      <c r="CK667" s="4">
        <f>1/Base[[#This Row],['[Prod']'[Turnover']DMC_initiale]]</f>
        <v>9.0909090909090912E-2</v>
      </c>
      <c r="CL667" s="4">
        <f>1/Base[[#This Row],['[Prod']'[Turnover']DMC_finale]]</f>
        <v>9.030938250246795E-2</v>
      </c>
    </row>
    <row r="668" spans="2:90" x14ac:dyDescent="0.25">
      <c r="B668" s="4" t="s">
        <v>318</v>
      </c>
      <c r="C668">
        <v>30</v>
      </c>
      <c r="D668" t="s">
        <v>85</v>
      </c>
      <c r="E668" t="s">
        <v>97</v>
      </c>
      <c r="F668" s="3">
        <v>0.41908337190522699</v>
      </c>
      <c r="G668" s="3">
        <v>0.2</v>
      </c>
      <c r="H668" s="3">
        <v>0.2</v>
      </c>
      <c r="I668" s="3">
        <v>0.127</v>
      </c>
      <c r="J668" s="3">
        <v>0</v>
      </c>
      <c r="K668" s="3">
        <v>7.0000000000000007E-2</v>
      </c>
      <c r="L668" s="2">
        <f>Base[[#This Row],[Coût]]*Base[[#This Row],[Part_ménages_dépenses_santé]]</f>
        <v>0</v>
      </c>
      <c r="M668" s="2">
        <v>0</v>
      </c>
      <c r="N668" s="6">
        <v>27700000</v>
      </c>
      <c r="O668" s="7">
        <f>Base[[#This Row],[Coût_salarié]]*10^9*Base[[#This Row],[Risque]]*Base[[#This Row],[Prévalence]]*Base[[#This Row],[Part_coûts_salarié]]/Base[[#This Row],[Population_emploi]]</f>
        <v>0</v>
      </c>
      <c r="P668">
        <v>50</v>
      </c>
      <c r="Q668">
        <v>50</v>
      </c>
      <c r="R668" s="2">
        <v>9.9999999999999978E-2</v>
      </c>
      <c r="S668" s="2">
        <v>0.33340000000000003</v>
      </c>
      <c r="T668" s="4">
        <v>0</v>
      </c>
      <c r="U668" s="4">
        <f>IF(Bases_annexes!$F$5=0,16.6587111018772,0.77*Bases_annexes!$F$5/(IF(OR(ISBLANK('Données_d''entrée'!$E$44),'Données_d''entrée'!$E$44=0),35,'Données_d''entrée'!$E$44)*52))</f>
        <v>16.658711101877199</v>
      </c>
      <c r="V668" s="4">
        <v>0</v>
      </c>
      <c r="W66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8" s="4">
        <v>234.5</v>
      </c>
      <c r="Y668" s="4">
        <f>(Base[[#This Row],['[Maladies']Coûts_évités_par_salarié]]+Base[[#This Row],['[Travail']Coûts_évités_par_salarié]])/Base[[#This Row],[Budget_santé_salarié]]</f>
        <v>0</v>
      </c>
      <c r="Z668" s="4">
        <v>0.8</v>
      </c>
      <c r="AA668" s="4">
        <f>Base[[#This Row],[Coût]]*Base[[#This Row],[Part_société_dépenses_santé]]</f>
        <v>0</v>
      </c>
      <c r="AB668" s="4">
        <v>67635124</v>
      </c>
      <c r="AC668" s="4">
        <v>82.297079063317852</v>
      </c>
      <c r="AD668" s="4">
        <v>0</v>
      </c>
      <c r="AE668" s="4">
        <f>Base[[#This Row],['[SC']Prévalence_travail]]*Base[[#This Row],[Population_emploi]]</f>
        <v>0</v>
      </c>
      <c r="AF668" s="4">
        <f>Base[[#This Row],[Risque]]*Base[[#This Row],['[SC']Patients_en_emploi]]</f>
        <v>0</v>
      </c>
      <c r="AG668" s="4">
        <v>0</v>
      </c>
      <c r="AH668" s="4">
        <f>IFERROR(Base[[#This Row],['[SC']Prestations]]/Base[[#This Row],['[SC']Patients_en_emploi]],0)</f>
        <v>0</v>
      </c>
      <c r="AI668" s="4">
        <v>51.7</v>
      </c>
      <c r="AJ66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8" s="4">
        <f>Base[[#This Row],['[SC']'[Travail']Coûts_évités]]/Base[[#This Row],[Population_emploi]]</f>
        <v>0</v>
      </c>
      <c r="AL668" s="4">
        <f>Base[[#This Row],[Coût_société]]*10^9*Base[[#This Row],[Risque]]*Base[[#This Row],[Prévalence]]*Base[[#This Row],[Part_coûts_salarié]]/Base[[#This Row],[Population_emploi]]</f>
        <v>0</v>
      </c>
      <c r="AM668" s="4">
        <f>IF(Base[[#This Row],[Pathologie]]&lt;&gt;"Dépendance",0,14909.24243952)</f>
        <v>0</v>
      </c>
      <c r="AN668" s="4">
        <f>IF(Base[[#This Row],[Pathologie]]&lt;&gt;"Dépendance",0,1316000)</f>
        <v>0</v>
      </c>
      <c r="AO668" s="4">
        <f>IF(Base[[#This Row],[Pathologie]]&lt;&gt;"Dépendance",0,Base[[#This Row],['[SC']Coût_personne_dépendante]]*Base[[#This Row],['[SC']Nb_personnes_dépendantes]])</f>
        <v>0</v>
      </c>
      <c r="AP668" s="4">
        <f>IF(Base[[#This Row],[Pathologie]]&lt;&gt;"Dépendance",0,Base[[#This Row],['[SC']Coût_total_dépendance]]/Base[[#This Row],[Population_totale]])</f>
        <v>0</v>
      </c>
      <c r="AQ668" s="4">
        <f>IF(Base[[#This Row],[Pathologie]]&lt;&gt;"Dépendance",0,4.5)</f>
        <v>0</v>
      </c>
      <c r="AR668" s="4">
        <v>1.0077957276768601</v>
      </c>
      <c r="AS668" s="4">
        <f>Base[[#This Row],[Espérance_vie]]+Base[[#This Row],['[SC']Hausse_esp_de_vie]]-Base[[#This Row],['[SC']Durée_moyenne_dépendance_avt]]+Base[[#This Row],[Risque]]</f>
        <v>83.723958162899947</v>
      </c>
      <c r="AT66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8" s="4">
        <v>62.9</v>
      </c>
      <c r="AW668" s="4">
        <f t="shared" si="23"/>
        <v>336905600000</v>
      </c>
      <c r="AX668" s="4">
        <v>15049171</v>
      </c>
      <c r="AY668" s="4">
        <f>Base[[#This Row],['[SC']Budget_total_retraites]]/Base[[#This Row],['[SC']Nombre_de_retraités]]</f>
        <v>22386.987296509556</v>
      </c>
      <c r="AZ668" s="4">
        <f>Base[[#This Row],['[SC']Budget_par_retraité]]*Base[[#This Row],['[SC']Nb_personnes_dépendantes]]</f>
        <v>0</v>
      </c>
      <c r="BA668" s="4">
        <f>Base[[#This Row],['[SC']'[Dépendance']Coût_retraite_personnes_dépendantes]]/Base[[#This Row],[Population_totale]]</f>
        <v>0</v>
      </c>
      <c r="BB66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8" s="4">
        <f>Base[[#This Row],['[SC']'[Dépendance']Gains]]-Base[[#This Row],['[SC']'[Dépendance']Coûts]]</f>
        <v>0</v>
      </c>
      <c r="BD668" s="4">
        <f>IF(Base[[#This Row],[Pathologie]]&lt;&gt;"Mort prématurée",0,Base[[#This Row],[Risque]]*Base[[#This Row],[Prévalence]]*Base[[#This Row],[Population_totale]])</f>
        <v>0</v>
      </c>
      <c r="BE668" s="4">
        <v>52.74</v>
      </c>
      <c r="BF668" s="4">
        <f>Base[[#This Row],['[SC']Âge_moyen_retraite]]-Base[[#This Row],['[SC']'[Mort_prématurée']Âge_moyen_mort précoce]]</f>
        <v>10.159999999999997</v>
      </c>
      <c r="BG668" s="4">
        <f>Base[[#This Row],[Espérance_vie]]+Base[[#This Row],['[SC']Hausse_esp_de_vie]]-Base[[#This Row],['[SC']Âge_moyen_retraite]]</f>
        <v>20.404874790994718</v>
      </c>
      <c r="BH668" s="4">
        <v>106583.42676924677</v>
      </c>
      <c r="BI668" s="4">
        <v>97601.789429271477</v>
      </c>
      <c r="BJ668" s="4">
        <v>302038.31496633729</v>
      </c>
      <c r="BK668" s="4">
        <v>117293.58934859755</v>
      </c>
      <c r="BL668" s="4">
        <v>1523999.9999999995</v>
      </c>
      <c r="BM66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8" s="4">
        <v>294804.96027377353</v>
      </c>
      <c r="BO66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8" s="4">
        <f>(Base[[#This Row],['[SC']'[Mort_prématurée']Gains]]-Base[[#This Row],['[SC']'[Mort_prématurée']Coûts]])/Base[[#This Row],[Population_totale]]</f>
        <v>0</v>
      </c>
      <c r="BQ668" s="4">
        <f>IF(Base[[#This Row],[Pathologie]]&lt;&gt;"Mort prématurée",0,Base[[#This Row],[Risque]])</f>
        <v>0</v>
      </c>
      <c r="BR668" s="4">
        <v>2680</v>
      </c>
      <c r="BS66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6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8" s="4">
        <f>Base[[#This Row],[Prévalence_prod]]*(1-Base[[#This Row],[Risque]])*Base[[#This Row],[Durée_arrêt]]*Base[[#This Row],[Population_emploi]]</f>
        <v>0</v>
      </c>
      <c r="BV668" s="4">
        <f>Base[[#This Row],['[Prod']'[Absentéisme']Total_jours_absence_avant]]-Base[[#This Row],['[Prod']'[Absentéisme']Total_jours_absence_après]]</f>
        <v>0</v>
      </c>
      <c r="BW668" s="4">
        <f>IF(AND(Base[[#This Row],[Pathologie]]&lt;&gt;"Dépendance",Base[[#This Row],[Pathologie]]&lt;&gt;"Mort prématurée",Base[[#This Row],[Pathologie]]&lt;&gt;"Migraine"),0.0619,0)</f>
        <v>0</v>
      </c>
      <c r="BX668" s="4">
        <v>254</v>
      </c>
      <c r="BY66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8" s="4">
        <f>Base[[#This Row],[Prévalence_prod]]*Base[[#This Row],[Présentéisme]]*Base[[#This Row],['[Prod']Jours_ouvrés]]</f>
        <v>6.4516000000000009</v>
      </c>
      <c r="CB668" s="4">
        <f>Base[[#This Row],[Prévalence_prod]]*(1-Base[[#This Row],[Risque]])*Base[[#This Row],[Présentéisme]]*Base[[#This Row],['[Prod']Jours_ouvrés]]</f>
        <v>3.7478417178162382</v>
      </c>
      <c r="CC668" s="4">
        <f>Base[[#This Row],['[Prod']'[Présentéisme']Jours_avant]]-Base[[#This Row],['[Prod']'[Présentéisme']Jours_après]]</f>
        <v>2.7037582821837627</v>
      </c>
      <c r="CD668" s="4">
        <f>Base[[#This Row],['[Prod']'[Présentéisme']Jours_gagnés]]/Base[[#This Row],['[Prod']Jours_ouvrés]]</f>
        <v>1.0644717646392767E-2</v>
      </c>
      <c r="CE668">
        <v>9.3428413505841454E-2</v>
      </c>
      <c r="CF668">
        <v>2.1038737314955848E-2</v>
      </c>
      <c r="CG668" s="4">
        <v>11</v>
      </c>
      <c r="CH668" s="4">
        <v>1.1688035738877327</v>
      </c>
      <c r="CI668" s="4">
        <v>9.6557438521367826E-3</v>
      </c>
      <c r="CJ668" s="4">
        <f>IF(Base[[#This Row],[Secteur]]&lt;&gt;"Moyenne",Base[[#This Row],['[Prod']'[Turnover']DMC_initiale]]*(1+Base[[#This Row],['[Prod']'[Turnover']Ecart_accidents]]*Base[[#This Row],['[Prod']Impact_motifs_turnover]]),CJ651*CI651+CJ652*CI652+CJ653*CI653+CJ654*CI654+CJ655*CI655+CJ656*CI656+CJ657*CI657+CJ658*CI658+CJ659*CI659+CJ660*CI660+CJ661*CI661+CJ662*CI662+CJ663*CI663+CJ664*CI664+CJ665*CI665+CJ666*CI666+CJ667*CI667)</f>
        <v>11.270491665001861</v>
      </c>
      <c r="CK668" s="4">
        <f>1/Base[[#This Row],['[Prod']'[Turnover']DMC_initiale]]</f>
        <v>9.0909090909090912E-2</v>
      </c>
      <c r="CL668" s="4">
        <f>1/Base[[#This Row],['[Prod']'[Turnover']DMC_finale]]</f>
        <v>8.8727273815861069E-2</v>
      </c>
    </row>
    <row r="669" spans="2:90" x14ac:dyDescent="0.25">
      <c r="B669" s="4" t="s">
        <v>319</v>
      </c>
      <c r="C669">
        <v>30</v>
      </c>
      <c r="D669" t="s">
        <v>85</v>
      </c>
      <c r="E669" t="s">
        <v>97</v>
      </c>
      <c r="F669" s="3">
        <v>0.41908337190522699</v>
      </c>
      <c r="G669" s="3">
        <v>0.2</v>
      </c>
      <c r="H669" s="3">
        <v>0.2</v>
      </c>
      <c r="I669" s="3">
        <v>0.127</v>
      </c>
      <c r="J669" s="3">
        <v>0</v>
      </c>
      <c r="K669" s="3">
        <v>7.0000000000000007E-2</v>
      </c>
      <c r="L669" s="2">
        <f>Base[[#This Row],[Coût]]*Base[[#This Row],[Part_ménages_dépenses_santé]]</f>
        <v>0</v>
      </c>
      <c r="M669" s="2">
        <v>0</v>
      </c>
      <c r="N669" s="6">
        <v>27700000</v>
      </c>
      <c r="O669" s="7">
        <f>Base[[#This Row],[Coût_salarié]]*10^9*Base[[#This Row],[Risque]]*Base[[#This Row],[Prévalence]]*Base[[#This Row],[Part_coûts_salarié]]/Base[[#This Row],[Population_emploi]]</f>
        <v>0</v>
      </c>
      <c r="P669">
        <v>50</v>
      </c>
      <c r="Q669">
        <v>50</v>
      </c>
      <c r="R669" s="2">
        <v>9.9999999999999978E-2</v>
      </c>
      <c r="S669" s="2">
        <v>0.33340000000000003</v>
      </c>
      <c r="T669" s="4">
        <v>0</v>
      </c>
      <c r="U669" s="4">
        <f>IF(Bases_annexes!$F$5=0,16.6587111018772,0.77*Bases_annexes!$F$5/(IF(OR(ISBLANK('Données_d''entrée'!$E$44),'Données_d''entrée'!$E$44=0),35,'Données_d''entrée'!$E$44)*52))</f>
        <v>16.658711101877199</v>
      </c>
      <c r="V669" s="4">
        <v>0</v>
      </c>
      <c r="W66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69" s="4">
        <v>234.5</v>
      </c>
      <c r="Y669" s="4">
        <f>(Base[[#This Row],['[Maladies']Coûts_évités_par_salarié]]+Base[[#This Row],['[Travail']Coûts_évités_par_salarié]])/Base[[#This Row],[Budget_santé_salarié]]</f>
        <v>0</v>
      </c>
      <c r="Z669" s="4">
        <v>0.8</v>
      </c>
      <c r="AA669" s="4">
        <f>Base[[#This Row],[Coût]]*Base[[#This Row],[Part_société_dépenses_santé]]</f>
        <v>0</v>
      </c>
      <c r="AB669" s="4">
        <v>67635124</v>
      </c>
      <c r="AC669" s="4">
        <v>82.297079063317852</v>
      </c>
      <c r="AD669" s="4">
        <v>0</v>
      </c>
      <c r="AE669" s="4">
        <f>Base[[#This Row],['[SC']Prévalence_travail]]*Base[[#This Row],[Population_emploi]]</f>
        <v>0</v>
      </c>
      <c r="AF669" s="4">
        <f>Base[[#This Row],[Risque]]*Base[[#This Row],['[SC']Patients_en_emploi]]</f>
        <v>0</v>
      </c>
      <c r="AG669" s="4">
        <v>0</v>
      </c>
      <c r="AH669" s="4">
        <f>IFERROR(Base[[#This Row],['[SC']Prestations]]/Base[[#This Row],['[SC']Patients_en_emploi]],0)</f>
        <v>0</v>
      </c>
      <c r="AI669" s="4">
        <v>51.7</v>
      </c>
      <c r="AJ66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69" s="4">
        <f>Base[[#This Row],['[SC']'[Travail']Coûts_évités]]/Base[[#This Row],[Population_emploi]]</f>
        <v>0</v>
      </c>
      <c r="AL669" s="4">
        <f>Base[[#This Row],[Coût_société]]*10^9*Base[[#This Row],[Risque]]*Base[[#This Row],[Prévalence]]*Base[[#This Row],[Part_coûts_salarié]]/Base[[#This Row],[Population_emploi]]</f>
        <v>0</v>
      </c>
      <c r="AM669" s="4">
        <f>IF(Base[[#This Row],[Pathologie]]&lt;&gt;"Dépendance",0,14909.24243952)</f>
        <v>0</v>
      </c>
      <c r="AN669" s="4">
        <f>IF(Base[[#This Row],[Pathologie]]&lt;&gt;"Dépendance",0,1316000)</f>
        <v>0</v>
      </c>
      <c r="AO669" s="4">
        <f>IF(Base[[#This Row],[Pathologie]]&lt;&gt;"Dépendance",0,Base[[#This Row],['[SC']Coût_personne_dépendante]]*Base[[#This Row],['[SC']Nb_personnes_dépendantes]])</f>
        <v>0</v>
      </c>
      <c r="AP669" s="4">
        <f>IF(Base[[#This Row],[Pathologie]]&lt;&gt;"Dépendance",0,Base[[#This Row],['[SC']Coût_total_dépendance]]/Base[[#This Row],[Population_totale]])</f>
        <v>0</v>
      </c>
      <c r="AQ669" s="4">
        <f>IF(Base[[#This Row],[Pathologie]]&lt;&gt;"Dépendance",0,4.5)</f>
        <v>0</v>
      </c>
      <c r="AR669" s="4">
        <v>1.0077957276768601</v>
      </c>
      <c r="AS669" s="4">
        <f>Base[[#This Row],[Espérance_vie]]+Base[[#This Row],['[SC']Hausse_esp_de_vie]]-Base[[#This Row],['[SC']Durée_moyenne_dépendance_avt]]+Base[[#This Row],[Risque]]</f>
        <v>83.723958162899947</v>
      </c>
      <c r="AT66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6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69" s="4">
        <v>62.9</v>
      </c>
      <c r="AW669" s="4">
        <f t="shared" si="23"/>
        <v>336905600000</v>
      </c>
      <c r="AX669" s="4">
        <v>15049171</v>
      </c>
      <c r="AY669" s="4">
        <f>Base[[#This Row],['[SC']Budget_total_retraites]]/Base[[#This Row],['[SC']Nombre_de_retraités]]</f>
        <v>22386.987296509556</v>
      </c>
      <c r="AZ669" s="4">
        <f>Base[[#This Row],['[SC']Budget_par_retraité]]*Base[[#This Row],['[SC']Nb_personnes_dépendantes]]</f>
        <v>0</v>
      </c>
      <c r="BA669" s="4">
        <f>Base[[#This Row],['[SC']'[Dépendance']Coût_retraite_personnes_dépendantes]]/Base[[#This Row],[Population_totale]]</f>
        <v>0</v>
      </c>
      <c r="BB66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69" s="4">
        <f>Base[[#This Row],['[SC']'[Dépendance']Gains]]-Base[[#This Row],['[SC']'[Dépendance']Coûts]]</f>
        <v>0</v>
      </c>
      <c r="BD669" s="4">
        <f>IF(Base[[#This Row],[Pathologie]]&lt;&gt;"Mort prématurée",0,Base[[#This Row],[Risque]]*Base[[#This Row],[Prévalence]]*Base[[#This Row],[Population_totale]])</f>
        <v>0</v>
      </c>
      <c r="BE669" s="4">
        <v>52.74</v>
      </c>
      <c r="BF669" s="4">
        <f>Base[[#This Row],['[SC']Âge_moyen_retraite]]-Base[[#This Row],['[SC']'[Mort_prématurée']Âge_moyen_mort précoce]]</f>
        <v>10.159999999999997</v>
      </c>
      <c r="BG669" s="4">
        <f>Base[[#This Row],[Espérance_vie]]+Base[[#This Row],['[SC']Hausse_esp_de_vie]]-Base[[#This Row],['[SC']Âge_moyen_retraite]]</f>
        <v>20.404874790994718</v>
      </c>
      <c r="BH669" s="4">
        <v>106583.42676924677</v>
      </c>
      <c r="BI669" s="4">
        <v>97601.789429271477</v>
      </c>
      <c r="BJ669" s="4">
        <v>302038.31496633729</v>
      </c>
      <c r="BK669" s="4">
        <v>117293.58934859755</v>
      </c>
      <c r="BL669" s="4">
        <v>1523999.9999999995</v>
      </c>
      <c r="BM66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69" s="4">
        <v>294804.96027377353</v>
      </c>
      <c r="BO66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69" s="4">
        <f>(Base[[#This Row],['[SC']'[Mort_prématurée']Gains]]-Base[[#This Row],['[SC']'[Mort_prématurée']Coûts]])/Base[[#This Row],[Population_totale]]</f>
        <v>0</v>
      </c>
      <c r="BQ669" s="4">
        <f>IF(Base[[#This Row],[Pathologie]]&lt;&gt;"Mort prématurée",0,Base[[#This Row],[Risque]])</f>
        <v>0</v>
      </c>
      <c r="BR669" s="4">
        <v>2680</v>
      </c>
      <c r="BS66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6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69" s="4">
        <f>Base[[#This Row],[Prévalence_prod]]*(1-Base[[#This Row],[Risque]])*Base[[#This Row],[Durée_arrêt]]*Base[[#This Row],[Population_emploi]]</f>
        <v>0</v>
      </c>
      <c r="BV669" s="4">
        <f>Base[[#This Row],['[Prod']'[Absentéisme']Total_jours_absence_avant]]-Base[[#This Row],['[Prod']'[Absentéisme']Total_jours_absence_après]]</f>
        <v>0</v>
      </c>
      <c r="BW669" s="4">
        <f>IF(AND(Base[[#This Row],[Pathologie]]&lt;&gt;"Dépendance",Base[[#This Row],[Pathologie]]&lt;&gt;"Mort prématurée",Base[[#This Row],[Pathologie]]&lt;&gt;"Migraine"),0.0619,0)</f>
        <v>0</v>
      </c>
      <c r="BX669" s="4">
        <v>254</v>
      </c>
      <c r="BY66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6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69" s="4">
        <f>Base[[#This Row],[Prévalence_prod]]*Base[[#This Row],[Présentéisme]]*Base[[#This Row],['[Prod']Jours_ouvrés]]</f>
        <v>6.4516000000000009</v>
      </c>
      <c r="CB669" s="4">
        <f>Base[[#This Row],[Prévalence_prod]]*(1-Base[[#This Row],[Risque]])*Base[[#This Row],[Présentéisme]]*Base[[#This Row],['[Prod']Jours_ouvrés]]</f>
        <v>3.7478417178162382</v>
      </c>
      <c r="CC669" s="4">
        <f>Base[[#This Row],['[Prod']'[Présentéisme']Jours_avant]]-Base[[#This Row],['[Prod']'[Présentéisme']Jours_après]]</f>
        <v>2.7037582821837627</v>
      </c>
      <c r="CD669" s="4">
        <f>Base[[#This Row],['[Prod']'[Présentéisme']Jours_gagnés]]/Base[[#This Row],['[Prod']Jours_ouvrés]]</f>
        <v>1.0644717646392767E-2</v>
      </c>
      <c r="CE669">
        <v>9.3428413505841454E-2</v>
      </c>
      <c r="CF669">
        <v>2.1038737314955848E-2</v>
      </c>
      <c r="CG669" s="4">
        <v>11</v>
      </c>
      <c r="CH669" s="4">
        <v>0.52204401140486179</v>
      </c>
      <c r="CI669" s="4">
        <v>1.2443904150185675E-2</v>
      </c>
      <c r="CJ669" s="4">
        <f>IF(Base[[#This Row],[Secteur]]&lt;&gt;"Moyenne",Base[[#This Row],['[Prod']'[Turnover']DMC_initiale]]*(1+Base[[#This Row],['[Prod']'[Turnover']Ecart_accidents]]*Base[[#This Row],['[Prod']Impact_motifs_turnover]]),CJ652*CI652+CJ653*CI653+CJ654*CI654+CJ655*CI655+CJ656*CI656+CJ657*CI657+CJ658*CI658+CJ659*CI659+CJ660*CI660+CJ661*CI661+CJ662*CI662+CJ663*CI663+CJ664*CI664+CJ665*CI665+CJ666*CI666+CJ667*CI667+CJ668*CI668)</f>
        <v>11.120814615050721</v>
      </c>
      <c r="CK669" s="4">
        <f>1/Base[[#This Row],['[Prod']'[Turnover']DMC_initiale]]</f>
        <v>9.0909090909090912E-2</v>
      </c>
      <c r="CL669" s="4">
        <f>1/Base[[#This Row],['[Prod']'[Turnover']DMC_finale]]</f>
        <v>8.9921470199369843E-2</v>
      </c>
    </row>
    <row r="670" spans="2:90" x14ac:dyDescent="0.25">
      <c r="B670" s="4" t="s">
        <v>320</v>
      </c>
      <c r="C670">
        <v>30</v>
      </c>
      <c r="D670" t="s">
        <v>85</v>
      </c>
      <c r="E670" t="s">
        <v>97</v>
      </c>
      <c r="F670" s="3">
        <v>0.41908337190522699</v>
      </c>
      <c r="G670" s="3">
        <v>0.2</v>
      </c>
      <c r="H670" s="3">
        <v>0.2</v>
      </c>
      <c r="I670" s="3">
        <v>0.127</v>
      </c>
      <c r="J670" s="3">
        <v>0</v>
      </c>
      <c r="K670" s="3">
        <v>7.0000000000000007E-2</v>
      </c>
      <c r="L670" s="2">
        <f>Base[[#This Row],[Coût]]*Base[[#This Row],[Part_ménages_dépenses_santé]]</f>
        <v>0</v>
      </c>
      <c r="M670" s="2">
        <v>0</v>
      </c>
      <c r="N670" s="6">
        <v>27700000</v>
      </c>
      <c r="O670" s="7">
        <f>Base[[#This Row],[Coût_salarié]]*10^9*Base[[#This Row],[Risque]]*Base[[#This Row],[Prévalence]]*Base[[#This Row],[Part_coûts_salarié]]/Base[[#This Row],[Population_emploi]]</f>
        <v>0</v>
      </c>
      <c r="P670">
        <v>50</v>
      </c>
      <c r="Q670">
        <v>50</v>
      </c>
      <c r="R670" s="2">
        <v>9.9999999999999978E-2</v>
      </c>
      <c r="S670" s="2">
        <v>0.33340000000000003</v>
      </c>
      <c r="T670" s="4">
        <v>0</v>
      </c>
      <c r="U670" s="4">
        <f>IF(Bases_annexes!$F$5=0,16.6587111018772,0.77*Bases_annexes!$F$5/(IF(OR(ISBLANK('Données_d''entrée'!$E$44),'Données_d''entrée'!$E$44=0),35,'Données_d''entrée'!$E$44)*52))</f>
        <v>16.658711101877199</v>
      </c>
      <c r="V670" s="4">
        <v>0</v>
      </c>
      <c r="W67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0" s="4">
        <v>234.5</v>
      </c>
      <c r="Y670" s="4">
        <f>(Base[[#This Row],['[Maladies']Coûts_évités_par_salarié]]+Base[[#This Row],['[Travail']Coûts_évités_par_salarié]])/Base[[#This Row],[Budget_santé_salarié]]</f>
        <v>0</v>
      </c>
      <c r="Z670" s="4">
        <v>0.8</v>
      </c>
      <c r="AA670" s="4">
        <f>Base[[#This Row],[Coût]]*Base[[#This Row],[Part_société_dépenses_santé]]</f>
        <v>0</v>
      </c>
      <c r="AB670" s="4">
        <v>67635124</v>
      </c>
      <c r="AC670" s="4">
        <v>82.297079063317852</v>
      </c>
      <c r="AD670" s="4">
        <v>0</v>
      </c>
      <c r="AE670" s="4">
        <f>Base[[#This Row],['[SC']Prévalence_travail]]*Base[[#This Row],[Population_emploi]]</f>
        <v>0</v>
      </c>
      <c r="AF670" s="4">
        <f>Base[[#This Row],[Risque]]*Base[[#This Row],['[SC']Patients_en_emploi]]</f>
        <v>0</v>
      </c>
      <c r="AG670" s="4">
        <v>0</v>
      </c>
      <c r="AH670" s="4">
        <f>IFERROR(Base[[#This Row],['[SC']Prestations]]/Base[[#This Row],['[SC']Patients_en_emploi]],0)</f>
        <v>0</v>
      </c>
      <c r="AI670" s="4">
        <v>51.7</v>
      </c>
      <c r="AJ67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0" s="4">
        <f>Base[[#This Row],['[SC']'[Travail']Coûts_évités]]/Base[[#This Row],[Population_emploi]]</f>
        <v>0</v>
      </c>
      <c r="AL670" s="4">
        <f>Base[[#This Row],[Coût_société]]*10^9*Base[[#This Row],[Risque]]*Base[[#This Row],[Prévalence]]*Base[[#This Row],[Part_coûts_salarié]]/Base[[#This Row],[Population_emploi]]</f>
        <v>0</v>
      </c>
      <c r="AM670" s="4">
        <f>IF(Base[[#This Row],[Pathologie]]&lt;&gt;"Dépendance",0,14909.24243952)</f>
        <v>0</v>
      </c>
      <c r="AN670" s="4">
        <f>IF(Base[[#This Row],[Pathologie]]&lt;&gt;"Dépendance",0,1316000)</f>
        <v>0</v>
      </c>
      <c r="AO670" s="4">
        <f>IF(Base[[#This Row],[Pathologie]]&lt;&gt;"Dépendance",0,Base[[#This Row],['[SC']Coût_personne_dépendante]]*Base[[#This Row],['[SC']Nb_personnes_dépendantes]])</f>
        <v>0</v>
      </c>
      <c r="AP670" s="4">
        <f>IF(Base[[#This Row],[Pathologie]]&lt;&gt;"Dépendance",0,Base[[#This Row],['[SC']Coût_total_dépendance]]/Base[[#This Row],[Population_totale]])</f>
        <v>0</v>
      </c>
      <c r="AQ670" s="4">
        <f>IF(Base[[#This Row],[Pathologie]]&lt;&gt;"Dépendance",0,4.5)</f>
        <v>0</v>
      </c>
      <c r="AR670" s="4">
        <v>1.0077957276768601</v>
      </c>
      <c r="AS670" s="4">
        <f>Base[[#This Row],[Espérance_vie]]+Base[[#This Row],['[SC']Hausse_esp_de_vie]]-Base[[#This Row],['[SC']Durée_moyenne_dépendance_avt]]+Base[[#This Row],[Risque]]</f>
        <v>83.723958162899947</v>
      </c>
      <c r="AT67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0" s="4">
        <v>62.9</v>
      </c>
      <c r="AW670" s="4">
        <f t="shared" si="23"/>
        <v>336905600000</v>
      </c>
      <c r="AX670" s="4">
        <v>15049171</v>
      </c>
      <c r="AY670" s="4">
        <f>Base[[#This Row],['[SC']Budget_total_retraites]]/Base[[#This Row],['[SC']Nombre_de_retraités]]</f>
        <v>22386.987296509556</v>
      </c>
      <c r="AZ670" s="4">
        <f>Base[[#This Row],['[SC']Budget_par_retraité]]*Base[[#This Row],['[SC']Nb_personnes_dépendantes]]</f>
        <v>0</v>
      </c>
      <c r="BA670" s="4">
        <f>Base[[#This Row],['[SC']'[Dépendance']Coût_retraite_personnes_dépendantes]]/Base[[#This Row],[Population_totale]]</f>
        <v>0</v>
      </c>
      <c r="BB67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0" s="4">
        <f>Base[[#This Row],['[SC']'[Dépendance']Gains]]-Base[[#This Row],['[SC']'[Dépendance']Coûts]]</f>
        <v>0</v>
      </c>
      <c r="BD670" s="4">
        <f>IF(Base[[#This Row],[Pathologie]]&lt;&gt;"Mort prématurée",0,Base[[#This Row],[Risque]]*Base[[#This Row],[Prévalence]]*Base[[#This Row],[Population_totale]])</f>
        <v>0</v>
      </c>
      <c r="BE670" s="4">
        <v>52.74</v>
      </c>
      <c r="BF670" s="4">
        <f>Base[[#This Row],['[SC']Âge_moyen_retraite]]-Base[[#This Row],['[SC']'[Mort_prématurée']Âge_moyen_mort précoce]]</f>
        <v>10.159999999999997</v>
      </c>
      <c r="BG670" s="4">
        <f>Base[[#This Row],[Espérance_vie]]+Base[[#This Row],['[SC']Hausse_esp_de_vie]]-Base[[#This Row],['[SC']Âge_moyen_retraite]]</f>
        <v>20.404874790994718</v>
      </c>
      <c r="BH670" s="4">
        <v>106583.42676924677</v>
      </c>
      <c r="BI670" s="4">
        <v>97601.789429271477</v>
      </c>
      <c r="BJ670" s="4">
        <v>302038.31496633729</v>
      </c>
      <c r="BK670" s="4">
        <v>117293.58934859755</v>
      </c>
      <c r="BL670" s="4">
        <v>1523999.9999999995</v>
      </c>
      <c r="BM67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0" s="4">
        <v>294804.96027377353</v>
      </c>
      <c r="BO67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0" s="4">
        <f>(Base[[#This Row],['[SC']'[Mort_prématurée']Gains]]-Base[[#This Row],['[SC']'[Mort_prématurée']Coûts]])/Base[[#This Row],[Population_totale]]</f>
        <v>0</v>
      </c>
      <c r="BQ670" s="4">
        <f>IF(Base[[#This Row],[Pathologie]]&lt;&gt;"Mort prématurée",0,Base[[#This Row],[Risque]])</f>
        <v>0</v>
      </c>
      <c r="BR670" s="4">
        <v>2680</v>
      </c>
      <c r="BS67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0" s="4">
        <f>Base[[#This Row],[Prévalence_prod]]*(1-Base[[#This Row],[Risque]])*Base[[#This Row],[Durée_arrêt]]*Base[[#This Row],[Population_emploi]]</f>
        <v>0</v>
      </c>
      <c r="BV670" s="4">
        <f>Base[[#This Row],['[Prod']'[Absentéisme']Total_jours_absence_avant]]-Base[[#This Row],['[Prod']'[Absentéisme']Total_jours_absence_après]]</f>
        <v>0</v>
      </c>
      <c r="BW670" s="4">
        <f>IF(AND(Base[[#This Row],[Pathologie]]&lt;&gt;"Dépendance",Base[[#This Row],[Pathologie]]&lt;&gt;"Mort prématurée",Base[[#This Row],[Pathologie]]&lt;&gt;"Migraine"),0.0619,0)</f>
        <v>0</v>
      </c>
      <c r="BX670" s="4">
        <v>254</v>
      </c>
      <c r="BY67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0" s="4">
        <f>Base[[#This Row],[Prévalence_prod]]*Base[[#This Row],[Présentéisme]]*Base[[#This Row],['[Prod']Jours_ouvrés]]</f>
        <v>6.4516000000000009</v>
      </c>
      <c r="CB670" s="4">
        <f>Base[[#This Row],[Prévalence_prod]]*(1-Base[[#This Row],[Risque]])*Base[[#This Row],[Présentéisme]]*Base[[#This Row],['[Prod']Jours_ouvrés]]</f>
        <v>3.7478417178162382</v>
      </c>
      <c r="CC670" s="4">
        <f>Base[[#This Row],['[Prod']'[Présentéisme']Jours_avant]]-Base[[#This Row],['[Prod']'[Présentéisme']Jours_après]]</f>
        <v>2.7037582821837627</v>
      </c>
      <c r="CD670" s="4">
        <f>Base[[#This Row],['[Prod']'[Présentéisme']Jours_gagnés]]/Base[[#This Row],['[Prod']Jours_ouvrés]]</f>
        <v>1.0644717646392767E-2</v>
      </c>
      <c r="CE670">
        <v>9.3428413505841454E-2</v>
      </c>
      <c r="CF670">
        <v>2.1038737314955848E-2</v>
      </c>
      <c r="CG670" s="4">
        <v>11</v>
      </c>
      <c r="CH670" s="4">
        <v>0.49446424657188709</v>
      </c>
      <c r="CI670" s="4">
        <v>1.0795805058605798E-2</v>
      </c>
      <c r="CJ670" s="4">
        <f>IF(Base[[#This Row],[Secteur]]&lt;&gt;"Moyenne",Base[[#This Row],['[Prod']'[Turnover']DMC_initiale]]*(1+Base[[#This Row],['[Prod']'[Turnover']Ecart_accidents]]*Base[[#This Row],['[Prod']Impact_motifs_turnover]]),CJ653*CI653+CJ654*CI654+CJ655*CI655+CJ656*CI656+CJ657*CI657+CJ658*CI658+CJ659*CI659+CJ660*CI660+CJ661*CI661+CJ662*CI662+CJ663*CI663+CJ664*CI664+CJ665*CI665+CJ666*CI666+CJ667*CI667+CJ668*CI668+CJ669*CI669)</f>
        <v>11.114431937347899</v>
      </c>
      <c r="CK670" s="4">
        <f>1/Base[[#This Row],['[Prod']'[Turnover']DMC_initiale]]</f>
        <v>9.0909090909090912E-2</v>
      </c>
      <c r="CL670" s="4">
        <f>1/Base[[#This Row],['[Prod']'[Turnover']DMC_finale]]</f>
        <v>8.9973109344409538E-2</v>
      </c>
    </row>
    <row r="671" spans="2:90" x14ac:dyDescent="0.25">
      <c r="B671" s="4" t="s">
        <v>321</v>
      </c>
      <c r="C671">
        <v>30</v>
      </c>
      <c r="D671" t="s">
        <v>85</v>
      </c>
      <c r="E671" t="s">
        <v>97</v>
      </c>
      <c r="F671" s="3">
        <v>0.41908337190522699</v>
      </c>
      <c r="G671" s="3">
        <v>0.2</v>
      </c>
      <c r="H671" s="3">
        <v>0.2</v>
      </c>
      <c r="I671" s="3">
        <v>0.127</v>
      </c>
      <c r="J671" s="3">
        <v>0</v>
      </c>
      <c r="K671" s="3">
        <v>7.0000000000000007E-2</v>
      </c>
      <c r="L671" s="2">
        <f>Base[[#This Row],[Coût]]*Base[[#This Row],[Part_ménages_dépenses_santé]]</f>
        <v>0</v>
      </c>
      <c r="M671" s="2">
        <v>0</v>
      </c>
      <c r="N671" s="6">
        <v>27700000</v>
      </c>
      <c r="O671" s="7">
        <f>Base[[#This Row],[Coût_salarié]]*10^9*Base[[#This Row],[Risque]]*Base[[#This Row],[Prévalence]]*Base[[#This Row],[Part_coûts_salarié]]/Base[[#This Row],[Population_emploi]]</f>
        <v>0</v>
      </c>
      <c r="P671">
        <v>50</v>
      </c>
      <c r="Q671">
        <v>50</v>
      </c>
      <c r="R671" s="2">
        <v>9.9999999999999978E-2</v>
      </c>
      <c r="S671" s="2">
        <v>0.33340000000000003</v>
      </c>
      <c r="T671" s="4">
        <v>0</v>
      </c>
      <c r="U671" s="4">
        <f>IF(Bases_annexes!$F$5=0,16.6587111018772,0.77*Bases_annexes!$F$5/(IF(OR(ISBLANK('Données_d''entrée'!$E$44),'Données_d''entrée'!$E$44=0),35,'Données_d''entrée'!$E$44)*52))</f>
        <v>16.658711101877199</v>
      </c>
      <c r="V671" s="4">
        <v>0</v>
      </c>
      <c r="W67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1" s="4">
        <v>234.5</v>
      </c>
      <c r="Y671" s="4">
        <f>(Base[[#This Row],['[Maladies']Coûts_évités_par_salarié]]+Base[[#This Row],['[Travail']Coûts_évités_par_salarié]])/Base[[#This Row],[Budget_santé_salarié]]</f>
        <v>0</v>
      </c>
      <c r="Z671" s="4">
        <v>0.8</v>
      </c>
      <c r="AA671" s="4">
        <f>Base[[#This Row],[Coût]]*Base[[#This Row],[Part_société_dépenses_santé]]</f>
        <v>0</v>
      </c>
      <c r="AB671" s="4">
        <v>67635124</v>
      </c>
      <c r="AC671" s="4">
        <v>82.297079063317852</v>
      </c>
      <c r="AD671" s="4">
        <v>0</v>
      </c>
      <c r="AE671" s="4">
        <f>Base[[#This Row],['[SC']Prévalence_travail]]*Base[[#This Row],[Population_emploi]]</f>
        <v>0</v>
      </c>
      <c r="AF671" s="4">
        <f>Base[[#This Row],[Risque]]*Base[[#This Row],['[SC']Patients_en_emploi]]</f>
        <v>0</v>
      </c>
      <c r="AG671" s="4">
        <v>0</v>
      </c>
      <c r="AH671" s="4">
        <f>IFERROR(Base[[#This Row],['[SC']Prestations]]/Base[[#This Row],['[SC']Patients_en_emploi]],0)</f>
        <v>0</v>
      </c>
      <c r="AI671" s="4">
        <v>51.7</v>
      </c>
      <c r="AJ67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1" s="4">
        <f>Base[[#This Row],['[SC']'[Travail']Coûts_évités]]/Base[[#This Row],[Population_emploi]]</f>
        <v>0</v>
      </c>
      <c r="AL671" s="4">
        <f>Base[[#This Row],[Coût_société]]*10^9*Base[[#This Row],[Risque]]*Base[[#This Row],[Prévalence]]*Base[[#This Row],[Part_coûts_salarié]]/Base[[#This Row],[Population_emploi]]</f>
        <v>0</v>
      </c>
      <c r="AM671" s="4">
        <f>IF(Base[[#This Row],[Pathologie]]&lt;&gt;"Dépendance",0,14909.24243952)</f>
        <v>0</v>
      </c>
      <c r="AN671" s="4">
        <f>IF(Base[[#This Row],[Pathologie]]&lt;&gt;"Dépendance",0,1316000)</f>
        <v>0</v>
      </c>
      <c r="AO671" s="4">
        <f>IF(Base[[#This Row],[Pathologie]]&lt;&gt;"Dépendance",0,Base[[#This Row],['[SC']Coût_personne_dépendante]]*Base[[#This Row],['[SC']Nb_personnes_dépendantes]])</f>
        <v>0</v>
      </c>
      <c r="AP671" s="4">
        <f>IF(Base[[#This Row],[Pathologie]]&lt;&gt;"Dépendance",0,Base[[#This Row],['[SC']Coût_total_dépendance]]/Base[[#This Row],[Population_totale]])</f>
        <v>0</v>
      </c>
      <c r="AQ671" s="4">
        <f>IF(Base[[#This Row],[Pathologie]]&lt;&gt;"Dépendance",0,4.5)</f>
        <v>0</v>
      </c>
      <c r="AR671" s="4">
        <v>1.0077957276768601</v>
      </c>
      <c r="AS671" s="4">
        <f>Base[[#This Row],[Espérance_vie]]+Base[[#This Row],['[SC']Hausse_esp_de_vie]]-Base[[#This Row],['[SC']Durée_moyenne_dépendance_avt]]+Base[[#This Row],[Risque]]</f>
        <v>83.723958162899947</v>
      </c>
      <c r="AT67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1" s="4">
        <v>62.9</v>
      </c>
      <c r="AW671" s="4">
        <f t="shared" si="23"/>
        <v>336905600000</v>
      </c>
      <c r="AX671" s="4">
        <v>15049171</v>
      </c>
      <c r="AY671" s="4">
        <f>Base[[#This Row],['[SC']Budget_total_retraites]]/Base[[#This Row],['[SC']Nombre_de_retraités]]</f>
        <v>22386.987296509556</v>
      </c>
      <c r="AZ671" s="4">
        <f>Base[[#This Row],['[SC']Budget_par_retraité]]*Base[[#This Row],['[SC']Nb_personnes_dépendantes]]</f>
        <v>0</v>
      </c>
      <c r="BA671" s="4">
        <f>Base[[#This Row],['[SC']'[Dépendance']Coût_retraite_personnes_dépendantes]]/Base[[#This Row],[Population_totale]]</f>
        <v>0</v>
      </c>
      <c r="BB67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1" s="4">
        <f>Base[[#This Row],['[SC']'[Dépendance']Gains]]-Base[[#This Row],['[SC']'[Dépendance']Coûts]]</f>
        <v>0</v>
      </c>
      <c r="BD671" s="4">
        <f>IF(Base[[#This Row],[Pathologie]]&lt;&gt;"Mort prématurée",0,Base[[#This Row],[Risque]]*Base[[#This Row],[Prévalence]]*Base[[#This Row],[Population_totale]])</f>
        <v>0</v>
      </c>
      <c r="BE671" s="4">
        <v>52.74</v>
      </c>
      <c r="BF671" s="4">
        <f>Base[[#This Row],['[SC']Âge_moyen_retraite]]-Base[[#This Row],['[SC']'[Mort_prématurée']Âge_moyen_mort précoce]]</f>
        <v>10.159999999999997</v>
      </c>
      <c r="BG671" s="4">
        <f>Base[[#This Row],[Espérance_vie]]+Base[[#This Row],['[SC']Hausse_esp_de_vie]]-Base[[#This Row],['[SC']Âge_moyen_retraite]]</f>
        <v>20.404874790994718</v>
      </c>
      <c r="BH671" s="4">
        <v>106583.42676924677</v>
      </c>
      <c r="BI671" s="4">
        <v>97601.789429271477</v>
      </c>
      <c r="BJ671" s="4">
        <v>302038.31496633729</v>
      </c>
      <c r="BK671" s="4">
        <v>117293.58934859755</v>
      </c>
      <c r="BL671" s="4">
        <v>1523999.9999999995</v>
      </c>
      <c r="BM67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1" s="4">
        <v>294804.96027377353</v>
      </c>
      <c r="BO67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1" s="4">
        <f>(Base[[#This Row],['[SC']'[Mort_prématurée']Gains]]-Base[[#This Row],['[SC']'[Mort_prématurée']Coûts]])/Base[[#This Row],[Population_totale]]</f>
        <v>0</v>
      </c>
      <c r="BQ671" s="4">
        <f>IF(Base[[#This Row],[Pathologie]]&lt;&gt;"Mort prématurée",0,Base[[#This Row],[Risque]])</f>
        <v>0</v>
      </c>
      <c r="BR671" s="4">
        <v>2680</v>
      </c>
      <c r="BS67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1" s="4">
        <f>Base[[#This Row],[Prévalence_prod]]*(1-Base[[#This Row],[Risque]])*Base[[#This Row],[Durée_arrêt]]*Base[[#This Row],[Population_emploi]]</f>
        <v>0</v>
      </c>
      <c r="BV671" s="4">
        <f>Base[[#This Row],['[Prod']'[Absentéisme']Total_jours_absence_avant]]-Base[[#This Row],['[Prod']'[Absentéisme']Total_jours_absence_après]]</f>
        <v>0</v>
      </c>
      <c r="BW671" s="4">
        <f>IF(AND(Base[[#This Row],[Pathologie]]&lt;&gt;"Dépendance",Base[[#This Row],[Pathologie]]&lt;&gt;"Mort prématurée",Base[[#This Row],[Pathologie]]&lt;&gt;"Migraine"),0.0619,0)</f>
        <v>0</v>
      </c>
      <c r="BX671" s="4">
        <v>254</v>
      </c>
      <c r="BY67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1" s="4">
        <f>Base[[#This Row],[Prévalence_prod]]*Base[[#This Row],[Présentéisme]]*Base[[#This Row],['[Prod']Jours_ouvrés]]</f>
        <v>6.4516000000000009</v>
      </c>
      <c r="CB671" s="4">
        <f>Base[[#This Row],[Prévalence_prod]]*(1-Base[[#This Row],[Risque]])*Base[[#This Row],[Présentéisme]]*Base[[#This Row],['[Prod']Jours_ouvrés]]</f>
        <v>3.7478417178162382</v>
      </c>
      <c r="CC671" s="4">
        <f>Base[[#This Row],['[Prod']'[Présentéisme']Jours_avant]]-Base[[#This Row],['[Prod']'[Présentéisme']Jours_après]]</f>
        <v>2.7037582821837627</v>
      </c>
      <c r="CD671" s="4">
        <f>Base[[#This Row],['[Prod']'[Présentéisme']Jours_gagnés]]/Base[[#This Row],['[Prod']Jours_ouvrés]]</f>
        <v>1.0644717646392767E-2</v>
      </c>
      <c r="CE671">
        <v>9.3428413505841454E-2</v>
      </c>
      <c r="CF671">
        <v>2.1038737314955848E-2</v>
      </c>
      <c r="CG671" s="4">
        <v>11</v>
      </c>
      <c r="CH671" s="4">
        <v>0.85274500894619554</v>
      </c>
      <c r="CI671" s="4">
        <v>4.2903496994109176E-2</v>
      </c>
      <c r="CJ671" s="4">
        <f>IF(Base[[#This Row],[Secteur]]&lt;&gt;"Moyenne",Base[[#This Row],['[Prod']'[Turnover']DMC_initiale]]*(1+Base[[#This Row],['[Prod']'[Turnover']Ecart_accidents]]*Base[[#This Row],['[Prod']Impact_motifs_turnover]]),CJ654*CI654+CJ655*CI655+CJ656*CI656+CJ657*CI657+CJ658*CI658+CJ659*CI659+CJ660*CI660+CJ661*CI661+CJ662*CI662+CJ663*CI663+CJ664*CI664+CJ665*CI665+CJ666*CI666+CJ667*CI667+CJ668*CI668+CJ669*CI669+CJ670*CI670)</f>
        <v>11.197347460638447</v>
      </c>
      <c r="CK671" s="4">
        <f>1/Base[[#This Row],['[Prod']'[Turnover']DMC_initiale]]</f>
        <v>9.0909090909090912E-2</v>
      </c>
      <c r="CL671" s="4">
        <f>1/Base[[#This Row],['[Prod']'[Turnover']DMC_finale]]</f>
        <v>8.930686517635153E-2</v>
      </c>
    </row>
    <row r="672" spans="2:90" x14ac:dyDescent="0.25">
      <c r="B672" s="4" t="s">
        <v>322</v>
      </c>
      <c r="C672">
        <v>30</v>
      </c>
      <c r="D672" t="s">
        <v>85</v>
      </c>
      <c r="E672" t="s">
        <v>97</v>
      </c>
      <c r="F672" s="3">
        <v>0.41908337190522699</v>
      </c>
      <c r="G672" s="3">
        <v>0.2</v>
      </c>
      <c r="H672" s="3">
        <v>0.2</v>
      </c>
      <c r="I672" s="3">
        <v>0.127</v>
      </c>
      <c r="J672" s="3">
        <v>0</v>
      </c>
      <c r="K672" s="3">
        <v>7.0000000000000007E-2</v>
      </c>
      <c r="L672" s="2">
        <f>Base[[#This Row],[Coût]]*Base[[#This Row],[Part_ménages_dépenses_santé]]</f>
        <v>0</v>
      </c>
      <c r="M672" s="2">
        <v>0</v>
      </c>
      <c r="N672" s="6">
        <v>27700000</v>
      </c>
      <c r="O672" s="7">
        <f>Base[[#This Row],[Coût_salarié]]*10^9*Base[[#This Row],[Risque]]*Base[[#This Row],[Prévalence]]*Base[[#This Row],[Part_coûts_salarié]]/Base[[#This Row],[Population_emploi]]</f>
        <v>0</v>
      </c>
      <c r="P672">
        <v>50</v>
      </c>
      <c r="Q672">
        <v>50</v>
      </c>
      <c r="R672" s="2">
        <v>9.9999999999999978E-2</v>
      </c>
      <c r="S672" s="2">
        <v>0.33340000000000003</v>
      </c>
      <c r="T672" s="4">
        <v>0</v>
      </c>
      <c r="U672" s="4">
        <f>IF(Bases_annexes!$F$5=0,16.6587111018772,0.77*Bases_annexes!$F$5/(IF(OR(ISBLANK('Données_d''entrée'!$E$44),'Données_d''entrée'!$E$44=0),35,'Données_d''entrée'!$E$44)*52))</f>
        <v>16.658711101877199</v>
      </c>
      <c r="V672" s="4">
        <v>0</v>
      </c>
      <c r="W67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2" s="4">
        <v>234.5</v>
      </c>
      <c r="Y672" s="4">
        <f>(Base[[#This Row],['[Maladies']Coûts_évités_par_salarié]]+Base[[#This Row],['[Travail']Coûts_évités_par_salarié]])/Base[[#This Row],[Budget_santé_salarié]]</f>
        <v>0</v>
      </c>
      <c r="Z672" s="4">
        <v>0.8</v>
      </c>
      <c r="AA672" s="4">
        <f>Base[[#This Row],[Coût]]*Base[[#This Row],[Part_société_dépenses_santé]]</f>
        <v>0</v>
      </c>
      <c r="AB672" s="4">
        <v>67635124</v>
      </c>
      <c r="AC672" s="4">
        <v>82.297079063317852</v>
      </c>
      <c r="AD672" s="4">
        <v>0</v>
      </c>
      <c r="AE672" s="4">
        <f>Base[[#This Row],['[SC']Prévalence_travail]]*Base[[#This Row],[Population_emploi]]</f>
        <v>0</v>
      </c>
      <c r="AF672" s="4">
        <f>Base[[#This Row],[Risque]]*Base[[#This Row],['[SC']Patients_en_emploi]]</f>
        <v>0</v>
      </c>
      <c r="AG672" s="4">
        <v>0</v>
      </c>
      <c r="AH672" s="4">
        <f>IFERROR(Base[[#This Row],['[SC']Prestations]]/Base[[#This Row],['[SC']Patients_en_emploi]],0)</f>
        <v>0</v>
      </c>
      <c r="AI672" s="4">
        <v>51.7</v>
      </c>
      <c r="AJ67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2" s="4">
        <f>Base[[#This Row],['[SC']'[Travail']Coûts_évités]]/Base[[#This Row],[Population_emploi]]</f>
        <v>0</v>
      </c>
      <c r="AL672" s="4">
        <f>Base[[#This Row],[Coût_société]]*10^9*Base[[#This Row],[Risque]]*Base[[#This Row],[Prévalence]]*Base[[#This Row],[Part_coûts_salarié]]/Base[[#This Row],[Population_emploi]]</f>
        <v>0</v>
      </c>
      <c r="AM672" s="4">
        <f>IF(Base[[#This Row],[Pathologie]]&lt;&gt;"Dépendance",0,14909.24243952)</f>
        <v>0</v>
      </c>
      <c r="AN672" s="4">
        <f>IF(Base[[#This Row],[Pathologie]]&lt;&gt;"Dépendance",0,1316000)</f>
        <v>0</v>
      </c>
      <c r="AO672" s="4">
        <f>IF(Base[[#This Row],[Pathologie]]&lt;&gt;"Dépendance",0,Base[[#This Row],['[SC']Coût_personne_dépendante]]*Base[[#This Row],['[SC']Nb_personnes_dépendantes]])</f>
        <v>0</v>
      </c>
      <c r="AP672" s="4">
        <f>IF(Base[[#This Row],[Pathologie]]&lt;&gt;"Dépendance",0,Base[[#This Row],['[SC']Coût_total_dépendance]]/Base[[#This Row],[Population_totale]])</f>
        <v>0</v>
      </c>
      <c r="AQ672" s="4">
        <f>IF(Base[[#This Row],[Pathologie]]&lt;&gt;"Dépendance",0,4.5)</f>
        <v>0</v>
      </c>
      <c r="AR672" s="4">
        <v>1.0077957276768601</v>
      </c>
      <c r="AS672" s="4">
        <f>Base[[#This Row],[Espérance_vie]]+Base[[#This Row],['[SC']Hausse_esp_de_vie]]-Base[[#This Row],['[SC']Durée_moyenne_dépendance_avt]]+Base[[#This Row],[Risque]]</f>
        <v>83.723958162899947</v>
      </c>
      <c r="AT67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2" s="4">
        <v>62.9</v>
      </c>
      <c r="AW672" s="4">
        <f t="shared" si="23"/>
        <v>336905600000</v>
      </c>
      <c r="AX672" s="4">
        <v>15049171</v>
      </c>
      <c r="AY672" s="4">
        <f>Base[[#This Row],['[SC']Budget_total_retraites]]/Base[[#This Row],['[SC']Nombre_de_retraités]]</f>
        <v>22386.987296509556</v>
      </c>
      <c r="AZ672" s="4">
        <f>Base[[#This Row],['[SC']Budget_par_retraité]]*Base[[#This Row],['[SC']Nb_personnes_dépendantes]]</f>
        <v>0</v>
      </c>
      <c r="BA672" s="4">
        <f>Base[[#This Row],['[SC']'[Dépendance']Coût_retraite_personnes_dépendantes]]/Base[[#This Row],[Population_totale]]</f>
        <v>0</v>
      </c>
      <c r="BB67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2" s="4">
        <f>Base[[#This Row],['[SC']'[Dépendance']Gains]]-Base[[#This Row],['[SC']'[Dépendance']Coûts]]</f>
        <v>0</v>
      </c>
      <c r="BD672" s="4">
        <f>IF(Base[[#This Row],[Pathologie]]&lt;&gt;"Mort prématurée",0,Base[[#This Row],[Risque]]*Base[[#This Row],[Prévalence]]*Base[[#This Row],[Population_totale]])</f>
        <v>0</v>
      </c>
      <c r="BE672" s="4">
        <v>52.74</v>
      </c>
      <c r="BF672" s="4">
        <f>Base[[#This Row],['[SC']Âge_moyen_retraite]]-Base[[#This Row],['[SC']'[Mort_prématurée']Âge_moyen_mort précoce]]</f>
        <v>10.159999999999997</v>
      </c>
      <c r="BG672" s="4">
        <f>Base[[#This Row],[Espérance_vie]]+Base[[#This Row],['[SC']Hausse_esp_de_vie]]-Base[[#This Row],['[SC']Âge_moyen_retraite]]</f>
        <v>20.404874790994718</v>
      </c>
      <c r="BH672" s="4">
        <v>106583.42676924677</v>
      </c>
      <c r="BI672" s="4">
        <v>97601.789429271477</v>
      </c>
      <c r="BJ672" s="4">
        <v>302038.31496633729</v>
      </c>
      <c r="BK672" s="4">
        <v>117293.58934859755</v>
      </c>
      <c r="BL672" s="4">
        <v>1523999.9999999995</v>
      </c>
      <c r="BM67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2" s="4">
        <v>294804.96027377353</v>
      </c>
      <c r="BO67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2" s="4">
        <f>(Base[[#This Row],['[SC']'[Mort_prématurée']Gains]]-Base[[#This Row],['[SC']'[Mort_prématurée']Coûts]])/Base[[#This Row],[Population_totale]]</f>
        <v>0</v>
      </c>
      <c r="BQ672" s="4">
        <f>IF(Base[[#This Row],[Pathologie]]&lt;&gt;"Mort prématurée",0,Base[[#This Row],[Risque]])</f>
        <v>0</v>
      </c>
      <c r="BR672" s="4">
        <v>2680</v>
      </c>
      <c r="BS67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2" s="4">
        <f>Base[[#This Row],[Prévalence_prod]]*(1-Base[[#This Row],[Risque]])*Base[[#This Row],[Durée_arrêt]]*Base[[#This Row],[Population_emploi]]</f>
        <v>0</v>
      </c>
      <c r="BV672" s="4">
        <f>Base[[#This Row],['[Prod']'[Absentéisme']Total_jours_absence_avant]]-Base[[#This Row],['[Prod']'[Absentéisme']Total_jours_absence_après]]</f>
        <v>0</v>
      </c>
      <c r="BW672" s="4">
        <f>IF(AND(Base[[#This Row],[Pathologie]]&lt;&gt;"Dépendance",Base[[#This Row],[Pathologie]]&lt;&gt;"Mort prématurée",Base[[#This Row],[Pathologie]]&lt;&gt;"Migraine"),0.0619,0)</f>
        <v>0</v>
      </c>
      <c r="BX672" s="4">
        <v>254</v>
      </c>
      <c r="BY67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2" s="4">
        <f>Base[[#This Row],[Prévalence_prod]]*Base[[#This Row],[Présentéisme]]*Base[[#This Row],['[Prod']Jours_ouvrés]]</f>
        <v>6.4516000000000009</v>
      </c>
      <c r="CB672" s="4">
        <f>Base[[#This Row],[Prévalence_prod]]*(1-Base[[#This Row],[Risque]])*Base[[#This Row],[Présentéisme]]*Base[[#This Row],['[Prod']Jours_ouvrés]]</f>
        <v>3.7478417178162382</v>
      </c>
      <c r="CC672" s="4">
        <f>Base[[#This Row],['[Prod']'[Présentéisme']Jours_avant]]-Base[[#This Row],['[Prod']'[Présentéisme']Jours_après]]</f>
        <v>2.7037582821837627</v>
      </c>
      <c r="CD672" s="4">
        <f>Base[[#This Row],['[Prod']'[Présentéisme']Jours_gagnés]]/Base[[#This Row],['[Prod']Jours_ouvrés]]</f>
        <v>1.0644717646392767E-2</v>
      </c>
      <c r="CE672">
        <v>9.3428413505841454E-2</v>
      </c>
      <c r="CF672">
        <v>2.1038737314955848E-2</v>
      </c>
      <c r="CG672" s="4">
        <v>11</v>
      </c>
      <c r="CH672" s="4">
        <v>1.6219398392978641</v>
      </c>
      <c r="CI672" s="4">
        <v>9.628527536862988E-2</v>
      </c>
      <c r="CJ672" s="4">
        <f>IF(Base[[#This Row],[Secteur]]&lt;&gt;"Moyenne",Base[[#This Row],['[Prod']'[Turnover']DMC_initiale]]*(1+Base[[#This Row],['[Prod']'[Turnover']Ecart_accidents]]*Base[[#This Row],['[Prod']Impact_motifs_turnover]]),CJ655*CI655+CJ656*CI656+CJ657*CI657+CJ658*CI658+CJ659*CI659+CJ660*CI660+CJ661*CI661+CJ662*CI662+CJ663*CI663+CJ664*CI664+CJ665*CI665+CJ666*CI666+CJ667*CI667+CJ668*CI668+CJ669*CI669+CJ670*CI670+CJ671*CI671)</f>
        <v>11.375359228416144</v>
      </c>
      <c r="CK672" s="4">
        <f>1/Base[[#This Row],['[Prod']'[Turnover']DMC_initiale]]</f>
        <v>9.0909090909090912E-2</v>
      </c>
      <c r="CL672" s="4">
        <f>1/Base[[#This Row],['[Prod']'[Turnover']DMC_finale]]</f>
        <v>8.7909311690303041E-2</v>
      </c>
    </row>
    <row r="673" spans="2:90" x14ac:dyDescent="0.25">
      <c r="B673" s="4" t="s">
        <v>323</v>
      </c>
      <c r="C673">
        <v>30</v>
      </c>
      <c r="D673" t="s">
        <v>85</v>
      </c>
      <c r="E673" t="s">
        <v>97</v>
      </c>
      <c r="F673" s="3">
        <v>0.41908337190522699</v>
      </c>
      <c r="G673" s="3">
        <v>0.2</v>
      </c>
      <c r="H673" s="3">
        <v>0.2</v>
      </c>
      <c r="I673" s="3">
        <v>0.127</v>
      </c>
      <c r="J673" s="3">
        <v>0</v>
      </c>
      <c r="K673" s="3">
        <v>7.0000000000000007E-2</v>
      </c>
      <c r="L673" s="2">
        <f>Base[[#This Row],[Coût]]*Base[[#This Row],[Part_ménages_dépenses_santé]]</f>
        <v>0</v>
      </c>
      <c r="M673" s="2">
        <v>0</v>
      </c>
      <c r="N673" s="6">
        <v>27700000</v>
      </c>
      <c r="O673" s="7">
        <f>Base[[#This Row],[Coût_salarié]]*10^9*Base[[#This Row],[Risque]]*Base[[#This Row],[Prévalence]]*Base[[#This Row],[Part_coûts_salarié]]/Base[[#This Row],[Population_emploi]]</f>
        <v>0</v>
      </c>
      <c r="P673">
        <v>50</v>
      </c>
      <c r="Q673">
        <v>50</v>
      </c>
      <c r="R673" s="2">
        <v>9.9999999999999978E-2</v>
      </c>
      <c r="S673" s="2">
        <v>0.33340000000000003</v>
      </c>
      <c r="T673" s="4">
        <v>0</v>
      </c>
      <c r="U673" s="4">
        <f>IF(Bases_annexes!$F$5=0,16.6587111018772,0.77*Bases_annexes!$F$5/(IF(OR(ISBLANK('Données_d''entrée'!$E$44),'Données_d''entrée'!$E$44=0),35,'Données_d''entrée'!$E$44)*52))</f>
        <v>16.658711101877199</v>
      </c>
      <c r="V673" s="4">
        <v>0</v>
      </c>
      <c r="W673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3" s="4">
        <v>234.5</v>
      </c>
      <c r="Y673" s="4">
        <f>(Base[[#This Row],['[Maladies']Coûts_évités_par_salarié]]+Base[[#This Row],['[Travail']Coûts_évités_par_salarié]])/Base[[#This Row],[Budget_santé_salarié]]</f>
        <v>0</v>
      </c>
      <c r="Z673" s="4">
        <v>0.8</v>
      </c>
      <c r="AA673" s="4">
        <f>Base[[#This Row],[Coût]]*Base[[#This Row],[Part_société_dépenses_santé]]</f>
        <v>0</v>
      </c>
      <c r="AB673" s="4">
        <v>67635124</v>
      </c>
      <c r="AC673" s="4">
        <v>82.297079063317852</v>
      </c>
      <c r="AD673" s="4">
        <v>0</v>
      </c>
      <c r="AE673" s="4">
        <f>Base[[#This Row],['[SC']Prévalence_travail]]*Base[[#This Row],[Population_emploi]]</f>
        <v>0</v>
      </c>
      <c r="AF673" s="4">
        <f>Base[[#This Row],[Risque]]*Base[[#This Row],['[SC']Patients_en_emploi]]</f>
        <v>0</v>
      </c>
      <c r="AG673" s="4">
        <v>0</v>
      </c>
      <c r="AH673" s="4">
        <f>IFERROR(Base[[#This Row],['[SC']Prestations]]/Base[[#This Row],['[SC']Patients_en_emploi]],0)</f>
        <v>0</v>
      </c>
      <c r="AI673" s="4">
        <v>51.7</v>
      </c>
      <c r="AJ673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3" s="4">
        <f>Base[[#This Row],['[SC']'[Travail']Coûts_évités]]/Base[[#This Row],[Population_emploi]]</f>
        <v>0</v>
      </c>
      <c r="AL673" s="4">
        <f>Base[[#This Row],[Coût_société]]*10^9*Base[[#This Row],[Risque]]*Base[[#This Row],[Prévalence]]*Base[[#This Row],[Part_coûts_salarié]]/Base[[#This Row],[Population_emploi]]</f>
        <v>0</v>
      </c>
      <c r="AM673" s="4">
        <f>IF(Base[[#This Row],[Pathologie]]&lt;&gt;"Dépendance",0,14909.24243952)</f>
        <v>0</v>
      </c>
      <c r="AN673" s="4">
        <f>IF(Base[[#This Row],[Pathologie]]&lt;&gt;"Dépendance",0,1316000)</f>
        <v>0</v>
      </c>
      <c r="AO673" s="4">
        <f>IF(Base[[#This Row],[Pathologie]]&lt;&gt;"Dépendance",0,Base[[#This Row],['[SC']Coût_personne_dépendante]]*Base[[#This Row],['[SC']Nb_personnes_dépendantes]])</f>
        <v>0</v>
      </c>
      <c r="AP673" s="4">
        <f>IF(Base[[#This Row],[Pathologie]]&lt;&gt;"Dépendance",0,Base[[#This Row],['[SC']Coût_total_dépendance]]/Base[[#This Row],[Population_totale]])</f>
        <v>0</v>
      </c>
      <c r="AQ673" s="4">
        <f>IF(Base[[#This Row],[Pathologie]]&lt;&gt;"Dépendance",0,4.5)</f>
        <v>0</v>
      </c>
      <c r="AR673" s="4">
        <v>1.0077957276768601</v>
      </c>
      <c r="AS673" s="4">
        <f>Base[[#This Row],[Espérance_vie]]+Base[[#This Row],['[SC']Hausse_esp_de_vie]]-Base[[#This Row],['[SC']Durée_moyenne_dépendance_avt]]+Base[[#This Row],[Risque]]</f>
        <v>83.723958162899947</v>
      </c>
      <c r="AT673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3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3" s="4">
        <v>62.9</v>
      </c>
      <c r="AW673" s="4">
        <f t="shared" si="23"/>
        <v>336905600000</v>
      </c>
      <c r="AX673" s="4">
        <v>15049171</v>
      </c>
      <c r="AY673" s="4">
        <f>Base[[#This Row],['[SC']Budget_total_retraites]]/Base[[#This Row],['[SC']Nombre_de_retraités]]</f>
        <v>22386.987296509556</v>
      </c>
      <c r="AZ673" s="4">
        <f>Base[[#This Row],['[SC']Budget_par_retraité]]*Base[[#This Row],['[SC']Nb_personnes_dépendantes]]</f>
        <v>0</v>
      </c>
      <c r="BA673" s="4">
        <f>Base[[#This Row],['[SC']'[Dépendance']Coût_retraite_personnes_dépendantes]]/Base[[#This Row],[Population_totale]]</f>
        <v>0</v>
      </c>
      <c r="BB673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3" s="4">
        <f>Base[[#This Row],['[SC']'[Dépendance']Gains]]-Base[[#This Row],['[SC']'[Dépendance']Coûts]]</f>
        <v>0</v>
      </c>
      <c r="BD673" s="4">
        <f>IF(Base[[#This Row],[Pathologie]]&lt;&gt;"Mort prématurée",0,Base[[#This Row],[Risque]]*Base[[#This Row],[Prévalence]]*Base[[#This Row],[Population_totale]])</f>
        <v>0</v>
      </c>
      <c r="BE673" s="4">
        <v>52.74</v>
      </c>
      <c r="BF673" s="4">
        <f>Base[[#This Row],['[SC']Âge_moyen_retraite]]-Base[[#This Row],['[SC']'[Mort_prématurée']Âge_moyen_mort précoce]]</f>
        <v>10.159999999999997</v>
      </c>
      <c r="BG673" s="4">
        <f>Base[[#This Row],[Espérance_vie]]+Base[[#This Row],['[SC']Hausse_esp_de_vie]]-Base[[#This Row],['[SC']Âge_moyen_retraite]]</f>
        <v>20.404874790994718</v>
      </c>
      <c r="BH673" s="4">
        <v>106583.42676924677</v>
      </c>
      <c r="BI673" s="4">
        <v>97601.789429271477</v>
      </c>
      <c r="BJ673" s="4">
        <v>302038.31496633729</v>
      </c>
      <c r="BK673" s="4">
        <v>117293.58934859755</v>
      </c>
      <c r="BL673" s="4">
        <v>1523999.9999999995</v>
      </c>
      <c r="BM673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3" s="4">
        <v>294804.96027377353</v>
      </c>
      <c r="BO673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3" s="4">
        <f>(Base[[#This Row],['[SC']'[Mort_prématurée']Gains]]-Base[[#This Row],['[SC']'[Mort_prématurée']Coûts]])/Base[[#This Row],[Population_totale]]</f>
        <v>0</v>
      </c>
      <c r="BQ673" s="4">
        <f>IF(Base[[#This Row],[Pathologie]]&lt;&gt;"Mort prématurée",0,Base[[#This Row],[Risque]])</f>
        <v>0</v>
      </c>
      <c r="BR673" s="4">
        <v>2680</v>
      </c>
      <c r="BS673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3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3" s="4">
        <f>Base[[#This Row],[Prévalence_prod]]*(1-Base[[#This Row],[Risque]])*Base[[#This Row],[Durée_arrêt]]*Base[[#This Row],[Population_emploi]]</f>
        <v>0</v>
      </c>
      <c r="BV673" s="4">
        <f>Base[[#This Row],['[Prod']'[Absentéisme']Total_jours_absence_avant]]-Base[[#This Row],['[Prod']'[Absentéisme']Total_jours_absence_après]]</f>
        <v>0</v>
      </c>
      <c r="BW673" s="4">
        <f>IF(AND(Base[[#This Row],[Pathologie]]&lt;&gt;"Dépendance",Base[[#This Row],[Pathologie]]&lt;&gt;"Mort prématurée",Base[[#This Row],[Pathologie]]&lt;&gt;"Migraine"),0.0619,0)</f>
        <v>0</v>
      </c>
      <c r="BX673" s="4">
        <v>254</v>
      </c>
      <c r="BY673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3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3" s="4">
        <f>Base[[#This Row],[Prévalence_prod]]*Base[[#This Row],[Présentéisme]]*Base[[#This Row],['[Prod']Jours_ouvrés]]</f>
        <v>6.4516000000000009</v>
      </c>
      <c r="CB673" s="4">
        <f>Base[[#This Row],[Prévalence_prod]]*(1-Base[[#This Row],[Risque]])*Base[[#This Row],[Présentéisme]]*Base[[#This Row],['[Prod']Jours_ouvrés]]</f>
        <v>3.7478417178162382</v>
      </c>
      <c r="CC673" s="4">
        <f>Base[[#This Row],['[Prod']'[Présentéisme']Jours_avant]]-Base[[#This Row],['[Prod']'[Présentéisme']Jours_après]]</f>
        <v>2.7037582821837627</v>
      </c>
      <c r="CD673" s="4">
        <f>Base[[#This Row],['[Prod']'[Présentéisme']Jours_gagnés]]/Base[[#This Row],['[Prod']Jours_ouvrés]]</f>
        <v>1.0644717646392767E-2</v>
      </c>
      <c r="CE673">
        <v>9.3428413505841454E-2</v>
      </c>
      <c r="CF673">
        <v>2.1038737314955848E-2</v>
      </c>
      <c r="CG673" s="4">
        <v>11</v>
      </c>
      <c r="CH673" s="4">
        <v>0.96913802401210614</v>
      </c>
      <c r="CI673" s="4">
        <v>0.10293966445307301</v>
      </c>
      <c r="CJ673" s="4">
        <f>IF(Base[[#This Row],[Secteur]]&lt;&gt;"Moyenne",Base[[#This Row],['[Prod']'[Turnover']DMC_initiale]]*(1+Base[[#This Row],['[Prod']'[Turnover']Ecart_accidents]]*Base[[#This Row],['[Prod']Impact_motifs_turnover]]),CJ656*CI656+CJ657*CI657+CJ658*CI658+CJ659*CI659+CJ660*CI660+CJ661*CI661+CJ662*CI662+CJ663*CI663+CJ664*CI664+CJ665*CI665+CJ666*CI666+CJ667*CI667+CJ668*CI668+CJ669*CI669+CJ670*CI670+CJ671*CI671+CJ672*CI672)</f>
        <v>11.224283843400386</v>
      </c>
      <c r="CK673" s="4">
        <f>1/Base[[#This Row],['[Prod']'[Turnover']DMC_initiale]]</f>
        <v>9.0909090909090912E-2</v>
      </c>
      <c r="CL673" s="4">
        <f>1/Base[[#This Row],['[Prod']'[Turnover']DMC_finale]]</f>
        <v>8.9092543805186858E-2</v>
      </c>
    </row>
    <row r="674" spans="2:90" x14ac:dyDescent="0.25">
      <c r="B674" s="4" t="s">
        <v>324</v>
      </c>
      <c r="C674">
        <v>30</v>
      </c>
      <c r="D674" t="s">
        <v>85</v>
      </c>
      <c r="E674" t="s">
        <v>97</v>
      </c>
      <c r="F674" s="3">
        <v>0.41908337190522699</v>
      </c>
      <c r="G674" s="3">
        <v>0.2</v>
      </c>
      <c r="H674" s="3">
        <v>0.2</v>
      </c>
      <c r="I674" s="3">
        <v>0.127</v>
      </c>
      <c r="J674" s="3">
        <v>0</v>
      </c>
      <c r="K674" s="3">
        <v>7.0000000000000007E-2</v>
      </c>
      <c r="L674" s="2">
        <f>Base[[#This Row],[Coût]]*Base[[#This Row],[Part_ménages_dépenses_santé]]</f>
        <v>0</v>
      </c>
      <c r="M674" s="2">
        <v>0</v>
      </c>
      <c r="N674" s="6">
        <v>27700000</v>
      </c>
      <c r="O674" s="7">
        <f>Base[[#This Row],[Coût_salarié]]*10^9*Base[[#This Row],[Risque]]*Base[[#This Row],[Prévalence]]*Base[[#This Row],[Part_coûts_salarié]]/Base[[#This Row],[Population_emploi]]</f>
        <v>0</v>
      </c>
      <c r="P674">
        <v>50</v>
      </c>
      <c r="Q674">
        <v>50</v>
      </c>
      <c r="R674" s="2">
        <v>9.9999999999999978E-2</v>
      </c>
      <c r="S674" s="2">
        <v>0.33340000000000003</v>
      </c>
      <c r="T674" s="4">
        <v>0</v>
      </c>
      <c r="U674" s="4">
        <f>IF(Bases_annexes!$F$5=0,16.6587111018772,0.77*Bases_annexes!$F$5/(IF(OR(ISBLANK('Données_d''entrée'!$E$44),'Données_d''entrée'!$E$44=0),35,'Données_d''entrée'!$E$44)*52))</f>
        <v>16.658711101877199</v>
      </c>
      <c r="V674" s="4">
        <v>0</v>
      </c>
      <c r="W674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4" s="4">
        <v>234.5</v>
      </c>
      <c r="Y674" s="4">
        <f>(Base[[#This Row],['[Maladies']Coûts_évités_par_salarié]]+Base[[#This Row],['[Travail']Coûts_évités_par_salarié]])/Base[[#This Row],[Budget_santé_salarié]]</f>
        <v>0</v>
      </c>
      <c r="Z674" s="4">
        <v>0.8</v>
      </c>
      <c r="AA674" s="4">
        <f>Base[[#This Row],[Coût]]*Base[[#This Row],[Part_société_dépenses_santé]]</f>
        <v>0</v>
      </c>
      <c r="AB674" s="4">
        <v>67635124</v>
      </c>
      <c r="AC674" s="4">
        <v>82.297079063317852</v>
      </c>
      <c r="AD674" s="4">
        <v>0</v>
      </c>
      <c r="AE674" s="4">
        <f>Base[[#This Row],['[SC']Prévalence_travail]]*Base[[#This Row],[Population_emploi]]</f>
        <v>0</v>
      </c>
      <c r="AF674" s="4">
        <f>Base[[#This Row],[Risque]]*Base[[#This Row],['[SC']Patients_en_emploi]]</f>
        <v>0</v>
      </c>
      <c r="AG674" s="4">
        <v>0</v>
      </c>
      <c r="AH674" s="4">
        <f>IFERROR(Base[[#This Row],['[SC']Prestations]]/Base[[#This Row],['[SC']Patients_en_emploi]],0)</f>
        <v>0</v>
      </c>
      <c r="AI674" s="4">
        <v>51.7</v>
      </c>
      <c r="AJ674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4" s="4">
        <f>Base[[#This Row],['[SC']'[Travail']Coûts_évités]]/Base[[#This Row],[Population_emploi]]</f>
        <v>0</v>
      </c>
      <c r="AL674" s="4">
        <f>Base[[#This Row],[Coût_société]]*10^9*Base[[#This Row],[Risque]]*Base[[#This Row],[Prévalence]]*Base[[#This Row],[Part_coûts_salarié]]/Base[[#This Row],[Population_emploi]]</f>
        <v>0</v>
      </c>
      <c r="AM674" s="4">
        <f>IF(Base[[#This Row],[Pathologie]]&lt;&gt;"Dépendance",0,14909.24243952)</f>
        <v>0</v>
      </c>
      <c r="AN674" s="4">
        <f>IF(Base[[#This Row],[Pathologie]]&lt;&gt;"Dépendance",0,1316000)</f>
        <v>0</v>
      </c>
      <c r="AO674" s="4">
        <f>IF(Base[[#This Row],[Pathologie]]&lt;&gt;"Dépendance",0,Base[[#This Row],['[SC']Coût_personne_dépendante]]*Base[[#This Row],['[SC']Nb_personnes_dépendantes]])</f>
        <v>0</v>
      </c>
      <c r="AP674" s="4">
        <f>IF(Base[[#This Row],[Pathologie]]&lt;&gt;"Dépendance",0,Base[[#This Row],['[SC']Coût_total_dépendance]]/Base[[#This Row],[Population_totale]])</f>
        <v>0</v>
      </c>
      <c r="AQ674" s="4">
        <f>IF(Base[[#This Row],[Pathologie]]&lt;&gt;"Dépendance",0,4.5)</f>
        <v>0</v>
      </c>
      <c r="AR674" s="4">
        <v>1.0077957276768601</v>
      </c>
      <c r="AS674" s="4">
        <f>Base[[#This Row],[Espérance_vie]]+Base[[#This Row],['[SC']Hausse_esp_de_vie]]-Base[[#This Row],['[SC']Durée_moyenne_dépendance_avt]]+Base[[#This Row],[Risque]]</f>
        <v>83.723958162899947</v>
      </c>
      <c r="AT674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4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4" s="4">
        <v>62.9</v>
      </c>
      <c r="AW674" s="4">
        <f t="shared" si="23"/>
        <v>336905600000</v>
      </c>
      <c r="AX674" s="4">
        <v>15049171</v>
      </c>
      <c r="AY674" s="4">
        <f>Base[[#This Row],['[SC']Budget_total_retraites]]/Base[[#This Row],['[SC']Nombre_de_retraités]]</f>
        <v>22386.987296509556</v>
      </c>
      <c r="AZ674" s="4">
        <f>Base[[#This Row],['[SC']Budget_par_retraité]]*Base[[#This Row],['[SC']Nb_personnes_dépendantes]]</f>
        <v>0</v>
      </c>
      <c r="BA674" s="4">
        <f>Base[[#This Row],['[SC']'[Dépendance']Coût_retraite_personnes_dépendantes]]/Base[[#This Row],[Population_totale]]</f>
        <v>0</v>
      </c>
      <c r="BB674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4" s="4">
        <f>Base[[#This Row],['[SC']'[Dépendance']Gains]]-Base[[#This Row],['[SC']'[Dépendance']Coûts]]</f>
        <v>0</v>
      </c>
      <c r="BD674" s="4">
        <f>IF(Base[[#This Row],[Pathologie]]&lt;&gt;"Mort prématurée",0,Base[[#This Row],[Risque]]*Base[[#This Row],[Prévalence]]*Base[[#This Row],[Population_totale]])</f>
        <v>0</v>
      </c>
      <c r="BE674" s="4">
        <v>52.74</v>
      </c>
      <c r="BF674" s="4">
        <f>Base[[#This Row],['[SC']Âge_moyen_retraite]]-Base[[#This Row],['[SC']'[Mort_prématurée']Âge_moyen_mort précoce]]</f>
        <v>10.159999999999997</v>
      </c>
      <c r="BG674" s="4">
        <f>Base[[#This Row],[Espérance_vie]]+Base[[#This Row],['[SC']Hausse_esp_de_vie]]-Base[[#This Row],['[SC']Âge_moyen_retraite]]</f>
        <v>20.404874790994718</v>
      </c>
      <c r="BH674" s="4">
        <v>106583.42676924677</v>
      </c>
      <c r="BI674" s="4">
        <v>97601.789429271477</v>
      </c>
      <c r="BJ674" s="4">
        <v>302038.31496633729</v>
      </c>
      <c r="BK674" s="4">
        <v>117293.58934859755</v>
      </c>
      <c r="BL674" s="4">
        <v>1523999.9999999995</v>
      </c>
      <c r="BM674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4" s="4">
        <v>294804.96027377353</v>
      </c>
      <c r="BO674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4" s="4">
        <f>(Base[[#This Row],['[SC']'[Mort_prématurée']Gains]]-Base[[#This Row],['[SC']'[Mort_prématurée']Coûts]])/Base[[#This Row],[Population_totale]]</f>
        <v>0</v>
      </c>
      <c r="BQ674" s="4">
        <f>IF(Base[[#This Row],[Pathologie]]&lt;&gt;"Mort prématurée",0,Base[[#This Row],[Risque]])</f>
        <v>0</v>
      </c>
      <c r="BR674" s="4">
        <v>2680</v>
      </c>
      <c r="BS674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4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4" s="4">
        <f>Base[[#This Row],[Prévalence_prod]]*(1-Base[[#This Row],[Risque]])*Base[[#This Row],[Durée_arrêt]]*Base[[#This Row],[Population_emploi]]</f>
        <v>0</v>
      </c>
      <c r="BV674" s="4">
        <f>Base[[#This Row],['[Prod']'[Absentéisme']Total_jours_absence_avant]]-Base[[#This Row],['[Prod']'[Absentéisme']Total_jours_absence_après]]</f>
        <v>0</v>
      </c>
      <c r="BW674" s="4">
        <f>IF(AND(Base[[#This Row],[Pathologie]]&lt;&gt;"Dépendance",Base[[#This Row],[Pathologie]]&lt;&gt;"Mort prématurée",Base[[#This Row],[Pathologie]]&lt;&gt;"Migraine"),0.0619,0)</f>
        <v>0</v>
      </c>
      <c r="BX674" s="4">
        <v>254</v>
      </c>
      <c r="BY674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4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4" s="4">
        <f>Base[[#This Row],[Prévalence_prod]]*Base[[#This Row],[Présentéisme]]*Base[[#This Row],['[Prod']Jours_ouvrés]]</f>
        <v>6.4516000000000009</v>
      </c>
      <c r="CB674" s="4">
        <f>Base[[#This Row],[Prévalence_prod]]*(1-Base[[#This Row],[Risque]])*Base[[#This Row],[Présentéisme]]*Base[[#This Row],['[Prod']Jours_ouvrés]]</f>
        <v>3.7478417178162382</v>
      </c>
      <c r="CC674" s="4">
        <f>Base[[#This Row],['[Prod']'[Présentéisme']Jours_avant]]-Base[[#This Row],['[Prod']'[Présentéisme']Jours_après]]</f>
        <v>2.7037582821837627</v>
      </c>
      <c r="CD674" s="4">
        <f>Base[[#This Row],['[Prod']'[Présentéisme']Jours_gagnés]]/Base[[#This Row],['[Prod']Jours_ouvrés]]</f>
        <v>1.0644717646392767E-2</v>
      </c>
      <c r="CE674">
        <v>9.3428413505841454E-2</v>
      </c>
      <c r="CF674">
        <v>2.1038737314955848E-2</v>
      </c>
      <c r="CG674" s="4">
        <v>11</v>
      </c>
      <c r="CH674" s="4">
        <v>1.3987208237662601</v>
      </c>
      <c r="CI674" s="4">
        <v>2.1768516166491274E-2</v>
      </c>
      <c r="CJ674" s="4">
        <f>IF(Base[[#This Row],[Secteur]]&lt;&gt;"Moyenne",Base[[#This Row],['[Prod']'[Turnover']DMC_initiale]]*(1+Base[[#This Row],['[Prod']'[Turnover']Ecart_accidents]]*Base[[#This Row],['[Prod']Impact_motifs_turnover]]),CJ657*CI657+CJ658*CI658+CJ659*CI659+CJ660*CI660+CJ661*CI661+CJ662*CI662+CJ663*CI663+CJ664*CI664+CJ665*CI665+CJ666*CI666+CJ667*CI667+CJ668*CI668+CJ669*CI669+CJ670*CI670+CJ671*CI671+CJ672*CI672+CJ673*CI673)</f>
        <v>11.323700519869947</v>
      </c>
      <c r="CK674" s="4">
        <f>1/Base[[#This Row],['[Prod']'[Turnover']DMC_initiale]]</f>
        <v>9.0909090909090912E-2</v>
      </c>
      <c r="CL674" s="4">
        <f>1/Base[[#This Row],['[Prod']'[Turnover']DMC_finale]]</f>
        <v>8.8310353867561045E-2</v>
      </c>
    </row>
    <row r="675" spans="2:90" x14ac:dyDescent="0.25">
      <c r="B675" s="4" t="s">
        <v>325</v>
      </c>
      <c r="C675">
        <v>30</v>
      </c>
      <c r="D675" t="s">
        <v>85</v>
      </c>
      <c r="E675" t="s">
        <v>97</v>
      </c>
      <c r="F675" s="3">
        <v>0.41908337190522699</v>
      </c>
      <c r="G675" s="3">
        <v>0.2</v>
      </c>
      <c r="H675" s="3">
        <v>0.2</v>
      </c>
      <c r="I675" s="3">
        <v>0.127</v>
      </c>
      <c r="J675" s="3">
        <v>0</v>
      </c>
      <c r="K675" s="3">
        <v>7.0000000000000007E-2</v>
      </c>
      <c r="L675" s="2">
        <f>Base[[#This Row],[Coût]]*Base[[#This Row],[Part_ménages_dépenses_santé]]</f>
        <v>0</v>
      </c>
      <c r="M675" s="2">
        <v>0</v>
      </c>
      <c r="N675" s="6">
        <v>27700000</v>
      </c>
      <c r="O675" s="7">
        <f>Base[[#This Row],[Coût_salarié]]*10^9*Base[[#This Row],[Risque]]*Base[[#This Row],[Prévalence]]*Base[[#This Row],[Part_coûts_salarié]]/Base[[#This Row],[Population_emploi]]</f>
        <v>0</v>
      </c>
      <c r="P675">
        <v>50</v>
      </c>
      <c r="Q675">
        <v>50</v>
      </c>
      <c r="R675" s="2">
        <v>9.9999999999999978E-2</v>
      </c>
      <c r="S675" s="2">
        <v>0.33340000000000003</v>
      </c>
      <c r="T675" s="4">
        <v>0</v>
      </c>
      <c r="U675" s="4">
        <f>IF(Bases_annexes!$F$5=0,16.6587111018772,0.77*Bases_annexes!$F$5/(IF(OR(ISBLANK('Données_d''entrée'!$E$44),'Données_d''entrée'!$E$44=0),35,'Données_d''entrée'!$E$44)*52))</f>
        <v>16.658711101877199</v>
      </c>
      <c r="V675" s="4">
        <v>0</v>
      </c>
      <c r="W675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5" s="4">
        <v>234.5</v>
      </c>
      <c r="Y675" s="4">
        <f>(Base[[#This Row],['[Maladies']Coûts_évités_par_salarié]]+Base[[#This Row],['[Travail']Coûts_évités_par_salarié]])/Base[[#This Row],[Budget_santé_salarié]]</f>
        <v>0</v>
      </c>
      <c r="Z675" s="4">
        <v>0.8</v>
      </c>
      <c r="AA675" s="4">
        <f>Base[[#This Row],[Coût]]*Base[[#This Row],[Part_société_dépenses_santé]]</f>
        <v>0</v>
      </c>
      <c r="AB675" s="4">
        <v>67635124</v>
      </c>
      <c r="AC675" s="4">
        <v>82.297079063317852</v>
      </c>
      <c r="AD675" s="4">
        <v>0</v>
      </c>
      <c r="AE675" s="4">
        <f>Base[[#This Row],['[SC']Prévalence_travail]]*Base[[#This Row],[Population_emploi]]</f>
        <v>0</v>
      </c>
      <c r="AF675" s="4">
        <f>Base[[#This Row],[Risque]]*Base[[#This Row],['[SC']Patients_en_emploi]]</f>
        <v>0</v>
      </c>
      <c r="AG675" s="4">
        <v>0</v>
      </c>
      <c r="AH675" s="4">
        <f>IFERROR(Base[[#This Row],['[SC']Prestations]]/Base[[#This Row],['[SC']Patients_en_emploi]],0)</f>
        <v>0</v>
      </c>
      <c r="AI675" s="4">
        <v>51.7</v>
      </c>
      <c r="AJ675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5" s="4">
        <f>Base[[#This Row],['[SC']'[Travail']Coûts_évités]]/Base[[#This Row],[Population_emploi]]</f>
        <v>0</v>
      </c>
      <c r="AL675" s="4">
        <f>Base[[#This Row],[Coût_société]]*10^9*Base[[#This Row],[Risque]]*Base[[#This Row],[Prévalence]]*Base[[#This Row],[Part_coûts_salarié]]/Base[[#This Row],[Population_emploi]]</f>
        <v>0</v>
      </c>
      <c r="AM675" s="4">
        <f>IF(Base[[#This Row],[Pathologie]]&lt;&gt;"Dépendance",0,14909.24243952)</f>
        <v>0</v>
      </c>
      <c r="AN675" s="4">
        <f>IF(Base[[#This Row],[Pathologie]]&lt;&gt;"Dépendance",0,1316000)</f>
        <v>0</v>
      </c>
      <c r="AO675" s="4">
        <f>IF(Base[[#This Row],[Pathologie]]&lt;&gt;"Dépendance",0,Base[[#This Row],['[SC']Coût_personne_dépendante]]*Base[[#This Row],['[SC']Nb_personnes_dépendantes]])</f>
        <v>0</v>
      </c>
      <c r="AP675" s="4">
        <f>IF(Base[[#This Row],[Pathologie]]&lt;&gt;"Dépendance",0,Base[[#This Row],['[SC']Coût_total_dépendance]]/Base[[#This Row],[Population_totale]])</f>
        <v>0</v>
      </c>
      <c r="AQ675" s="4">
        <f>IF(Base[[#This Row],[Pathologie]]&lt;&gt;"Dépendance",0,4.5)</f>
        <v>0</v>
      </c>
      <c r="AR675" s="4">
        <v>1.0077957276768601</v>
      </c>
      <c r="AS675" s="4">
        <f>Base[[#This Row],[Espérance_vie]]+Base[[#This Row],['[SC']Hausse_esp_de_vie]]-Base[[#This Row],['[SC']Durée_moyenne_dépendance_avt]]+Base[[#This Row],[Risque]]</f>
        <v>83.723958162899947</v>
      </c>
      <c r="AT675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5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5" s="4">
        <v>62.9</v>
      </c>
      <c r="AW675" s="4">
        <f t="shared" si="23"/>
        <v>336905600000</v>
      </c>
      <c r="AX675" s="4">
        <v>15049171</v>
      </c>
      <c r="AY675" s="4">
        <f>Base[[#This Row],['[SC']Budget_total_retraites]]/Base[[#This Row],['[SC']Nombre_de_retraités]]</f>
        <v>22386.987296509556</v>
      </c>
      <c r="AZ675" s="4">
        <f>Base[[#This Row],['[SC']Budget_par_retraité]]*Base[[#This Row],['[SC']Nb_personnes_dépendantes]]</f>
        <v>0</v>
      </c>
      <c r="BA675" s="4">
        <f>Base[[#This Row],['[SC']'[Dépendance']Coût_retraite_personnes_dépendantes]]/Base[[#This Row],[Population_totale]]</f>
        <v>0</v>
      </c>
      <c r="BB675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5" s="4">
        <f>Base[[#This Row],['[SC']'[Dépendance']Gains]]-Base[[#This Row],['[SC']'[Dépendance']Coûts]]</f>
        <v>0</v>
      </c>
      <c r="BD675" s="4">
        <f>IF(Base[[#This Row],[Pathologie]]&lt;&gt;"Mort prématurée",0,Base[[#This Row],[Risque]]*Base[[#This Row],[Prévalence]]*Base[[#This Row],[Population_totale]])</f>
        <v>0</v>
      </c>
      <c r="BE675" s="4">
        <v>52.74</v>
      </c>
      <c r="BF675" s="4">
        <f>Base[[#This Row],['[SC']Âge_moyen_retraite]]-Base[[#This Row],['[SC']'[Mort_prématurée']Âge_moyen_mort précoce]]</f>
        <v>10.159999999999997</v>
      </c>
      <c r="BG675" s="4">
        <f>Base[[#This Row],[Espérance_vie]]+Base[[#This Row],['[SC']Hausse_esp_de_vie]]-Base[[#This Row],['[SC']Âge_moyen_retraite]]</f>
        <v>20.404874790994718</v>
      </c>
      <c r="BH675" s="4">
        <v>106583.42676924677</v>
      </c>
      <c r="BI675" s="4">
        <v>97601.789429271477</v>
      </c>
      <c r="BJ675" s="4">
        <v>302038.31496633729</v>
      </c>
      <c r="BK675" s="4">
        <v>117293.58934859755</v>
      </c>
      <c r="BL675" s="4">
        <v>1523999.9999999995</v>
      </c>
      <c r="BM675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5" s="4">
        <v>294804.96027377353</v>
      </c>
      <c r="BO675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5" s="4">
        <f>(Base[[#This Row],['[SC']'[Mort_prématurée']Gains]]-Base[[#This Row],['[SC']'[Mort_prématurée']Coûts]])/Base[[#This Row],[Population_totale]]</f>
        <v>0</v>
      </c>
      <c r="BQ675" s="4">
        <f>IF(Base[[#This Row],[Pathologie]]&lt;&gt;"Mort prématurée",0,Base[[#This Row],[Risque]])</f>
        <v>0</v>
      </c>
      <c r="BR675" s="4">
        <v>2680</v>
      </c>
      <c r="BS675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5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5" s="4">
        <f>Base[[#This Row],[Prévalence_prod]]*(1-Base[[#This Row],[Risque]])*Base[[#This Row],[Durée_arrêt]]*Base[[#This Row],[Population_emploi]]</f>
        <v>0</v>
      </c>
      <c r="BV675" s="4">
        <f>Base[[#This Row],['[Prod']'[Absentéisme']Total_jours_absence_avant]]-Base[[#This Row],['[Prod']'[Absentéisme']Total_jours_absence_après]]</f>
        <v>0</v>
      </c>
      <c r="BW675" s="4">
        <f>IF(AND(Base[[#This Row],[Pathologie]]&lt;&gt;"Dépendance",Base[[#This Row],[Pathologie]]&lt;&gt;"Mort prématurée",Base[[#This Row],[Pathologie]]&lt;&gt;"Migraine"),0.0619,0)</f>
        <v>0</v>
      </c>
      <c r="BX675" s="4">
        <v>254</v>
      </c>
      <c r="BY675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5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5" s="4">
        <f>Base[[#This Row],[Prévalence_prod]]*Base[[#This Row],[Présentéisme]]*Base[[#This Row],['[Prod']Jours_ouvrés]]</f>
        <v>6.4516000000000009</v>
      </c>
      <c r="CB675" s="4">
        <f>Base[[#This Row],[Prévalence_prod]]*(1-Base[[#This Row],[Risque]])*Base[[#This Row],[Présentéisme]]*Base[[#This Row],['[Prod']Jours_ouvrés]]</f>
        <v>3.7478417178162382</v>
      </c>
      <c r="CC675" s="4">
        <f>Base[[#This Row],['[Prod']'[Présentéisme']Jours_avant]]-Base[[#This Row],['[Prod']'[Présentéisme']Jours_après]]</f>
        <v>2.7037582821837627</v>
      </c>
      <c r="CD675" s="4">
        <f>Base[[#This Row],['[Prod']'[Présentéisme']Jours_gagnés]]/Base[[#This Row],['[Prod']Jours_ouvrés]]</f>
        <v>1.0644717646392767E-2</v>
      </c>
      <c r="CE675">
        <v>9.3428413505841454E-2</v>
      </c>
      <c r="CF675">
        <v>2.1038737314955848E-2</v>
      </c>
      <c r="CG675" s="4">
        <v>11</v>
      </c>
      <c r="CH675" s="4">
        <v>1.1624525375985588</v>
      </c>
      <c r="CI675" s="4">
        <v>3.7953151649308701E-2</v>
      </c>
      <c r="CJ675" s="4">
        <f>IF(Base[[#This Row],[Secteur]]&lt;&gt;"Moyenne",Base[[#This Row],['[Prod']'[Turnover']DMC_initiale]]*(1+Base[[#This Row],['[Prod']'[Turnover']Ecart_accidents]]*Base[[#This Row],['[Prod']Impact_motifs_turnover]]),CJ658*CI658+CJ659*CI659+CJ660*CI660+CJ661*CI661+CJ662*CI662+CJ663*CI663+CJ664*CI664+CJ665*CI665+CJ666*CI666+CJ667*CI667+CJ668*CI668+CJ669*CI669+CJ670*CI670+CJ671*CI671+CJ672*CI672+CJ673*CI673+CJ674*CI674)</f>
        <v>11.269021869376038</v>
      </c>
      <c r="CK675" s="4">
        <f>1/Base[[#This Row],['[Prod']'[Turnover']DMC_initiale]]</f>
        <v>9.0909090909090912E-2</v>
      </c>
      <c r="CL675" s="4">
        <f>1/Base[[#This Row],['[Prod']'[Turnover']DMC_finale]]</f>
        <v>8.8738846333907204E-2</v>
      </c>
    </row>
    <row r="676" spans="2:90" x14ac:dyDescent="0.25">
      <c r="B676" s="4" t="s">
        <v>326</v>
      </c>
      <c r="C676">
        <v>30</v>
      </c>
      <c r="D676" t="s">
        <v>85</v>
      </c>
      <c r="E676" t="s">
        <v>97</v>
      </c>
      <c r="F676" s="3">
        <v>0.41908337190522699</v>
      </c>
      <c r="G676" s="3">
        <v>0.2</v>
      </c>
      <c r="H676" s="3">
        <v>0.2</v>
      </c>
      <c r="I676" s="3">
        <v>0.127</v>
      </c>
      <c r="J676" s="3">
        <v>0</v>
      </c>
      <c r="K676" s="3">
        <v>7.0000000000000007E-2</v>
      </c>
      <c r="L676" s="2">
        <f>Base[[#This Row],[Coût]]*Base[[#This Row],[Part_ménages_dépenses_santé]]</f>
        <v>0</v>
      </c>
      <c r="M676" s="2">
        <v>0</v>
      </c>
      <c r="N676" s="6">
        <v>27700000</v>
      </c>
      <c r="O676" s="7">
        <f>Base[[#This Row],[Coût_salarié]]*10^9*Base[[#This Row],[Risque]]*Base[[#This Row],[Prévalence]]*Base[[#This Row],[Part_coûts_salarié]]/Base[[#This Row],[Population_emploi]]</f>
        <v>0</v>
      </c>
      <c r="P676">
        <v>50</v>
      </c>
      <c r="Q676">
        <v>50</v>
      </c>
      <c r="R676" s="2">
        <v>9.9999999999999978E-2</v>
      </c>
      <c r="S676" s="2">
        <v>0.33340000000000003</v>
      </c>
      <c r="T676" s="4">
        <v>0</v>
      </c>
      <c r="U676" s="4">
        <f>IF(Bases_annexes!$F$5=0,16.6587111018772,0.77*Bases_annexes!$F$5/(IF(OR(ISBLANK('Données_d''entrée'!$E$44),'Données_d''entrée'!$E$44=0),35,'Données_d''entrée'!$E$44)*52))</f>
        <v>16.658711101877199</v>
      </c>
      <c r="V676" s="4">
        <v>0</v>
      </c>
      <c r="W676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6" s="4">
        <v>234.5</v>
      </c>
      <c r="Y676" s="4">
        <f>(Base[[#This Row],['[Maladies']Coûts_évités_par_salarié]]+Base[[#This Row],['[Travail']Coûts_évités_par_salarié]])/Base[[#This Row],[Budget_santé_salarié]]</f>
        <v>0</v>
      </c>
      <c r="Z676" s="4">
        <v>0.8</v>
      </c>
      <c r="AA676" s="4">
        <f>Base[[#This Row],[Coût]]*Base[[#This Row],[Part_société_dépenses_santé]]</f>
        <v>0</v>
      </c>
      <c r="AB676" s="4">
        <v>67635124</v>
      </c>
      <c r="AC676" s="4">
        <v>82.297079063317852</v>
      </c>
      <c r="AD676" s="4">
        <v>0</v>
      </c>
      <c r="AE676" s="4">
        <f>Base[[#This Row],['[SC']Prévalence_travail]]*Base[[#This Row],[Population_emploi]]</f>
        <v>0</v>
      </c>
      <c r="AF676" s="4">
        <f>Base[[#This Row],[Risque]]*Base[[#This Row],['[SC']Patients_en_emploi]]</f>
        <v>0</v>
      </c>
      <c r="AG676" s="4">
        <v>0</v>
      </c>
      <c r="AH676" s="4">
        <f>IFERROR(Base[[#This Row],['[SC']Prestations]]/Base[[#This Row],['[SC']Patients_en_emploi]],0)</f>
        <v>0</v>
      </c>
      <c r="AI676" s="4">
        <v>51.7</v>
      </c>
      <c r="AJ676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6" s="4">
        <f>Base[[#This Row],['[SC']'[Travail']Coûts_évités]]/Base[[#This Row],[Population_emploi]]</f>
        <v>0</v>
      </c>
      <c r="AL676" s="4">
        <f>Base[[#This Row],[Coût_société]]*10^9*Base[[#This Row],[Risque]]*Base[[#This Row],[Prévalence]]*Base[[#This Row],[Part_coûts_salarié]]/Base[[#This Row],[Population_emploi]]</f>
        <v>0</v>
      </c>
      <c r="AM676" s="4">
        <f>IF(Base[[#This Row],[Pathologie]]&lt;&gt;"Dépendance",0,14909.24243952)</f>
        <v>0</v>
      </c>
      <c r="AN676" s="4">
        <f>IF(Base[[#This Row],[Pathologie]]&lt;&gt;"Dépendance",0,1316000)</f>
        <v>0</v>
      </c>
      <c r="AO676" s="4">
        <f>IF(Base[[#This Row],[Pathologie]]&lt;&gt;"Dépendance",0,Base[[#This Row],['[SC']Coût_personne_dépendante]]*Base[[#This Row],['[SC']Nb_personnes_dépendantes]])</f>
        <v>0</v>
      </c>
      <c r="AP676" s="4">
        <f>IF(Base[[#This Row],[Pathologie]]&lt;&gt;"Dépendance",0,Base[[#This Row],['[SC']Coût_total_dépendance]]/Base[[#This Row],[Population_totale]])</f>
        <v>0</v>
      </c>
      <c r="AQ676" s="4">
        <f>IF(Base[[#This Row],[Pathologie]]&lt;&gt;"Dépendance",0,4.5)</f>
        <v>0</v>
      </c>
      <c r="AR676" s="4">
        <v>1.0077957276768601</v>
      </c>
      <c r="AS676" s="4">
        <f>Base[[#This Row],[Espérance_vie]]+Base[[#This Row],['[SC']Hausse_esp_de_vie]]-Base[[#This Row],['[SC']Durée_moyenne_dépendance_avt]]+Base[[#This Row],[Risque]]</f>
        <v>83.723958162899947</v>
      </c>
      <c r="AT676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6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6" s="4">
        <v>62.9</v>
      </c>
      <c r="AW676" s="4">
        <f t="shared" si="23"/>
        <v>336905600000</v>
      </c>
      <c r="AX676" s="4">
        <v>15049171</v>
      </c>
      <c r="AY676" s="4">
        <f>Base[[#This Row],['[SC']Budget_total_retraites]]/Base[[#This Row],['[SC']Nombre_de_retraités]]</f>
        <v>22386.987296509556</v>
      </c>
      <c r="AZ676" s="4">
        <f>Base[[#This Row],['[SC']Budget_par_retraité]]*Base[[#This Row],['[SC']Nb_personnes_dépendantes]]</f>
        <v>0</v>
      </c>
      <c r="BA676" s="4">
        <f>Base[[#This Row],['[SC']'[Dépendance']Coût_retraite_personnes_dépendantes]]/Base[[#This Row],[Population_totale]]</f>
        <v>0</v>
      </c>
      <c r="BB676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6" s="4">
        <f>Base[[#This Row],['[SC']'[Dépendance']Gains]]-Base[[#This Row],['[SC']'[Dépendance']Coûts]]</f>
        <v>0</v>
      </c>
      <c r="BD676" s="4">
        <f>IF(Base[[#This Row],[Pathologie]]&lt;&gt;"Mort prématurée",0,Base[[#This Row],[Risque]]*Base[[#This Row],[Prévalence]]*Base[[#This Row],[Population_totale]])</f>
        <v>0</v>
      </c>
      <c r="BE676" s="4">
        <v>52.74</v>
      </c>
      <c r="BF676" s="4">
        <f>Base[[#This Row],['[SC']Âge_moyen_retraite]]-Base[[#This Row],['[SC']'[Mort_prématurée']Âge_moyen_mort précoce]]</f>
        <v>10.159999999999997</v>
      </c>
      <c r="BG676" s="4">
        <f>Base[[#This Row],[Espérance_vie]]+Base[[#This Row],['[SC']Hausse_esp_de_vie]]-Base[[#This Row],['[SC']Âge_moyen_retraite]]</f>
        <v>20.404874790994718</v>
      </c>
      <c r="BH676" s="4">
        <v>106583.42676924677</v>
      </c>
      <c r="BI676" s="4">
        <v>97601.789429271477</v>
      </c>
      <c r="BJ676" s="4">
        <v>302038.31496633729</v>
      </c>
      <c r="BK676" s="4">
        <v>117293.58934859755</v>
      </c>
      <c r="BL676" s="4">
        <v>1523999.9999999995</v>
      </c>
      <c r="BM676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6" s="4">
        <v>294804.96027377353</v>
      </c>
      <c r="BO676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6" s="4">
        <f>(Base[[#This Row],['[SC']'[Mort_prématurée']Gains]]-Base[[#This Row],['[SC']'[Mort_prématurée']Coûts]])/Base[[#This Row],[Population_totale]]</f>
        <v>0</v>
      </c>
      <c r="BQ676" s="4">
        <f>IF(Base[[#This Row],[Pathologie]]&lt;&gt;"Mort prématurée",0,Base[[#This Row],[Risque]])</f>
        <v>0</v>
      </c>
      <c r="BR676" s="4">
        <v>2680</v>
      </c>
      <c r="BS676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6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6" s="4">
        <f>Base[[#This Row],[Prévalence_prod]]*(1-Base[[#This Row],[Risque]])*Base[[#This Row],[Durée_arrêt]]*Base[[#This Row],[Population_emploi]]</f>
        <v>0</v>
      </c>
      <c r="BV676" s="4">
        <f>Base[[#This Row],['[Prod']'[Absentéisme']Total_jours_absence_avant]]-Base[[#This Row],['[Prod']'[Absentéisme']Total_jours_absence_après]]</f>
        <v>0</v>
      </c>
      <c r="BW676" s="4">
        <f>IF(AND(Base[[#This Row],[Pathologie]]&lt;&gt;"Dépendance",Base[[#This Row],[Pathologie]]&lt;&gt;"Mort prématurée",Base[[#This Row],[Pathologie]]&lt;&gt;"Migraine"),0.0619,0)</f>
        <v>0</v>
      </c>
      <c r="BX676" s="4">
        <v>254</v>
      </c>
      <c r="BY676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6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6" s="4">
        <f>Base[[#This Row],[Prévalence_prod]]*Base[[#This Row],[Présentéisme]]*Base[[#This Row],['[Prod']Jours_ouvrés]]</f>
        <v>6.4516000000000009</v>
      </c>
      <c r="CB676" s="4">
        <f>Base[[#This Row],[Prévalence_prod]]*(1-Base[[#This Row],[Risque]])*Base[[#This Row],[Présentéisme]]*Base[[#This Row],['[Prod']Jours_ouvrés]]</f>
        <v>3.7478417178162382</v>
      </c>
      <c r="CC676" s="4">
        <f>Base[[#This Row],['[Prod']'[Présentéisme']Jours_avant]]-Base[[#This Row],['[Prod']'[Présentéisme']Jours_après]]</f>
        <v>2.7037582821837627</v>
      </c>
      <c r="CD676" s="4">
        <f>Base[[#This Row],['[Prod']'[Présentéisme']Jours_gagnés]]/Base[[#This Row],['[Prod']Jours_ouvrés]]</f>
        <v>1.0644717646392767E-2</v>
      </c>
      <c r="CE676">
        <v>9.3428413505841454E-2</v>
      </c>
      <c r="CF676">
        <v>2.1038737314955848E-2</v>
      </c>
      <c r="CG676" s="4">
        <v>11</v>
      </c>
      <c r="CH676" s="4">
        <v>0.19346787829229528</v>
      </c>
      <c r="CI676" s="4">
        <v>2.8126549817953091E-2</v>
      </c>
      <c r="CJ676" s="4">
        <f>IF(Base[[#This Row],[Secteur]]&lt;&gt;"Moyenne",Base[[#This Row],['[Prod']'[Turnover']DMC_initiale]]*(1+Base[[#This Row],['[Prod']'[Turnover']Ecart_accidents]]*Base[[#This Row],['[Prod']Impact_motifs_turnover]]),CJ659*CI659+CJ660*CI660+CJ661*CI661+CJ662*CI662+CJ663*CI663+CJ664*CI664+CJ665*CI665+CJ666*CI666+CJ667*CI667+CJ668*CI668+CJ669*CI669+CJ670*CI670+CJ671*CI671+CJ672*CI672+CJ673*CI673+CJ674*CI674+CJ675*CI675)</f>
        <v>11.044773518573008</v>
      </c>
      <c r="CK676" s="4">
        <f>1/Base[[#This Row],['[Prod']'[Turnover']DMC_initiale]]</f>
        <v>9.0909090909090912E-2</v>
      </c>
      <c r="CL676" s="4">
        <f>1/Base[[#This Row],['[Prod']'[Turnover']DMC_finale]]</f>
        <v>9.0540561861082031E-2</v>
      </c>
    </row>
    <row r="677" spans="2:90" x14ac:dyDescent="0.25">
      <c r="B677" s="4" t="s">
        <v>327</v>
      </c>
      <c r="C677">
        <v>30</v>
      </c>
      <c r="D677" t="s">
        <v>85</v>
      </c>
      <c r="E677" t="s">
        <v>97</v>
      </c>
      <c r="F677" s="3">
        <v>0.41908337190522699</v>
      </c>
      <c r="G677" s="3">
        <v>0.2</v>
      </c>
      <c r="H677" s="3">
        <v>0.2</v>
      </c>
      <c r="I677" s="3">
        <v>0.127</v>
      </c>
      <c r="J677" s="3">
        <v>0</v>
      </c>
      <c r="K677" s="3">
        <v>7.0000000000000007E-2</v>
      </c>
      <c r="L677" s="2">
        <f>Base[[#This Row],[Coût]]*Base[[#This Row],[Part_ménages_dépenses_santé]]</f>
        <v>0</v>
      </c>
      <c r="M677" s="2">
        <v>0</v>
      </c>
      <c r="N677" s="6">
        <v>27700000</v>
      </c>
      <c r="O677" s="7">
        <f>Base[[#This Row],[Coût_salarié]]*10^9*Base[[#This Row],[Risque]]*Base[[#This Row],[Prévalence]]*Base[[#This Row],[Part_coûts_salarié]]/Base[[#This Row],[Population_emploi]]</f>
        <v>0</v>
      </c>
      <c r="P677">
        <v>50</v>
      </c>
      <c r="Q677">
        <v>50</v>
      </c>
      <c r="R677" s="2">
        <v>9.9999999999999978E-2</v>
      </c>
      <c r="S677" s="2">
        <v>0.33340000000000003</v>
      </c>
      <c r="T677" s="4">
        <v>0</v>
      </c>
      <c r="U677" s="4">
        <f>IF(Bases_annexes!$F$5=0,16.6587111018772,0.77*Bases_annexes!$F$5/(IF(OR(ISBLANK('Données_d''entrée'!$E$44),'Données_d''entrée'!$E$44=0),35,'Données_d''entrée'!$E$44)*52))</f>
        <v>16.658711101877199</v>
      </c>
      <c r="V677" s="4">
        <v>0</v>
      </c>
      <c r="W677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7" s="4">
        <v>234.5</v>
      </c>
      <c r="Y677" s="4">
        <f>(Base[[#This Row],['[Maladies']Coûts_évités_par_salarié]]+Base[[#This Row],['[Travail']Coûts_évités_par_salarié]])/Base[[#This Row],[Budget_santé_salarié]]</f>
        <v>0</v>
      </c>
      <c r="Z677" s="4">
        <v>0.8</v>
      </c>
      <c r="AA677" s="4">
        <f>Base[[#This Row],[Coût]]*Base[[#This Row],[Part_société_dépenses_santé]]</f>
        <v>0</v>
      </c>
      <c r="AB677" s="4">
        <v>67635124</v>
      </c>
      <c r="AC677" s="4">
        <v>82.297079063317852</v>
      </c>
      <c r="AD677" s="4">
        <v>0</v>
      </c>
      <c r="AE677" s="4">
        <f>Base[[#This Row],['[SC']Prévalence_travail]]*Base[[#This Row],[Population_emploi]]</f>
        <v>0</v>
      </c>
      <c r="AF677" s="4">
        <f>Base[[#This Row],[Risque]]*Base[[#This Row],['[SC']Patients_en_emploi]]</f>
        <v>0</v>
      </c>
      <c r="AG677" s="4">
        <v>0</v>
      </c>
      <c r="AH677" s="4">
        <f>IFERROR(Base[[#This Row],['[SC']Prestations]]/Base[[#This Row],['[SC']Patients_en_emploi]],0)</f>
        <v>0</v>
      </c>
      <c r="AI677" s="4">
        <v>51.7</v>
      </c>
      <c r="AJ677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7" s="4">
        <f>Base[[#This Row],['[SC']'[Travail']Coûts_évités]]/Base[[#This Row],[Population_emploi]]</f>
        <v>0</v>
      </c>
      <c r="AL677" s="4">
        <f>Base[[#This Row],[Coût_société]]*10^9*Base[[#This Row],[Risque]]*Base[[#This Row],[Prévalence]]*Base[[#This Row],[Part_coûts_salarié]]/Base[[#This Row],[Population_emploi]]</f>
        <v>0</v>
      </c>
      <c r="AM677" s="4">
        <f>IF(Base[[#This Row],[Pathologie]]&lt;&gt;"Dépendance",0,14909.24243952)</f>
        <v>0</v>
      </c>
      <c r="AN677" s="4">
        <f>IF(Base[[#This Row],[Pathologie]]&lt;&gt;"Dépendance",0,1316000)</f>
        <v>0</v>
      </c>
      <c r="AO677" s="4">
        <f>IF(Base[[#This Row],[Pathologie]]&lt;&gt;"Dépendance",0,Base[[#This Row],['[SC']Coût_personne_dépendante]]*Base[[#This Row],['[SC']Nb_personnes_dépendantes]])</f>
        <v>0</v>
      </c>
      <c r="AP677" s="4">
        <f>IF(Base[[#This Row],[Pathologie]]&lt;&gt;"Dépendance",0,Base[[#This Row],['[SC']Coût_total_dépendance]]/Base[[#This Row],[Population_totale]])</f>
        <v>0</v>
      </c>
      <c r="AQ677" s="4">
        <f>IF(Base[[#This Row],[Pathologie]]&lt;&gt;"Dépendance",0,4.5)</f>
        <v>0</v>
      </c>
      <c r="AR677" s="4">
        <v>1.0077957276768601</v>
      </c>
      <c r="AS677" s="4">
        <f>Base[[#This Row],[Espérance_vie]]+Base[[#This Row],['[SC']Hausse_esp_de_vie]]-Base[[#This Row],['[SC']Durée_moyenne_dépendance_avt]]+Base[[#This Row],[Risque]]</f>
        <v>83.723958162899947</v>
      </c>
      <c r="AT677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7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7" s="4">
        <v>62.9</v>
      </c>
      <c r="AW677" s="4">
        <f t="shared" si="23"/>
        <v>336905600000</v>
      </c>
      <c r="AX677" s="4">
        <v>15049171</v>
      </c>
      <c r="AY677" s="4">
        <f>Base[[#This Row],['[SC']Budget_total_retraites]]/Base[[#This Row],['[SC']Nombre_de_retraités]]</f>
        <v>22386.987296509556</v>
      </c>
      <c r="AZ677" s="4">
        <f>Base[[#This Row],['[SC']Budget_par_retraité]]*Base[[#This Row],['[SC']Nb_personnes_dépendantes]]</f>
        <v>0</v>
      </c>
      <c r="BA677" s="4">
        <f>Base[[#This Row],['[SC']'[Dépendance']Coût_retraite_personnes_dépendantes]]/Base[[#This Row],[Population_totale]]</f>
        <v>0</v>
      </c>
      <c r="BB677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7" s="4">
        <f>Base[[#This Row],['[SC']'[Dépendance']Gains]]-Base[[#This Row],['[SC']'[Dépendance']Coûts]]</f>
        <v>0</v>
      </c>
      <c r="BD677" s="4">
        <f>IF(Base[[#This Row],[Pathologie]]&lt;&gt;"Mort prématurée",0,Base[[#This Row],[Risque]]*Base[[#This Row],[Prévalence]]*Base[[#This Row],[Population_totale]])</f>
        <v>0</v>
      </c>
      <c r="BE677" s="4">
        <v>52.74</v>
      </c>
      <c r="BF677" s="4">
        <f>Base[[#This Row],['[SC']Âge_moyen_retraite]]-Base[[#This Row],['[SC']'[Mort_prématurée']Âge_moyen_mort précoce]]</f>
        <v>10.159999999999997</v>
      </c>
      <c r="BG677" s="4">
        <f>Base[[#This Row],[Espérance_vie]]+Base[[#This Row],['[SC']Hausse_esp_de_vie]]-Base[[#This Row],['[SC']Âge_moyen_retraite]]</f>
        <v>20.404874790994718</v>
      </c>
      <c r="BH677" s="4">
        <v>106583.42676924677</v>
      </c>
      <c r="BI677" s="4">
        <v>97601.789429271477</v>
      </c>
      <c r="BJ677" s="4">
        <v>302038.31496633729</v>
      </c>
      <c r="BK677" s="4">
        <v>117293.58934859755</v>
      </c>
      <c r="BL677" s="4">
        <v>1523999.9999999995</v>
      </c>
      <c r="BM677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7" s="4">
        <v>294804.96027377353</v>
      </c>
      <c r="BO677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7" s="4">
        <f>(Base[[#This Row],['[SC']'[Mort_prématurée']Gains]]-Base[[#This Row],['[SC']'[Mort_prématurée']Coûts]])/Base[[#This Row],[Population_totale]]</f>
        <v>0</v>
      </c>
      <c r="BQ677" s="4">
        <f>IF(Base[[#This Row],[Pathologie]]&lt;&gt;"Mort prématurée",0,Base[[#This Row],[Risque]])</f>
        <v>0</v>
      </c>
      <c r="BR677" s="4">
        <v>2680</v>
      </c>
      <c r="BS677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7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7" s="4">
        <f>Base[[#This Row],[Prévalence_prod]]*(1-Base[[#This Row],[Risque]])*Base[[#This Row],[Durée_arrêt]]*Base[[#This Row],[Population_emploi]]</f>
        <v>0</v>
      </c>
      <c r="BV677" s="4">
        <f>Base[[#This Row],['[Prod']'[Absentéisme']Total_jours_absence_avant]]-Base[[#This Row],['[Prod']'[Absentéisme']Total_jours_absence_après]]</f>
        <v>0</v>
      </c>
      <c r="BW677" s="4">
        <f>IF(AND(Base[[#This Row],[Pathologie]]&lt;&gt;"Dépendance",Base[[#This Row],[Pathologie]]&lt;&gt;"Mort prématurée",Base[[#This Row],[Pathologie]]&lt;&gt;"Migraine"),0.0619,0)</f>
        <v>0</v>
      </c>
      <c r="BX677" s="4">
        <v>254</v>
      </c>
      <c r="BY677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7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7" s="4">
        <f>Base[[#This Row],[Prévalence_prod]]*Base[[#This Row],[Présentéisme]]*Base[[#This Row],['[Prod']Jours_ouvrés]]</f>
        <v>6.4516000000000009</v>
      </c>
      <c r="CB677" s="4">
        <f>Base[[#This Row],[Prévalence_prod]]*(1-Base[[#This Row],[Risque]])*Base[[#This Row],[Présentéisme]]*Base[[#This Row],['[Prod']Jours_ouvrés]]</f>
        <v>3.7478417178162382</v>
      </c>
      <c r="CC677" s="4">
        <f>Base[[#This Row],['[Prod']'[Présentéisme']Jours_avant]]-Base[[#This Row],['[Prod']'[Présentéisme']Jours_après]]</f>
        <v>2.7037582821837627</v>
      </c>
      <c r="CD677" s="4">
        <f>Base[[#This Row],['[Prod']'[Présentéisme']Jours_gagnés]]/Base[[#This Row],['[Prod']Jours_ouvrés]]</f>
        <v>1.0644717646392767E-2</v>
      </c>
      <c r="CE677">
        <v>9.3428413505841454E-2</v>
      </c>
      <c r="CF677">
        <v>2.1038737314955848E-2</v>
      </c>
      <c r="CG677" s="4">
        <v>11</v>
      </c>
      <c r="CH677" s="4">
        <v>0.13729577077682142</v>
      </c>
      <c r="CI677" s="4">
        <v>1.373516710817578E-2</v>
      </c>
      <c r="CJ677" s="4">
        <f>IF(Base[[#This Row],[Secteur]]&lt;&gt;"Moyenne",Base[[#This Row],['[Prod']'[Turnover']DMC_initiale]]*(1+Base[[#This Row],['[Prod']'[Turnover']Ecart_accidents]]*Base[[#This Row],['[Prod']Impact_motifs_turnover]]),CJ660*CI660+CJ661*CI661+CJ662*CI662+CJ663*CI663+CJ664*CI664+CJ665*CI665+CJ666*CI666+CJ667*CI667+CJ668*CI668+CJ669*CI669+CJ670*CI670+CJ671*CI671+CJ672*CI672+CJ673*CI673+CJ674*CI674+CJ675*CI675+CJ676*CI676)</f>
        <v>11.031773826214106</v>
      </c>
      <c r="CK677" s="4">
        <f>1/Base[[#This Row],['[Prod']'[Turnover']DMC_initiale]]</f>
        <v>9.0909090909090912E-2</v>
      </c>
      <c r="CL677" s="4">
        <f>1/Base[[#This Row],['[Prod']'[Turnover']DMC_finale]]</f>
        <v>9.0647253628764871E-2</v>
      </c>
    </row>
    <row r="678" spans="2:90" x14ac:dyDescent="0.25">
      <c r="B678" s="4" t="s">
        <v>328</v>
      </c>
      <c r="C678">
        <v>30</v>
      </c>
      <c r="D678" t="s">
        <v>85</v>
      </c>
      <c r="E678" t="s">
        <v>97</v>
      </c>
      <c r="F678" s="3">
        <v>0.41908337190522699</v>
      </c>
      <c r="G678" s="3">
        <v>0.2</v>
      </c>
      <c r="H678" s="3">
        <v>0.2</v>
      </c>
      <c r="I678" s="3">
        <v>0.127</v>
      </c>
      <c r="J678" s="3">
        <v>0</v>
      </c>
      <c r="K678" s="3">
        <v>7.0000000000000007E-2</v>
      </c>
      <c r="L678" s="2">
        <f>Base[[#This Row],[Coût]]*Base[[#This Row],[Part_ménages_dépenses_santé]]</f>
        <v>0</v>
      </c>
      <c r="M678" s="2">
        <v>0</v>
      </c>
      <c r="N678" s="6">
        <v>27700000</v>
      </c>
      <c r="O678" s="7">
        <f>Base[[#This Row],[Coût_salarié]]*10^9*Base[[#This Row],[Risque]]*Base[[#This Row],[Prévalence]]*Base[[#This Row],[Part_coûts_salarié]]/Base[[#This Row],[Population_emploi]]</f>
        <v>0</v>
      </c>
      <c r="P678">
        <v>50</v>
      </c>
      <c r="Q678">
        <v>50</v>
      </c>
      <c r="R678" s="2">
        <v>9.9999999999999978E-2</v>
      </c>
      <c r="S678" s="2">
        <v>0.33340000000000003</v>
      </c>
      <c r="T678" s="4">
        <v>0</v>
      </c>
      <c r="U678" s="4">
        <f>IF(Bases_annexes!$F$5=0,16.6587111018772,0.77*Bases_annexes!$F$5/(IF(OR(ISBLANK('Données_d''entrée'!$E$44),'Données_d''entrée'!$E$44=0),35,'Données_d''entrée'!$E$44)*52))</f>
        <v>16.658711101877199</v>
      </c>
      <c r="V678" s="4">
        <v>0</v>
      </c>
      <c r="W678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8" s="4">
        <v>234.5</v>
      </c>
      <c r="Y678" s="4">
        <f>(Base[[#This Row],['[Maladies']Coûts_évités_par_salarié]]+Base[[#This Row],['[Travail']Coûts_évités_par_salarié]])/Base[[#This Row],[Budget_santé_salarié]]</f>
        <v>0</v>
      </c>
      <c r="Z678" s="4">
        <v>0.8</v>
      </c>
      <c r="AA678" s="4">
        <f>Base[[#This Row],[Coût]]*Base[[#This Row],[Part_société_dépenses_santé]]</f>
        <v>0</v>
      </c>
      <c r="AB678" s="4">
        <v>67635124</v>
      </c>
      <c r="AC678" s="4">
        <v>82.297079063317852</v>
      </c>
      <c r="AD678" s="4">
        <v>0</v>
      </c>
      <c r="AE678" s="4">
        <f>Base[[#This Row],['[SC']Prévalence_travail]]*Base[[#This Row],[Population_emploi]]</f>
        <v>0</v>
      </c>
      <c r="AF678" s="4">
        <f>Base[[#This Row],[Risque]]*Base[[#This Row],['[SC']Patients_en_emploi]]</f>
        <v>0</v>
      </c>
      <c r="AG678" s="4">
        <v>0</v>
      </c>
      <c r="AH678" s="4">
        <f>IFERROR(Base[[#This Row],['[SC']Prestations]]/Base[[#This Row],['[SC']Patients_en_emploi]],0)</f>
        <v>0</v>
      </c>
      <c r="AI678" s="4">
        <v>51.7</v>
      </c>
      <c r="AJ678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8" s="4">
        <f>Base[[#This Row],['[SC']'[Travail']Coûts_évités]]/Base[[#This Row],[Population_emploi]]</f>
        <v>0</v>
      </c>
      <c r="AL678" s="4">
        <f>Base[[#This Row],[Coût_société]]*10^9*Base[[#This Row],[Risque]]*Base[[#This Row],[Prévalence]]*Base[[#This Row],[Part_coûts_salarié]]/Base[[#This Row],[Population_emploi]]</f>
        <v>0</v>
      </c>
      <c r="AM678" s="4">
        <f>IF(Base[[#This Row],[Pathologie]]&lt;&gt;"Dépendance",0,14909.24243952)</f>
        <v>0</v>
      </c>
      <c r="AN678" s="4">
        <f>IF(Base[[#This Row],[Pathologie]]&lt;&gt;"Dépendance",0,1316000)</f>
        <v>0</v>
      </c>
      <c r="AO678" s="4">
        <f>IF(Base[[#This Row],[Pathologie]]&lt;&gt;"Dépendance",0,Base[[#This Row],['[SC']Coût_personne_dépendante]]*Base[[#This Row],['[SC']Nb_personnes_dépendantes]])</f>
        <v>0</v>
      </c>
      <c r="AP678" s="4">
        <f>IF(Base[[#This Row],[Pathologie]]&lt;&gt;"Dépendance",0,Base[[#This Row],['[SC']Coût_total_dépendance]]/Base[[#This Row],[Population_totale]])</f>
        <v>0</v>
      </c>
      <c r="AQ678" s="4">
        <f>IF(Base[[#This Row],[Pathologie]]&lt;&gt;"Dépendance",0,4.5)</f>
        <v>0</v>
      </c>
      <c r="AR678" s="4">
        <v>1.0077957276768601</v>
      </c>
      <c r="AS678" s="4">
        <f>Base[[#This Row],[Espérance_vie]]+Base[[#This Row],['[SC']Hausse_esp_de_vie]]-Base[[#This Row],['[SC']Durée_moyenne_dépendance_avt]]+Base[[#This Row],[Risque]]</f>
        <v>83.723958162899947</v>
      </c>
      <c r="AT678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8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8" s="4">
        <v>62.9</v>
      </c>
      <c r="AW678" s="4">
        <f t="shared" si="23"/>
        <v>336905600000</v>
      </c>
      <c r="AX678" s="4">
        <v>15049171</v>
      </c>
      <c r="AY678" s="4">
        <f>Base[[#This Row],['[SC']Budget_total_retraites]]/Base[[#This Row],['[SC']Nombre_de_retraités]]</f>
        <v>22386.987296509556</v>
      </c>
      <c r="AZ678" s="4">
        <f>Base[[#This Row],['[SC']Budget_par_retraité]]*Base[[#This Row],['[SC']Nb_personnes_dépendantes]]</f>
        <v>0</v>
      </c>
      <c r="BA678" s="4">
        <f>Base[[#This Row],['[SC']'[Dépendance']Coût_retraite_personnes_dépendantes]]/Base[[#This Row],[Population_totale]]</f>
        <v>0</v>
      </c>
      <c r="BB678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8" s="4">
        <f>Base[[#This Row],['[SC']'[Dépendance']Gains]]-Base[[#This Row],['[SC']'[Dépendance']Coûts]]</f>
        <v>0</v>
      </c>
      <c r="BD678" s="4">
        <f>IF(Base[[#This Row],[Pathologie]]&lt;&gt;"Mort prématurée",0,Base[[#This Row],[Risque]]*Base[[#This Row],[Prévalence]]*Base[[#This Row],[Population_totale]])</f>
        <v>0</v>
      </c>
      <c r="BE678" s="4">
        <v>52.74</v>
      </c>
      <c r="BF678" s="4">
        <f>Base[[#This Row],['[SC']Âge_moyen_retraite]]-Base[[#This Row],['[SC']'[Mort_prématurée']Âge_moyen_mort précoce]]</f>
        <v>10.159999999999997</v>
      </c>
      <c r="BG678" s="4">
        <f>Base[[#This Row],[Espérance_vie]]+Base[[#This Row],['[SC']Hausse_esp_de_vie]]-Base[[#This Row],['[SC']Âge_moyen_retraite]]</f>
        <v>20.404874790994718</v>
      </c>
      <c r="BH678" s="4">
        <v>106583.42676924677</v>
      </c>
      <c r="BI678" s="4">
        <v>97601.789429271477</v>
      </c>
      <c r="BJ678" s="4">
        <v>302038.31496633729</v>
      </c>
      <c r="BK678" s="4">
        <v>117293.58934859755</v>
      </c>
      <c r="BL678" s="4">
        <v>1523999.9999999995</v>
      </c>
      <c r="BM678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8" s="4">
        <v>294804.96027377353</v>
      </c>
      <c r="BO678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8" s="4">
        <f>(Base[[#This Row],['[SC']'[Mort_prématurée']Gains]]-Base[[#This Row],['[SC']'[Mort_prématurée']Coûts]])/Base[[#This Row],[Population_totale]]</f>
        <v>0</v>
      </c>
      <c r="BQ678" s="4">
        <f>IF(Base[[#This Row],[Pathologie]]&lt;&gt;"Mort prématurée",0,Base[[#This Row],[Risque]])</f>
        <v>0</v>
      </c>
      <c r="BR678" s="4">
        <v>2680</v>
      </c>
      <c r="BS678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8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8" s="4">
        <f>Base[[#This Row],[Prévalence_prod]]*(1-Base[[#This Row],[Risque]])*Base[[#This Row],[Durée_arrêt]]*Base[[#This Row],[Population_emploi]]</f>
        <v>0</v>
      </c>
      <c r="BV678" s="4">
        <f>Base[[#This Row],['[Prod']'[Absentéisme']Total_jours_absence_avant]]-Base[[#This Row],['[Prod']'[Absentéisme']Total_jours_absence_après]]</f>
        <v>0</v>
      </c>
      <c r="BW678" s="4">
        <f>IF(AND(Base[[#This Row],[Pathologie]]&lt;&gt;"Dépendance",Base[[#This Row],[Pathologie]]&lt;&gt;"Mort prématurée",Base[[#This Row],[Pathologie]]&lt;&gt;"Migraine"),0.0619,0)</f>
        <v>0</v>
      </c>
      <c r="BX678" s="4">
        <v>254</v>
      </c>
      <c r="BY678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8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8" s="4">
        <f>Base[[#This Row],[Prévalence_prod]]*Base[[#This Row],[Présentéisme]]*Base[[#This Row],['[Prod']Jours_ouvrés]]</f>
        <v>6.4516000000000009</v>
      </c>
      <c r="CB678" s="4">
        <f>Base[[#This Row],[Prévalence_prod]]*(1-Base[[#This Row],[Risque]])*Base[[#This Row],[Présentéisme]]*Base[[#This Row],['[Prod']Jours_ouvrés]]</f>
        <v>3.7478417178162382</v>
      </c>
      <c r="CC678" s="4">
        <f>Base[[#This Row],['[Prod']'[Présentéisme']Jours_avant]]-Base[[#This Row],['[Prod']'[Présentéisme']Jours_après]]</f>
        <v>2.7037582821837627</v>
      </c>
      <c r="CD678" s="4">
        <f>Base[[#This Row],['[Prod']'[Présentéisme']Jours_gagnés]]/Base[[#This Row],['[Prod']Jours_ouvrés]]</f>
        <v>1.0644717646392767E-2</v>
      </c>
      <c r="CE678">
        <v>9.3428413505841454E-2</v>
      </c>
      <c r="CF678">
        <v>2.1038737314955848E-2</v>
      </c>
      <c r="CG678" s="4">
        <v>11</v>
      </c>
      <c r="CH678" s="4">
        <v>0.60922528771817497</v>
      </c>
      <c r="CI678" s="4">
        <v>3.8601807163334179E-3</v>
      </c>
      <c r="CJ678" s="4">
        <f>IF(Base[[#This Row],[Secteur]]&lt;&gt;"Moyenne",Base[[#This Row],['[Prod']'[Turnover']DMC_initiale]]*(1+Base[[#This Row],['[Prod']'[Turnover']Ecart_accidents]]*Base[[#This Row],['[Prod']Impact_motifs_turnover]]),CJ661*CI661+CJ662*CI662+CJ663*CI663+CJ664*CI664+CJ665*CI665+CJ666*CI666+CJ667*CI667+CJ668*CI668+CJ669*CI669+CJ670*CI670+CJ671*CI671+CJ672*CI672+CJ673*CI673+CJ674*CI674+CJ675*CI675+CJ676*CI676+CJ677*CI677)</f>
        <v>11.140990638733241</v>
      </c>
      <c r="CK678" s="4">
        <f>1/Base[[#This Row],['[Prod']'[Turnover']DMC_initiale]]</f>
        <v>9.0909090909090912E-2</v>
      </c>
      <c r="CL678" s="4">
        <f>1/Base[[#This Row],['[Prod']'[Turnover']DMC_finale]]</f>
        <v>8.9758624921859057E-2</v>
      </c>
    </row>
    <row r="679" spans="2:90" x14ac:dyDescent="0.25">
      <c r="B679" s="4" t="s">
        <v>329</v>
      </c>
      <c r="C679">
        <v>30</v>
      </c>
      <c r="D679" t="s">
        <v>85</v>
      </c>
      <c r="E679" t="s">
        <v>97</v>
      </c>
      <c r="F679" s="3">
        <v>0.41908337190522699</v>
      </c>
      <c r="G679" s="3">
        <v>0.2</v>
      </c>
      <c r="H679" s="3">
        <v>0.2</v>
      </c>
      <c r="I679" s="3">
        <v>0.127</v>
      </c>
      <c r="J679" s="3">
        <v>0</v>
      </c>
      <c r="K679" s="3">
        <v>7.0000000000000007E-2</v>
      </c>
      <c r="L679" s="2">
        <f>Base[[#This Row],[Coût]]*Base[[#This Row],[Part_ménages_dépenses_santé]]</f>
        <v>0</v>
      </c>
      <c r="M679" s="2">
        <v>0</v>
      </c>
      <c r="N679" s="6">
        <v>27700000</v>
      </c>
      <c r="O679" s="7">
        <f>Base[[#This Row],[Coût_salarié]]*10^9*Base[[#This Row],[Risque]]*Base[[#This Row],[Prévalence]]*Base[[#This Row],[Part_coûts_salarié]]/Base[[#This Row],[Population_emploi]]</f>
        <v>0</v>
      </c>
      <c r="P679">
        <v>50</v>
      </c>
      <c r="Q679">
        <v>50</v>
      </c>
      <c r="R679" s="2">
        <v>9.9999999999999978E-2</v>
      </c>
      <c r="S679" s="2">
        <v>0.33340000000000003</v>
      </c>
      <c r="T679" s="4">
        <v>0</v>
      </c>
      <c r="U679" s="4">
        <f>IF(Bases_annexes!$F$5=0,16.6587111018772,0.77*Bases_annexes!$F$5/(IF(OR(ISBLANK('Données_d''entrée'!$E$44),'Données_d''entrée'!$E$44=0),35,'Données_d''entrée'!$E$44)*52))</f>
        <v>16.658711101877199</v>
      </c>
      <c r="V679" s="4">
        <v>0</v>
      </c>
      <c r="W679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79" s="4">
        <v>234.5</v>
      </c>
      <c r="Y679" s="4">
        <f>(Base[[#This Row],['[Maladies']Coûts_évités_par_salarié]]+Base[[#This Row],['[Travail']Coûts_évités_par_salarié]])/Base[[#This Row],[Budget_santé_salarié]]</f>
        <v>0</v>
      </c>
      <c r="Z679" s="4">
        <v>0.8</v>
      </c>
      <c r="AA679" s="4">
        <f>Base[[#This Row],[Coût]]*Base[[#This Row],[Part_société_dépenses_santé]]</f>
        <v>0</v>
      </c>
      <c r="AB679" s="4">
        <v>67635124</v>
      </c>
      <c r="AC679" s="4">
        <v>82.297079063317852</v>
      </c>
      <c r="AD679" s="4">
        <v>0</v>
      </c>
      <c r="AE679" s="4">
        <f>Base[[#This Row],['[SC']Prévalence_travail]]*Base[[#This Row],[Population_emploi]]</f>
        <v>0</v>
      </c>
      <c r="AF679" s="4">
        <f>Base[[#This Row],[Risque]]*Base[[#This Row],['[SC']Patients_en_emploi]]</f>
        <v>0</v>
      </c>
      <c r="AG679" s="4">
        <v>0</v>
      </c>
      <c r="AH679" s="4">
        <f>IFERROR(Base[[#This Row],['[SC']Prestations]]/Base[[#This Row],['[SC']Patients_en_emploi]],0)</f>
        <v>0</v>
      </c>
      <c r="AI679" s="4">
        <v>51.7</v>
      </c>
      <c r="AJ679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79" s="4">
        <f>Base[[#This Row],['[SC']'[Travail']Coûts_évités]]/Base[[#This Row],[Population_emploi]]</f>
        <v>0</v>
      </c>
      <c r="AL679" s="4">
        <f>Base[[#This Row],[Coût_société]]*10^9*Base[[#This Row],[Risque]]*Base[[#This Row],[Prévalence]]*Base[[#This Row],[Part_coûts_salarié]]/Base[[#This Row],[Population_emploi]]</f>
        <v>0</v>
      </c>
      <c r="AM679" s="4">
        <f>IF(Base[[#This Row],[Pathologie]]&lt;&gt;"Dépendance",0,14909.24243952)</f>
        <v>0</v>
      </c>
      <c r="AN679" s="4">
        <f>IF(Base[[#This Row],[Pathologie]]&lt;&gt;"Dépendance",0,1316000)</f>
        <v>0</v>
      </c>
      <c r="AO679" s="4">
        <f>IF(Base[[#This Row],[Pathologie]]&lt;&gt;"Dépendance",0,Base[[#This Row],['[SC']Coût_personne_dépendante]]*Base[[#This Row],['[SC']Nb_personnes_dépendantes]])</f>
        <v>0</v>
      </c>
      <c r="AP679" s="4">
        <f>IF(Base[[#This Row],[Pathologie]]&lt;&gt;"Dépendance",0,Base[[#This Row],['[SC']Coût_total_dépendance]]/Base[[#This Row],[Population_totale]])</f>
        <v>0</v>
      </c>
      <c r="AQ679" s="4">
        <f>IF(Base[[#This Row],[Pathologie]]&lt;&gt;"Dépendance",0,4.5)</f>
        <v>0</v>
      </c>
      <c r="AR679" s="4">
        <v>1.0077957276768601</v>
      </c>
      <c r="AS679" s="4">
        <f>Base[[#This Row],[Espérance_vie]]+Base[[#This Row],['[SC']Hausse_esp_de_vie]]-Base[[#This Row],['[SC']Durée_moyenne_dépendance_avt]]+Base[[#This Row],[Risque]]</f>
        <v>83.723958162899947</v>
      </c>
      <c r="AT679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79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79" s="4">
        <v>62.9</v>
      </c>
      <c r="AW679" s="4">
        <f t="shared" si="23"/>
        <v>336905600000</v>
      </c>
      <c r="AX679" s="4">
        <v>15049171</v>
      </c>
      <c r="AY679" s="4">
        <f>Base[[#This Row],['[SC']Budget_total_retraites]]/Base[[#This Row],['[SC']Nombre_de_retraités]]</f>
        <v>22386.987296509556</v>
      </c>
      <c r="AZ679" s="4">
        <f>Base[[#This Row],['[SC']Budget_par_retraité]]*Base[[#This Row],['[SC']Nb_personnes_dépendantes]]</f>
        <v>0</v>
      </c>
      <c r="BA679" s="4">
        <f>Base[[#This Row],['[SC']'[Dépendance']Coût_retraite_personnes_dépendantes]]/Base[[#This Row],[Population_totale]]</f>
        <v>0</v>
      </c>
      <c r="BB679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79" s="4">
        <f>Base[[#This Row],['[SC']'[Dépendance']Gains]]-Base[[#This Row],['[SC']'[Dépendance']Coûts]]</f>
        <v>0</v>
      </c>
      <c r="BD679" s="4">
        <f>IF(Base[[#This Row],[Pathologie]]&lt;&gt;"Mort prématurée",0,Base[[#This Row],[Risque]]*Base[[#This Row],[Prévalence]]*Base[[#This Row],[Population_totale]])</f>
        <v>0</v>
      </c>
      <c r="BE679" s="4">
        <v>52.74</v>
      </c>
      <c r="BF679" s="4">
        <f>Base[[#This Row],['[SC']Âge_moyen_retraite]]-Base[[#This Row],['[SC']'[Mort_prématurée']Âge_moyen_mort précoce]]</f>
        <v>10.159999999999997</v>
      </c>
      <c r="BG679" s="4">
        <f>Base[[#This Row],[Espérance_vie]]+Base[[#This Row],['[SC']Hausse_esp_de_vie]]-Base[[#This Row],['[SC']Âge_moyen_retraite]]</f>
        <v>20.404874790994718</v>
      </c>
      <c r="BH679" s="4">
        <v>106583.42676924677</v>
      </c>
      <c r="BI679" s="4">
        <v>97601.789429271477</v>
      </c>
      <c r="BJ679" s="4">
        <v>302038.31496633729</v>
      </c>
      <c r="BK679" s="4">
        <v>117293.58934859755</v>
      </c>
      <c r="BL679" s="4">
        <v>1523999.9999999995</v>
      </c>
      <c r="BM679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79" s="4">
        <v>294804.96027377353</v>
      </c>
      <c r="BO679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79" s="4">
        <f>(Base[[#This Row],['[SC']'[Mort_prématurée']Gains]]-Base[[#This Row],['[SC']'[Mort_prématurée']Coûts]])/Base[[#This Row],[Population_totale]]</f>
        <v>0</v>
      </c>
      <c r="BQ679" s="4">
        <f>IF(Base[[#This Row],[Pathologie]]&lt;&gt;"Mort prématurée",0,Base[[#This Row],[Risque]])</f>
        <v>0</v>
      </c>
      <c r="BR679" s="4">
        <v>2680</v>
      </c>
      <c r="BS679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79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79" s="4">
        <f>Base[[#This Row],[Prévalence_prod]]*(1-Base[[#This Row],[Risque]])*Base[[#This Row],[Durée_arrêt]]*Base[[#This Row],[Population_emploi]]</f>
        <v>0</v>
      </c>
      <c r="BV679" s="4">
        <f>Base[[#This Row],['[Prod']'[Absentéisme']Total_jours_absence_avant]]-Base[[#This Row],['[Prod']'[Absentéisme']Total_jours_absence_après]]</f>
        <v>0</v>
      </c>
      <c r="BW679" s="4">
        <f>IF(AND(Base[[#This Row],[Pathologie]]&lt;&gt;"Dépendance",Base[[#This Row],[Pathologie]]&lt;&gt;"Mort prématurée",Base[[#This Row],[Pathologie]]&lt;&gt;"Migraine"),0.0619,0)</f>
        <v>0</v>
      </c>
      <c r="BX679" s="4">
        <v>254</v>
      </c>
      <c r="BY679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79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79" s="4">
        <f>Base[[#This Row],[Prévalence_prod]]*Base[[#This Row],[Présentéisme]]*Base[[#This Row],['[Prod']Jours_ouvrés]]</f>
        <v>6.4516000000000009</v>
      </c>
      <c r="CB679" s="4">
        <f>Base[[#This Row],[Prévalence_prod]]*(1-Base[[#This Row],[Risque]])*Base[[#This Row],[Présentéisme]]*Base[[#This Row],['[Prod']Jours_ouvrés]]</f>
        <v>3.7478417178162382</v>
      </c>
      <c r="CC679" s="4">
        <f>Base[[#This Row],['[Prod']'[Présentéisme']Jours_avant]]-Base[[#This Row],['[Prod']'[Présentéisme']Jours_après]]</f>
        <v>2.7037582821837627</v>
      </c>
      <c r="CD679" s="4">
        <f>Base[[#This Row],['[Prod']'[Présentéisme']Jours_gagnés]]/Base[[#This Row],['[Prod']Jours_ouvrés]]</f>
        <v>1.0644717646392767E-2</v>
      </c>
      <c r="CE679">
        <v>9.3428413505841454E-2</v>
      </c>
      <c r="CF679">
        <v>2.1038737314955848E-2</v>
      </c>
      <c r="CG679" s="4">
        <v>11</v>
      </c>
      <c r="CH679" s="4">
        <v>0.78414927716175975</v>
      </c>
      <c r="CI679" s="4">
        <v>0.12835819090128339</v>
      </c>
      <c r="CJ679" s="4">
        <f>IF(Base[[#This Row],[Secteur]]&lt;&gt;"Moyenne",Base[[#This Row],['[Prod']'[Turnover']DMC_initiale]]*(1+Base[[#This Row],['[Prod']'[Turnover']Ecart_accidents]]*Base[[#This Row],['[Prod']Impact_motifs_turnover]]),CJ662*CI662+CJ663*CI663+CJ664*CI664+CJ665*CI665+CJ666*CI666+CJ667*CI667+CJ668*CI668+CJ669*CI669+CJ670*CI670+CJ671*CI671+CJ672*CI672+CJ673*CI673+CJ674*CI674+CJ675*CI675+CJ676*CI676+CJ677*CI677+CJ678*CI678)</f>
        <v>11.181472617237107</v>
      </c>
      <c r="CK679" s="4">
        <f>1/Base[[#This Row],['[Prod']'[Turnover']DMC_initiale]]</f>
        <v>9.0909090909090912E-2</v>
      </c>
      <c r="CL679" s="4">
        <f>1/Base[[#This Row],['[Prod']'[Turnover']DMC_finale]]</f>
        <v>8.9433658180088235E-2</v>
      </c>
    </row>
    <row r="680" spans="2:90" x14ac:dyDescent="0.25">
      <c r="B680" s="4" t="s">
        <v>330</v>
      </c>
      <c r="C680">
        <v>30</v>
      </c>
      <c r="D680" t="s">
        <v>85</v>
      </c>
      <c r="E680" t="s">
        <v>97</v>
      </c>
      <c r="F680" s="3">
        <v>0.41908337190522699</v>
      </c>
      <c r="G680" s="3">
        <v>0.2</v>
      </c>
      <c r="H680" s="3">
        <v>0.2</v>
      </c>
      <c r="I680" s="3">
        <v>0.127</v>
      </c>
      <c r="J680" s="3">
        <v>0</v>
      </c>
      <c r="K680" s="3">
        <v>7.0000000000000007E-2</v>
      </c>
      <c r="L680" s="2">
        <f>Base[[#This Row],[Coût]]*Base[[#This Row],[Part_ménages_dépenses_santé]]</f>
        <v>0</v>
      </c>
      <c r="M680" s="2">
        <v>0</v>
      </c>
      <c r="N680" s="6">
        <v>27700000</v>
      </c>
      <c r="O680" s="7">
        <f>Base[[#This Row],[Coût_salarié]]*10^9*Base[[#This Row],[Risque]]*Base[[#This Row],[Prévalence]]*Base[[#This Row],[Part_coûts_salarié]]/Base[[#This Row],[Population_emploi]]</f>
        <v>0</v>
      </c>
      <c r="P680">
        <v>50</v>
      </c>
      <c r="Q680">
        <v>50</v>
      </c>
      <c r="R680" s="2">
        <v>9.9999999999999978E-2</v>
      </c>
      <c r="S680" s="2">
        <v>0.33340000000000003</v>
      </c>
      <c r="T680" s="4">
        <v>0</v>
      </c>
      <c r="U680" s="4">
        <f>IF(Bases_annexes!$F$5=0,16.6587111018772,0.77*Bases_annexes!$F$5/(IF(OR(ISBLANK('Données_d''entrée'!$E$44),'Données_d''entrée'!$E$44=0),35,'Données_d''entrée'!$E$44)*52))</f>
        <v>16.658711101877199</v>
      </c>
      <c r="V680" s="4">
        <v>0</v>
      </c>
      <c r="W680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80" s="4">
        <v>234.5</v>
      </c>
      <c r="Y680" s="4">
        <f>(Base[[#This Row],['[Maladies']Coûts_évités_par_salarié]]+Base[[#This Row],['[Travail']Coûts_évités_par_salarié]])/Base[[#This Row],[Budget_santé_salarié]]</f>
        <v>0</v>
      </c>
      <c r="Z680" s="4">
        <v>0.8</v>
      </c>
      <c r="AA680" s="4">
        <f>Base[[#This Row],[Coût]]*Base[[#This Row],[Part_société_dépenses_santé]]</f>
        <v>0</v>
      </c>
      <c r="AB680" s="4">
        <v>67635124</v>
      </c>
      <c r="AC680" s="4">
        <v>82.297079063317852</v>
      </c>
      <c r="AD680" s="4">
        <v>0</v>
      </c>
      <c r="AE680" s="4">
        <f>Base[[#This Row],['[SC']Prévalence_travail]]*Base[[#This Row],[Population_emploi]]</f>
        <v>0</v>
      </c>
      <c r="AF680" s="4">
        <f>Base[[#This Row],[Risque]]*Base[[#This Row],['[SC']Patients_en_emploi]]</f>
        <v>0</v>
      </c>
      <c r="AG680" s="4">
        <v>0</v>
      </c>
      <c r="AH680" s="4">
        <f>IFERROR(Base[[#This Row],['[SC']Prestations]]/Base[[#This Row],['[SC']Patients_en_emploi]],0)</f>
        <v>0</v>
      </c>
      <c r="AI680" s="4">
        <v>51.7</v>
      </c>
      <c r="AJ680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80" s="4">
        <f>Base[[#This Row],['[SC']'[Travail']Coûts_évités]]/Base[[#This Row],[Population_emploi]]</f>
        <v>0</v>
      </c>
      <c r="AL680" s="4">
        <f>Base[[#This Row],[Coût_société]]*10^9*Base[[#This Row],[Risque]]*Base[[#This Row],[Prévalence]]*Base[[#This Row],[Part_coûts_salarié]]/Base[[#This Row],[Population_emploi]]</f>
        <v>0</v>
      </c>
      <c r="AM680" s="4">
        <f>IF(Base[[#This Row],[Pathologie]]&lt;&gt;"Dépendance",0,14909.24243952)</f>
        <v>0</v>
      </c>
      <c r="AN680" s="4">
        <f>IF(Base[[#This Row],[Pathologie]]&lt;&gt;"Dépendance",0,1316000)</f>
        <v>0</v>
      </c>
      <c r="AO680" s="4">
        <f>IF(Base[[#This Row],[Pathologie]]&lt;&gt;"Dépendance",0,Base[[#This Row],['[SC']Coût_personne_dépendante]]*Base[[#This Row],['[SC']Nb_personnes_dépendantes]])</f>
        <v>0</v>
      </c>
      <c r="AP680" s="4">
        <f>IF(Base[[#This Row],[Pathologie]]&lt;&gt;"Dépendance",0,Base[[#This Row],['[SC']Coût_total_dépendance]]/Base[[#This Row],[Population_totale]])</f>
        <v>0</v>
      </c>
      <c r="AQ680" s="4">
        <f>IF(Base[[#This Row],[Pathologie]]&lt;&gt;"Dépendance",0,4.5)</f>
        <v>0</v>
      </c>
      <c r="AR680" s="4">
        <v>1.0077957276768601</v>
      </c>
      <c r="AS680" s="4">
        <f>Base[[#This Row],[Espérance_vie]]+Base[[#This Row],['[SC']Hausse_esp_de_vie]]-Base[[#This Row],['[SC']Durée_moyenne_dépendance_avt]]+Base[[#This Row],[Risque]]</f>
        <v>83.723958162899947</v>
      </c>
      <c r="AT680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80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80" s="4">
        <v>62.9</v>
      </c>
      <c r="AW680" s="4">
        <f t="shared" si="23"/>
        <v>336905600000</v>
      </c>
      <c r="AX680" s="4">
        <v>15049171</v>
      </c>
      <c r="AY680" s="4">
        <f>Base[[#This Row],['[SC']Budget_total_retraites]]/Base[[#This Row],['[SC']Nombre_de_retraités]]</f>
        <v>22386.987296509556</v>
      </c>
      <c r="AZ680" s="4">
        <f>Base[[#This Row],['[SC']Budget_par_retraité]]*Base[[#This Row],['[SC']Nb_personnes_dépendantes]]</f>
        <v>0</v>
      </c>
      <c r="BA680" s="4">
        <f>Base[[#This Row],['[SC']'[Dépendance']Coût_retraite_personnes_dépendantes]]/Base[[#This Row],[Population_totale]]</f>
        <v>0</v>
      </c>
      <c r="BB680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80" s="4">
        <f>Base[[#This Row],['[SC']'[Dépendance']Gains]]-Base[[#This Row],['[SC']'[Dépendance']Coûts]]</f>
        <v>0</v>
      </c>
      <c r="BD680" s="4">
        <f>IF(Base[[#This Row],[Pathologie]]&lt;&gt;"Mort prématurée",0,Base[[#This Row],[Risque]]*Base[[#This Row],[Prévalence]]*Base[[#This Row],[Population_totale]])</f>
        <v>0</v>
      </c>
      <c r="BE680" s="4">
        <v>52.74</v>
      </c>
      <c r="BF680" s="4">
        <f>Base[[#This Row],['[SC']Âge_moyen_retraite]]-Base[[#This Row],['[SC']'[Mort_prématurée']Âge_moyen_mort précoce]]</f>
        <v>10.159999999999997</v>
      </c>
      <c r="BG680" s="4">
        <f>Base[[#This Row],[Espérance_vie]]+Base[[#This Row],['[SC']Hausse_esp_de_vie]]-Base[[#This Row],['[SC']Âge_moyen_retraite]]</f>
        <v>20.404874790994718</v>
      </c>
      <c r="BH680" s="4">
        <v>106583.42676924677</v>
      </c>
      <c r="BI680" s="4">
        <v>97601.789429271477</v>
      </c>
      <c r="BJ680" s="4">
        <v>302038.31496633729</v>
      </c>
      <c r="BK680" s="4">
        <v>117293.58934859755</v>
      </c>
      <c r="BL680" s="4">
        <v>1523999.9999999995</v>
      </c>
      <c r="BM680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80" s="4">
        <v>294804.96027377353</v>
      </c>
      <c r="BO680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80" s="4">
        <f>(Base[[#This Row],['[SC']'[Mort_prématurée']Gains]]-Base[[#This Row],['[SC']'[Mort_prématurée']Coûts]])/Base[[#This Row],[Population_totale]]</f>
        <v>0</v>
      </c>
      <c r="BQ680" s="4">
        <f>IF(Base[[#This Row],[Pathologie]]&lt;&gt;"Mort prématurée",0,Base[[#This Row],[Risque]])</f>
        <v>0</v>
      </c>
      <c r="BR680" s="4">
        <v>2680</v>
      </c>
      <c r="BS680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80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80" s="4">
        <f>Base[[#This Row],[Prévalence_prod]]*(1-Base[[#This Row],[Risque]])*Base[[#This Row],[Durée_arrêt]]*Base[[#This Row],[Population_emploi]]</f>
        <v>0</v>
      </c>
      <c r="BV680" s="4">
        <f>Base[[#This Row],['[Prod']'[Absentéisme']Total_jours_absence_avant]]-Base[[#This Row],['[Prod']'[Absentéisme']Total_jours_absence_après]]</f>
        <v>0</v>
      </c>
      <c r="BW680" s="4">
        <f>IF(AND(Base[[#This Row],[Pathologie]]&lt;&gt;"Dépendance",Base[[#This Row],[Pathologie]]&lt;&gt;"Mort prématurée",Base[[#This Row],[Pathologie]]&lt;&gt;"Migraine"),0.0619,0)</f>
        <v>0</v>
      </c>
      <c r="BX680" s="4">
        <v>254</v>
      </c>
      <c r="BY680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80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80" s="4">
        <f>Base[[#This Row],[Prévalence_prod]]*Base[[#This Row],[Présentéisme]]*Base[[#This Row],['[Prod']Jours_ouvrés]]</f>
        <v>6.4516000000000009</v>
      </c>
      <c r="CB680" s="4">
        <f>Base[[#This Row],[Prévalence_prod]]*(1-Base[[#This Row],[Risque]])*Base[[#This Row],[Présentéisme]]*Base[[#This Row],['[Prod']Jours_ouvrés]]</f>
        <v>3.7478417178162382</v>
      </c>
      <c r="CC680" s="4">
        <f>Base[[#This Row],['[Prod']'[Présentéisme']Jours_avant]]-Base[[#This Row],['[Prod']'[Présentéisme']Jours_après]]</f>
        <v>2.7037582821837627</v>
      </c>
      <c r="CD680" s="4">
        <f>Base[[#This Row],['[Prod']'[Présentéisme']Jours_gagnés]]/Base[[#This Row],['[Prod']Jours_ouvrés]]</f>
        <v>1.0644717646392767E-2</v>
      </c>
      <c r="CE680">
        <v>9.3428413505841454E-2</v>
      </c>
      <c r="CF680">
        <v>2.1038737314955848E-2</v>
      </c>
      <c r="CG680" s="4">
        <v>11</v>
      </c>
      <c r="CH680" s="4">
        <v>0.99648427619813984</v>
      </c>
      <c r="CI680" s="4">
        <v>0.42377466100567313</v>
      </c>
      <c r="CJ680" s="4">
        <f>IF(Base[[#This Row],[Secteur]]&lt;&gt;"Moyenne",Base[[#This Row],['[Prod']'[Turnover']DMC_initiale]]*(1+Base[[#This Row],['[Prod']'[Turnover']Ecart_accidents]]*Base[[#This Row],['[Prod']Impact_motifs_turnover]]),CJ663*CI663+CJ664*CI664+CJ665*CI665+CJ666*CI666+CJ667*CI667+CJ668*CI668+CJ669*CI669+CJ670*CI670+CJ671*CI671+CJ672*CI672+CJ673*CI673+CJ674*CI674+CJ675*CI675+CJ676*CI676+CJ677*CI677+CJ678*CI678+CJ679*CI679)</f>
        <v>11.230612480179582</v>
      </c>
      <c r="CK680" s="4">
        <f>1/Base[[#This Row],['[Prod']'[Turnover']DMC_initiale]]</f>
        <v>9.0909090909090912E-2</v>
      </c>
      <c r="CL680" s="4">
        <f>1/Base[[#This Row],['[Prod']'[Turnover']DMC_finale]]</f>
        <v>8.9042338676083466E-2</v>
      </c>
    </row>
    <row r="681" spans="2:90" x14ac:dyDescent="0.25">
      <c r="B681" s="4" t="s">
        <v>331</v>
      </c>
      <c r="C681">
        <v>30</v>
      </c>
      <c r="D681" t="s">
        <v>85</v>
      </c>
      <c r="E681" t="s">
        <v>97</v>
      </c>
      <c r="F681" s="3">
        <v>0.41908337190522699</v>
      </c>
      <c r="G681" s="3">
        <v>0.2</v>
      </c>
      <c r="H681" s="3">
        <v>0.2</v>
      </c>
      <c r="I681" s="3">
        <v>0.127</v>
      </c>
      <c r="J681" s="3">
        <v>0</v>
      </c>
      <c r="K681" s="3">
        <v>7.0000000000000007E-2</v>
      </c>
      <c r="L681" s="2">
        <f>Base[[#This Row],[Coût]]*Base[[#This Row],[Part_ménages_dépenses_santé]]</f>
        <v>0</v>
      </c>
      <c r="M681" s="2">
        <v>0</v>
      </c>
      <c r="N681" s="6">
        <v>27700000</v>
      </c>
      <c r="O681" s="7">
        <f>Base[[#This Row],[Coût_salarié]]*10^9*Base[[#This Row],[Risque]]*Base[[#This Row],[Prévalence]]*Base[[#This Row],[Part_coûts_salarié]]/Base[[#This Row],[Population_emploi]]</f>
        <v>0</v>
      </c>
      <c r="P681">
        <v>50</v>
      </c>
      <c r="Q681">
        <v>50</v>
      </c>
      <c r="R681" s="2">
        <v>9.9999999999999978E-2</v>
      </c>
      <c r="S681" s="2">
        <v>0.33340000000000003</v>
      </c>
      <c r="T681" s="4">
        <v>0</v>
      </c>
      <c r="U681" s="4">
        <f>IF(Bases_annexes!$F$5=0,16.6587111018772,0.77*Bases_annexes!$F$5/(IF(OR(ISBLANK('Données_d''entrée'!$E$44),'Données_d''entrée'!$E$44=0),35,'Données_d''entrée'!$E$44)*52))</f>
        <v>16.658711101877199</v>
      </c>
      <c r="V681" s="4">
        <v>0</v>
      </c>
      <c r="W681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81" s="4">
        <v>234.5</v>
      </c>
      <c r="Y681" s="4">
        <f>(Base[[#This Row],['[Maladies']Coûts_évités_par_salarié]]+Base[[#This Row],['[Travail']Coûts_évités_par_salarié]])/Base[[#This Row],[Budget_santé_salarié]]</f>
        <v>0</v>
      </c>
      <c r="Z681" s="4">
        <v>0.8</v>
      </c>
      <c r="AA681" s="4">
        <f>Base[[#This Row],[Coût]]*Base[[#This Row],[Part_société_dépenses_santé]]</f>
        <v>0</v>
      </c>
      <c r="AB681" s="4">
        <v>67635124</v>
      </c>
      <c r="AC681" s="4">
        <v>82.297079063317852</v>
      </c>
      <c r="AD681" s="4">
        <v>0</v>
      </c>
      <c r="AE681" s="4">
        <f>Base[[#This Row],['[SC']Prévalence_travail]]*Base[[#This Row],[Population_emploi]]</f>
        <v>0</v>
      </c>
      <c r="AF681" s="4">
        <f>Base[[#This Row],[Risque]]*Base[[#This Row],['[SC']Patients_en_emploi]]</f>
        <v>0</v>
      </c>
      <c r="AG681" s="4">
        <v>0</v>
      </c>
      <c r="AH681" s="4">
        <f>IFERROR(Base[[#This Row],['[SC']Prestations]]/Base[[#This Row],['[SC']Patients_en_emploi]],0)</f>
        <v>0</v>
      </c>
      <c r="AI681" s="4">
        <v>51.7</v>
      </c>
      <c r="AJ681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81" s="4">
        <f>Base[[#This Row],['[SC']'[Travail']Coûts_évités]]/Base[[#This Row],[Population_emploi]]</f>
        <v>0</v>
      </c>
      <c r="AL681" s="4">
        <f>Base[[#This Row],[Coût_société]]*10^9*Base[[#This Row],[Risque]]*Base[[#This Row],[Prévalence]]*Base[[#This Row],[Part_coûts_salarié]]/Base[[#This Row],[Population_emploi]]</f>
        <v>0</v>
      </c>
      <c r="AM681" s="4">
        <f>IF(Base[[#This Row],[Pathologie]]&lt;&gt;"Dépendance",0,14909.24243952)</f>
        <v>0</v>
      </c>
      <c r="AN681" s="4">
        <f>IF(Base[[#This Row],[Pathologie]]&lt;&gt;"Dépendance",0,1316000)</f>
        <v>0</v>
      </c>
      <c r="AO681" s="4">
        <f>IF(Base[[#This Row],[Pathologie]]&lt;&gt;"Dépendance",0,Base[[#This Row],['[SC']Coût_personne_dépendante]]*Base[[#This Row],['[SC']Nb_personnes_dépendantes]])</f>
        <v>0</v>
      </c>
      <c r="AP681" s="4">
        <f>IF(Base[[#This Row],[Pathologie]]&lt;&gt;"Dépendance",0,Base[[#This Row],['[SC']Coût_total_dépendance]]/Base[[#This Row],[Population_totale]])</f>
        <v>0</v>
      </c>
      <c r="AQ681" s="4">
        <f>IF(Base[[#This Row],[Pathologie]]&lt;&gt;"Dépendance",0,4.5)</f>
        <v>0</v>
      </c>
      <c r="AR681" s="4">
        <v>1.0077957276768601</v>
      </c>
      <c r="AS681" s="4">
        <f>Base[[#This Row],[Espérance_vie]]+Base[[#This Row],['[SC']Hausse_esp_de_vie]]-Base[[#This Row],['[SC']Durée_moyenne_dépendance_avt]]+Base[[#This Row],[Risque]]</f>
        <v>83.723958162899947</v>
      </c>
      <c r="AT681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81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81" s="4">
        <v>62.9</v>
      </c>
      <c r="AW681" s="4">
        <f t="shared" si="23"/>
        <v>336905600000</v>
      </c>
      <c r="AX681" s="4">
        <v>15049171</v>
      </c>
      <c r="AY681" s="4">
        <f>Base[[#This Row],['[SC']Budget_total_retraites]]/Base[[#This Row],['[SC']Nombre_de_retraités]]</f>
        <v>22386.987296509556</v>
      </c>
      <c r="AZ681" s="4">
        <f>Base[[#This Row],['[SC']Budget_par_retraité]]*Base[[#This Row],['[SC']Nb_personnes_dépendantes]]</f>
        <v>0</v>
      </c>
      <c r="BA681" s="4">
        <f>Base[[#This Row],['[SC']'[Dépendance']Coût_retraite_personnes_dépendantes]]/Base[[#This Row],[Population_totale]]</f>
        <v>0</v>
      </c>
      <c r="BB681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81" s="4">
        <f>Base[[#This Row],['[SC']'[Dépendance']Gains]]-Base[[#This Row],['[SC']'[Dépendance']Coûts]]</f>
        <v>0</v>
      </c>
      <c r="BD681" s="4">
        <f>IF(Base[[#This Row],[Pathologie]]&lt;&gt;"Mort prématurée",0,Base[[#This Row],[Risque]]*Base[[#This Row],[Prévalence]]*Base[[#This Row],[Population_totale]])</f>
        <v>0</v>
      </c>
      <c r="BE681" s="4">
        <v>52.74</v>
      </c>
      <c r="BF681" s="4">
        <f>Base[[#This Row],['[SC']Âge_moyen_retraite]]-Base[[#This Row],['[SC']'[Mort_prématurée']Âge_moyen_mort précoce]]</f>
        <v>10.159999999999997</v>
      </c>
      <c r="BG681" s="4">
        <f>Base[[#This Row],[Espérance_vie]]+Base[[#This Row],['[SC']Hausse_esp_de_vie]]-Base[[#This Row],['[SC']Âge_moyen_retraite]]</f>
        <v>20.404874790994718</v>
      </c>
      <c r="BH681" s="4">
        <v>106583.42676924677</v>
      </c>
      <c r="BI681" s="4">
        <v>97601.789429271477</v>
      </c>
      <c r="BJ681" s="4">
        <v>302038.31496633729</v>
      </c>
      <c r="BK681" s="4">
        <v>117293.58934859755</v>
      </c>
      <c r="BL681" s="4">
        <v>1523999.9999999995</v>
      </c>
      <c r="BM681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81" s="4">
        <v>294804.96027377353</v>
      </c>
      <c r="BO681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81" s="4">
        <f>(Base[[#This Row],['[SC']'[Mort_prématurée']Gains]]-Base[[#This Row],['[SC']'[Mort_prématurée']Coûts]])/Base[[#This Row],[Population_totale]]</f>
        <v>0</v>
      </c>
      <c r="BQ681" s="4">
        <f>IF(Base[[#This Row],[Pathologie]]&lt;&gt;"Mort prématurée",0,Base[[#This Row],[Risque]])</f>
        <v>0</v>
      </c>
      <c r="BR681" s="4">
        <v>2680</v>
      </c>
      <c r="BS681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81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81" s="4">
        <f>Base[[#This Row],[Prévalence_prod]]*(1-Base[[#This Row],[Risque]])*Base[[#This Row],[Durée_arrêt]]*Base[[#This Row],[Population_emploi]]</f>
        <v>0</v>
      </c>
      <c r="BV681" s="4">
        <f>Base[[#This Row],['[Prod']'[Absentéisme']Total_jours_absence_avant]]-Base[[#This Row],['[Prod']'[Absentéisme']Total_jours_absence_après]]</f>
        <v>0</v>
      </c>
      <c r="BW681" s="4">
        <f>IF(AND(Base[[#This Row],[Pathologie]]&lt;&gt;"Dépendance",Base[[#This Row],[Pathologie]]&lt;&gt;"Mort prématurée",Base[[#This Row],[Pathologie]]&lt;&gt;"Migraine"),0.0619,0)</f>
        <v>0</v>
      </c>
      <c r="BX681" s="4">
        <v>254</v>
      </c>
      <c r="BY681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81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81" s="4">
        <f>Base[[#This Row],[Prévalence_prod]]*Base[[#This Row],[Présentéisme]]*Base[[#This Row],['[Prod']Jours_ouvrés]]</f>
        <v>6.4516000000000009</v>
      </c>
      <c r="CB681" s="4">
        <f>Base[[#This Row],[Prévalence_prod]]*(1-Base[[#This Row],[Risque]])*Base[[#This Row],[Présentéisme]]*Base[[#This Row],['[Prod']Jours_ouvrés]]</f>
        <v>3.7478417178162382</v>
      </c>
      <c r="CC681" s="4">
        <f>Base[[#This Row],['[Prod']'[Présentéisme']Jours_avant]]-Base[[#This Row],['[Prod']'[Présentéisme']Jours_après]]</f>
        <v>2.7037582821837627</v>
      </c>
      <c r="CD681" s="4">
        <f>Base[[#This Row],['[Prod']'[Présentéisme']Jours_gagnés]]/Base[[#This Row],['[Prod']Jours_ouvrés]]</f>
        <v>1.0644717646392767E-2</v>
      </c>
      <c r="CE681">
        <v>9.3428413505841454E-2</v>
      </c>
      <c r="CF681">
        <v>2.1038737314955848E-2</v>
      </c>
      <c r="CG681" s="4">
        <v>11</v>
      </c>
      <c r="CH681" s="4">
        <v>1.1593596509901765</v>
      </c>
      <c r="CI681" s="4">
        <v>4.0741311947357597E-2</v>
      </c>
      <c r="CJ681" s="4">
        <f>IF(Base[[#This Row],[Secteur]]&lt;&gt;"Moyenne",Base[[#This Row],['[Prod']'[Turnover']DMC_initiale]]*(1+Base[[#This Row],['[Prod']'[Turnover']Ecart_accidents]]*Base[[#This Row],['[Prod']Impact_motifs_turnover]]),CJ664*CI664+CJ665*CI665+CJ666*CI666+CJ667*CI667+CJ668*CI668+CJ669*CI669+CJ670*CI670+CJ671*CI671+CJ672*CI672+CJ673*CI673+CJ674*CI674+CJ675*CI675+CJ676*CI676+CJ677*CI677+CJ678*CI678+CJ679*CI679+CJ680*CI680)</f>
        <v>11.268306094658152</v>
      </c>
      <c r="CK681" s="4">
        <f>1/Base[[#This Row],['[Prod']'[Turnover']DMC_initiale]]</f>
        <v>9.0909090909090912E-2</v>
      </c>
      <c r="CL681" s="4">
        <f>1/Base[[#This Row],['[Prod']'[Turnover']DMC_finale]]</f>
        <v>8.8744483119256007E-2</v>
      </c>
    </row>
    <row r="682" spans="2:90" x14ac:dyDescent="0.25">
      <c r="B682" s="4" t="s">
        <v>332</v>
      </c>
      <c r="C682">
        <v>30</v>
      </c>
      <c r="D682" t="s">
        <v>85</v>
      </c>
      <c r="E682" t="s">
        <v>97</v>
      </c>
      <c r="F682" s="3">
        <v>0.41908337190522699</v>
      </c>
      <c r="G682" s="3">
        <v>0.2</v>
      </c>
      <c r="H682" s="3">
        <v>0.2</v>
      </c>
      <c r="I682" s="3">
        <v>0.127</v>
      </c>
      <c r="J682" s="3">
        <v>0</v>
      </c>
      <c r="K682" s="3">
        <v>7.0000000000000007E-2</v>
      </c>
      <c r="L682" s="2">
        <f>Base[[#This Row],[Coût]]*Base[[#This Row],[Part_ménages_dépenses_santé]]</f>
        <v>0</v>
      </c>
      <c r="M682" s="2">
        <v>0</v>
      </c>
      <c r="N682" s="6">
        <v>27700000</v>
      </c>
      <c r="O682" s="7">
        <f>Base[[#This Row],[Coût_salarié]]*10^9*Base[[#This Row],[Risque]]*Base[[#This Row],[Prévalence]]*Base[[#This Row],[Part_coûts_salarié]]/Base[[#This Row],[Population_emploi]]</f>
        <v>0</v>
      </c>
      <c r="P682">
        <v>50</v>
      </c>
      <c r="Q682">
        <v>50</v>
      </c>
      <c r="R682" s="2">
        <v>9.9999999999999978E-2</v>
      </c>
      <c r="S682" s="2">
        <v>0.33340000000000003</v>
      </c>
      <c r="T682" s="4">
        <v>0</v>
      </c>
      <c r="U682" s="4">
        <f>IF(Bases_annexes!$F$5=0,16.6587111018772,0.77*Bases_annexes!$F$5/(IF(OR(ISBLANK('Données_d''entrée'!$E$44),'Données_d''entrée'!$E$44=0),35,'Données_d''entrée'!$E$44)*52))</f>
        <v>16.658711101877199</v>
      </c>
      <c r="V682" s="4">
        <v>0</v>
      </c>
      <c r="W682" s="2">
        <f>Base[[#This Row],[Prévalence_Travail]]*Base[[#This Row],[Risque]]*Base[[#This Row],[Salaire_net_horaire]]*IF(Base[[#This Row],[Durée_arrêt]]&lt;Base[[#This Row],[Durée_perte_10%]],3*7+(Base[[#This Row],[Durée_arrêt]]-3)*7*Base[[#This Row],[%_perte_rémunération_premiers_jours]],3*7+(Base[[#This Row],[Durée_perte_10%]]-3)*Base[[#This Row],[%_perte_rémunération_premiers_jours]]+(Base[[#This Row],[Durée_arrêt]]-Base[[#This Row],[Durée_perte_10%]])*Base[[#This Row],[%_perte_rémunération_jours_suivants]])</f>
        <v>0</v>
      </c>
      <c r="X682" s="4">
        <v>234.5</v>
      </c>
      <c r="Y682" s="4">
        <f>(Base[[#This Row],['[Maladies']Coûts_évités_par_salarié]]+Base[[#This Row],['[Travail']Coûts_évités_par_salarié]])/Base[[#This Row],[Budget_santé_salarié]]</f>
        <v>0</v>
      </c>
      <c r="Z682" s="4">
        <v>0.8</v>
      </c>
      <c r="AA682" s="4">
        <f>Base[[#This Row],[Coût]]*Base[[#This Row],[Part_société_dépenses_santé]]</f>
        <v>0</v>
      </c>
      <c r="AB682" s="4">
        <v>67635124</v>
      </c>
      <c r="AC682" s="4">
        <v>82.297079063317852</v>
      </c>
      <c r="AD682" s="4">
        <v>0</v>
      </c>
      <c r="AE682" s="4">
        <f>Base[[#This Row],['[SC']Prévalence_travail]]*Base[[#This Row],[Population_emploi]]</f>
        <v>0</v>
      </c>
      <c r="AF682" s="4">
        <f>Base[[#This Row],[Risque]]*Base[[#This Row],['[SC']Patients_en_emploi]]</f>
        <v>0</v>
      </c>
      <c r="AG682" s="4">
        <v>0</v>
      </c>
      <c r="AH682" s="4">
        <f>IFERROR(Base[[#This Row],['[SC']Prestations]]/Base[[#This Row],['[SC']Patients_en_emploi]],0)</f>
        <v>0</v>
      </c>
      <c r="AI682" s="4">
        <v>51.7</v>
      </c>
      <c r="AJ682" s="4">
        <f>IF(Base[[#This Row],['[SC']Prestations_par_patient]]&lt;&gt;0,Base[[#This Row],['[SC']Prestations_par_patient]]*Base[[#This Row],['[SC']Patients_évités]],Base[[#This Row],['[SC']Patients_évités]]*(Base[[#This Row],[Durée_arrêt]]-3)*Base[[#This Row],['[SC']Montant_max_IJ]])</f>
        <v>0</v>
      </c>
      <c r="AK682" s="4">
        <f>Base[[#This Row],['[SC']'[Travail']Coûts_évités]]/Base[[#This Row],[Population_emploi]]</f>
        <v>0</v>
      </c>
      <c r="AL682" s="4">
        <f>Base[[#This Row],[Coût_société]]*10^9*Base[[#This Row],[Risque]]*Base[[#This Row],[Prévalence]]*Base[[#This Row],[Part_coûts_salarié]]/Base[[#This Row],[Population_emploi]]</f>
        <v>0</v>
      </c>
      <c r="AM682" s="4">
        <f>IF(Base[[#This Row],[Pathologie]]&lt;&gt;"Dépendance",0,14909.24243952)</f>
        <v>0</v>
      </c>
      <c r="AN682" s="4">
        <f>IF(Base[[#This Row],[Pathologie]]&lt;&gt;"Dépendance",0,1316000)</f>
        <v>0</v>
      </c>
      <c r="AO682" s="4">
        <f>IF(Base[[#This Row],[Pathologie]]&lt;&gt;"Dépendance",0,Base[[#This Row],['[SC']Coût_personne_dépendante]]*Base[[#This Row],['[SC']Nb_personnes_dépendantes]])</f>
        <v>0</v>
      </c>
      <c r="AP682" s="4">
        <f>IF(Base[[#This Row],[Pathologie]]&lt;&gt;"Dépendance",0,Base[[#This Row],['[SC']Coût_total_dépendance]]/Base[[#This Row],[Population_totale]])</f>
        <v>0</v>
      </c>
      <c r="AQ682" s="4">
        <f>IF(Base[[#This Row],[Pathologie]]&lt;&gt;"Dépendance",0,4.5)</f>
        <v>0</v>
      </c>
      <c r="AR682" s="4">
        <v>1.0077957276768601</v>
      </c>
      <c r="AS682" s="4">
        <f>Base[[#This Row],[Espérance_vie]]+Base[[#This Row],['[SC']Hausse_esp_de_vie]]-Base[[#This Row],['[SC']Durée_moyenne_dépendance_avt]]+Base[[#This Row],[Risque]]</f>
        <v>83.723958162899947</v>
      </c>
      <c r="AT682" s="4">
        <f>IF(Base[[#This Row],[Espérance_vie]]+Base[[#This Row],['[SC']Hausse_esp_de_vie]]-Base[[#This Row],['[SC']Âge_début_dépendance_après]]&lt;0,0,Base[[#This Row],[Espérance_vie]]+Base[[#This Row],['[SC']Hausse_esp_de_vie]]-Base[[#This Row],['[SC']Âge_début_dépendance_après]])</f>
        <v>0</v>
      </c>
      <c r="AU682" s="4">
        <f>(Base[[#This Row],['[SC']Durée_moyenne_dépendance_avt]]-Base[[#This Row],['[SC']Durée_moyenne_dépendance_après]])*Base[[#This Row],['[SC']Coût_dépendance_pop_totale]]*Base[[#This Row],[Prévalence]]*Base[[#This Row],[Population_emploi]]/Base[[#This Row],[Population_totale]]</f>
        <v>0</v>
      </c>
      <c r="AV682" s="4">
        <v>62.9</v>
      </c>
      <c r="AW682" s="4">
        <f t="shared" si="23"/>
        <v>336905600000</v>
      </c>
      <c r="AX682" s="4">
        <v>15049171</v>
      </c>
      <c r="AY682" s="4">
        <f>Base[[#This Row],['[SC']Budget_total_retraites]]/Base[[#This Row],['[SC']Nombre_de_retraités]]</f>
        <v>22386.987296509556</v>
      </c>
      <c r="AZ682" s="4">
        <f>Base[[#This Row],['[SC']Budget_par_retraité]]*Base[[#This Row],['[SC']Nb_personnes_dépendantes]]</f>
        <v>0</v>
      </c>
      <c r="BA682" s="4">
        <f>Base[[#This Row],['[SC']'[Dépendance']Coût_retraite_personnes_dépendantes]]/Base[[#This Row],[Population_totale]]</f>
        <v>0</v>
      </c>
      <c r="BB682" s="4">
        <f>Base[[#This Row],['[SC']Hausse_esp_de_vie]]*Base[[#This Row],['[SC']'[Dépendance']Coût_retraite_personnes_dépendantes_pop_totale]]*Base[[#This Row],[Prévalence]]*Base[[#This Row],[Population_emploi]]/Base[[#This Row],[Population_totale]]</f>
        <v>0</v>
      </c>
      <c r="BC682" s="4">
        <f>Base[[#This Row],['[SC']'[Dépendance']Gains]]-Base[[#This Row],['[SC']'[Dépendance']Coûts]]</f>
        <v>0</v>
      </c>
      <c r="BD682" s="4">
        <f>IF(Base[[#This Row],[Pathologie]]&lt;&gt;"Mort prématurée",0,Base[[#This Row],[Risque]]*Base[[#This Row],[Prévalence]]*Base[[#This Row],[Population_totale]])</f>
        <v>0</v>
      </c>
      <c r="BE682" s="4">
        <v>52.74</v>
      </c>
      <c r="BF682" s="4">
        <f>Base[[#This Row],['[SC']Âge_moyen_retraite]]-Base[[#This Row],['[SC']'[Mort_prématurée']Âge_moyen_mort précoce]]</f>
        <v>10.159999999999997</v>
      </c>
      <c r="BG682" s="4">
        <f>Base[[#This Row],[Espérance_vie]]+Base[[#This Row],['[SC']Hausse_esp_de_vie]]-Base[[#This Row],['[SC']Âge_moyen_retraite]]</f>
        <v>20.404874790994718</v>
      </c>
      <c r="BH682" s="4">
        <v>106583.42676924677</v>
      </c>
      <c r="BI682" s="4">
        <v>97601.789429271477</v>
      </c>
      <c r="BJ682" s="4">
        <v>302038.31496633729</v>
      </c>
      <c r="BK682" s="4">
        <v>117293.58934859755</v>
      </c>
      <c r="BL682" s="4">
        <v>1523999.9999999995</v>
      </c>
      <c r="BM682" s="4">
        <f>IF(Base[[#This Row],[Pathologie]]&lt;&gt;"Mort prématurée",0,Base[[#This Row],['[SC']'[Mort_prématurée']Morts_prématurées_évitées]]*(Base[[#This Row],['[SC']'[Mort_prématurée']Gain_conso_55-64ans]]+Base[[#This Row],['[SC']'[Mort_prématurée']Gain_cotisations_sociales]]+Base[[#This Row],['[SC']'[Mort_prématurée']Gain_conso_64ans_et_plus]]+Base[[#This Row],['[SC']'[Mort_prématurée']Gain_cotisations_patronales]]+Base[[#This Row],['[SC']'[Mort_prématurée']Gain_années_vie_supp]])/(Base[[#This Row],[Espérance_vie]]+Base[[#This Row],['[SC']Hausse_esp_de_vie]]-Base[[#This Row],['[SC']'[Mort_prématurée']Âge_moyen_mort précoce]]))</f>
        <v>0</v>
      </c>
      <c r="BN682" s="4">
        <v>294804.96027377353</v>
      </c>
      <c r="BO682" s="4">
        <f>Base[[#This Row],['[SC']'[Mort_prématurée']Morts_prématurées_évitées]]*Base[[#This Row],['[SC']'[Mort_prématurée']Coûts_retraites]]/(Base[[#This Row],[Espérance_vie]]+Base[[#This Row],['[SC']Hausse_esp_de_vie]]-Base[[#This Row],['[SC']'[Mort_prématurée']Âge_moyen_mort précoce]])</f>
        <v>0</v>
      </c>
      <c r="BP682" s="4">
        <f>(Base[[#This Row],['[SC']'[Mort_prématurée']Gains]]-Base[[#This Row],['[SC']'[Mort_prématurée']Coûts]])/Base[[#This Row],[Population_totale]]</f>
        <v>0</v>
      </c>
      <c r="BQ682" s="4">
        <f>IF(Base[[#This Row],[Pathologie]]&lt;&gt;"Mort prématurée",0,Base[[#This Row],[Risque]])</f>
        <v>0</v>
      </c>
      <c r="BR682" s="4">
        <v>2680</v>
      </c>
      <c r="BS682" s="4">
        <f>(Base[[#This Row],['[SC']'[Travail']Coûts_évités_par_salarié]]+Base[[#This Row],['[SC']'[Maladies']Coûts_évités_par_salarié]]+Base[[#This Row],['[SC']'[Dépendance']Calcul]]+Base[[#This Row],['[SC']'[Mort_prématurée']Calcul]])/Base[[#This Row],['[SC']Budget_santé_société_civile]]</f>
        <v>0</v>
      </c>
      <c r="BT682" s="4">
        <f>IF(AND(Base[[#This Row],[Pathologie]]&lt;&gt;"Dépendance",Base[[#This Row],[Pathologie]]&lt;&gt;"Mort prématurée",Base[[#This Row],[Pathologie]]&lt;&gt;"Migraine"),Base[[#This Row],[Prévalence_prod]]*Base[[#This Row],[Durée_arrêt]]*Base[[#This Row],[Population_emploi]],0)</f>
        <v>0</v>
      </c>
      <c r="BU682" s="4">
        <f>Base[[#This Row],[Prévalence_prod]]*(1-Base[[#This Row],[Risque]])*Base[[#This Row],[Durée_arrêt]]*Base[[#This Row],[Population_emploi]]</f>
        <v>0</v>
      </c>
      <c r="BV682" s="4">
        <f>Base[[#This Row],['[Prod']'[Absentéisme']Total_jours_absence_avant]]-Base[[#This Row],['[Prod']'[Absentéisme']Total_jours_absence_après]]</f>
        <v>0</v>
      </c>
      <c r="BW682" s="4">
        <f>IF(AND(Base[[#This Row],[Pathologie]]&lt;&gt;"Dépendance",Base[[#This Row],[Pathologie]]&lt;&gt;"Mort prématurée",Base[[#This Row],[Pathologie]]&lt;&gt;"Migraine"),0.0619,0)</f>
        <v>0</v>
      </c>
      <c r="BX682" s="4">
        <v>254</v>
      </c>
      <c r="BY682" s="4">
        <f>Base[[#This Row],['[Prod']'[Absentéisme']Taux_initial]]*Base[[#This Row],['[Prod']Jours_ouvrés]]*Base[[#This Row],[Population_emploi]]*Base[[#This Row],['[Prod']'[Absentéisme']Total_jours_absence_avant]]/211051099.251489</f>
        <v>0</v>
      </c>
      <c r="BZ682" s="4">
        <f>(Base[[#This Row],['[Prod']'[Absentéisme']Jours_théoriques]]-Base[[#This Row],['[Prod']'[Absentéisme']Total_jours_absence_évités]])/(Base[[#This Row],[Population_emploi]]*Base[[#This Row],['[Prod']Jours_ouvrés]])</f>
        <v>0</v>
      </c>
      <c r="CA682" s="4">
        <f>Base[[#This Row],[Prévalence_prod]]*Base[[#This Row],[Présentéisme]]*Base[[#This Row],['[Prod']Jours_ouvrés]]</f>
        <v>6.4516000000000009</v>
      </c>
      <c r="CB682" s="4">
        <f>Base[[#This Row],[Prévalence_prod]]*(1-Base[[#This Row],[Risque]])*Base[[#This Row],[Présentéisme]]*Base[[#This Row],['[Prod']Jours_ouvrés]]</f>
        <v>3.7478417178162382</v>
      </c>
      <c r="CC682" s="4">
        <f>Base[[#This Row],['[Prod']'[Présentéisme']Jours_avant]]-Base[[#This Row],['[Prod']'[Présentéisme']Jours_après]]</f>
        <v>2.7037582821837627</v>
      </c>
      <c r="CD682" s="4">
        <f>Base[[#This Row],['[Prod']'[Présentéisme']Jours_gagnés]]/Base[[#This Row],['[Prod']Jours_ouvrés]]</f>
        <v>1.0644717646392767E-2</v>
      </c>
      <c r="CE682">
        <v>9.3428413505841454E-2</v>
      </c>
      <c r="CF682">
        <v>2.1038737314955848E-2</v>
      </c>
      <c r="CG682" s="4">
        <v>11</v>
      </c>
      <c r="CH682" s="4">
        <v>0.85076983926913452</v>
      </c>
      <c r="CI682" s="4">
        <v>0</v>
      </c>
      <c r="CJ682" s="4">
        <f>IF(Base[[#This Row],[Secteur]]&lt;&gt;"Moyenne",Base[[#This Row],['[Prod']'[Turnover']DMC_initiale]]*(1+Base[[#This Row],['[Prod']'[Turnover']Ecart_accidents]]*Base[[#This Row],['[Prod']Impact_motifs_turnover]]),CJ665*CI665+CJ666*CI666+CJ667*CI667+CJ668*CI668+CJ669*CI669+CJ670*CI670+CJ671*CI671+CJ672*CI672+CJ673*CI673+CJ674*CI674+CJ675*CI675+CJ676*CI676+CJ677*CI677+CJ678*CI678+CJ679*CI679+CJ680*CI680+CJ681*CI681)</f>
        <v>11.196890354802576</v>
      </c>
      <c r="CK682" s="4">
        <f>1/Base[[#This Row],['[Prod']'[Turnover']DMC_initiale]]</f>
        <v>9.0909090909090912E-2</v>
      </c>
      <c r="CL682" s="4">
        <f>1/Base[[#This Row],['[Prod']'[Turnover']DMC_finale]]</f>
        <v>8.9310511071592255E-2</v>
      </c>
    </row>
  </sheetData>
  <phoneticPr fontId="12" type="noConversion"/>
  <pageMargins left="0.7" right="0.7" top="0.75" bottom="0.75" header="0.3" footer="0.3"/>
  <legacy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323"/>
  <sheetViews>
    <sheetView topLeftCell="A286" zoomScale="79" zoomScaleNormal="70" workbookViewId="0">
      <selection activeCell="H328" sqref="H328"/>
    </sheetView>
  </sheetViews>
  <sheetFormatPr baseColWidth="10" defaultRowHeight="15" x14ac:dyDescent="0.25"/>
  <cols>
    <col min="3" max="3" width="41.140625" customWidth="1"/>
    <col min="4" max="4" width="29.5703125" customWidth="1"/>
    <col min="5" max="5" width="23.42578125" customWidth="1"/>
    <col min="6" max="8" width="18" customWidth="1"/>
    <col min="28" max="28" width="14.28515625" bestFit="1" customWidth="1"/>
  </cols>
  <sheetData>
    <row r="3" spans="3:6" x14ac:dyDescent="0.25">
      <c r="C3" s="36" t="s">
        <v>341</v>
      </c>
    </row>
    <row r="4" spans="3:6" x14ac:dyDescent="0.25">
      <c r="D4" s="43" t="s">
        <v>342</v>
      </c>
      <c r="E4" s="43" t="s">
        <v>335</v>
      </c>
      <c r="F4" s="43" t="s">
        <v>343</v>
      </c>
    </row>
    <row r="5" spans="3:6" x14ac:dyDescent="0.25">
      <c r="C5" s="43" t="s">
        <v>227</v>
      </c>
      <c r="D5" s="43">
        <f>IFERROR(INDEX('Données_d''entrée'!$D$50:$F$53,MATCH(Bases_annexes!$C5,'Données_d''entrée'!$D$50:$D$53,0),2),0)</f>
        <v>0</v>
      </c>
      <c r="E5" s="43" t="str">
        <f>INDEX('Données_d''entrée'!$D$50:$F$53,MATCH(Bases_annexes!$C5,'Données_d''entrée'!$D$50:$D$53,0),3)</f>
        <v>k€</v>
      </c>
      <c r="F5" s="90" cm="1">
        <f t="array" ref="F5">_xlfn.IFS(E5="k€",D5*10^3,E5="M€",D5*10^6)</f>
        <v>0</v>
      </c>
    </row>
    <row r="6" spans="3:6" x14ac:dyDescent="0.25">
      <c r="C6" s="43" t="s">
        <v>208</v>
      </c>
      <c r="D6" s="43">
        <f>IFERROR(INDEX('Données_d''entrée'!$D$50:$F$53,MATCH(Bases_annexes!$C6,'Données_d''entrée'!$D$50:$D$53,0),2),0)</f>
        <v>0</v>
      </c>
      <c r="E6" s="43" t="str">
        <f>INDEX('Données_d''entrée'!$D$50:$F$53,MATCH(Bases_annexes!$C6,'Données_d''entrée'!$D$50:$D$53,0),3)</f>
        <v>M€</v>
      </c>
      <c r="F6" s="90" cm="1">
        <f t="array" ref="F6">_xlfn.IFS(E6="k€",D6*10^3,E6="M€",D6*10^6)</f>
        <v>0</v>
      </c>
    </row>
    <row r="7" spans="3:6" x14ac:dyDescent="0.25">
      <c r="C7" s="43" t="s">
        <v>209</v>
      </c>
      <c r="D7" s="43">
        <f>IFERROR(INDEX('Données_d''entrée'!$D$50:$F$53,MATCH(Bases_annexes!$C7,'Données_d''entrée'!$D$50:$D$53,0),2),0)</f>
        <v>0</v>
      </c>
      <c r="E7" s="43" t="str">
        <f>INDEX('Données_d''entrée'!$D$50:$F$53,MATCH(Bases_annexes!$C7,'Données_d''entrée'!$D$50:$D$53,0),3)</f>
        <v>M€</v>
      </c>
      <c r="F7" s="90" cm="1">
        <f t="array" ref="F7">_xlfn.IFS(E7="k€",D7*10^3,E7="M€",D7*10^6)</f>
        <v>0</v>
      </c>
    </row>
    <row r="8" spans="3:6" x14ac:dyDescent="0.25">
      <c r="C8" s="43" t="s">
        <v>212</v>
      </c>
      <c r="D8" s="43">
        <f>IFERROR(INDEX('Données_d''entrée'!$D$50:$F$53,MATCH(Bases_annexes!$C8,'Données_d''entrée'!$D$50:$D$53,0),2),0)</f>
        <v>0</v>
      </c>
      <c r="E8" s="43" t="str">
        <f>INDEX('Données_d''entrée'!$D$50:$F$53,MATCH(Bases_annexes!$C8,'Données_d''entrée'!$D$50:$D$53,0),3)</f>
        <v>M€</v>
      </c>
      <c r="F8" s="90" cm="1">
        <f t="array" ref="F8">_xlfn.IFS(E8="k€",D8*10^3,E8="M€",D8*10^6)</f>
        <v>0</v>
      </c>
    </row>
    <row r="17" spans="3:7" x14ac:dyDescent="0.25">
      <c r="C17" s="36" t="s">
        <v>302</v>
      </c>
    </row>
    <row r="18" spans="3:7" x14ac:dyDescent="0.25">
      <c r="C18" s="43" t="s">
        <v>292</v>
      </c>
      <c r="D18" s="43" t="s">
        <v>172</v>
      </c>
      <c r="E18" s="43" t="s">
        <v>303</v>
      </c>
      <c r="F18" s="43" t="s">
        <v>301</v>
      </c>
      <c r="G18" s="43" t="s">
        <v>304</v>
      </c>
    </row>
    <row r="19" spans="3:7" x14ac:dyDescent="0.25">
      <c r="C19" s="43" t="s">
        <v>293</v>
      </c>
      <c r="D19" s="43" t="s">
        <v>173</v>
      </c>
      <c r="E19" s="45">
        <f>IF(INDEX('Données_d''entrée'!$D$57:$F$70,MATCH(Bases_annexes!$D19,'Données_d''entrée'!$D$57:$D$70,0),2)="✔",1-INDEX('Données_d''entrée'!$D$57:$F$70,MATCH(Bases_annexes!$D19,'Données_d''entrée'!$D$57:$D$70,0),3),1)</f>
        <v>1</v>
      </c>
      <c r="F19" s="43">
        <v>190</v>
      </c>
      <c r="G19" s="43">
        <f t="shared" ref="G19:G32" si="0">F19*INDEX($D$19:$E$32,MATCH(D19,$D$19:$D$32,0),2)</f>
        <v>190</v>
      </c>
    </row>
    <row r="20" spans="3:7" x14ac:dyDescent="0.25">
      <c r="C20" s="43" t="s">
        <v>293</v>
      </c>
      <c r="D20" s="43" t="s">
        <v>174</v>
      </c>
      <c r="E20" s="45">
        <f>IF(INDEX('Données_d''entrée'!$D$57:$F$70,MATCH(Bases_annexes!$D20,'Données_d''entrée'!$D$57:$D$70,0),2)="✔",1-INDEX('Données_d''entrée'!$D$57:$F$70,MATCH(Bases_annexes!$D20,'Données_d''entrée'!$D$57:$D$70,0),3),1)</f>
        <v>1</v>
      </c>
      <c r="F20" s="43">
        <v>175</v>
      </c>
      <c r="G20" s="43">
        <f t="shared" si="0"/>
        <v>175</v>
      </c>
    </row>
    <row r="21" spans="3:7" x14ac:dyDescent="0.25">
      <c r="C21" s="43" t="s">
        <v>293</v>
      </c>
      <c r="D21" s="43" t="s">
        <v>175</v>
      </c>
      <c r="E21" s="45">
        <f>IF(INDEX('Données_d''entrée'!$D$57:$F$70,MATCH(Bases_annexes!$D21,'Données_d''entrée'!$D$57:$D$70,0),2)="✔",1-INDEX('Données_d''entrée'!$D$57:$F$70,MATCH(Bases_annexes!$D21,'Données_d''entrée'!$D$57:$D$70,0),3),1)</f>
        <v>1</v>
      </c>
      <c r="F21" s="43">
        <v>160</v>
      </c>
      <c r="G21" s="43">
        <f t="shared" si="0"/>
        <v>160</v>
      </c>
    </row>
    <row r="22" spans="3:7" x14ac:dyDescent="0.25">
      <c r="C22" s="43" t="s">
        <v>293</v>
      </c>
      <c r="D22" s="43" t="s">
        <v>176</v>
      </c>
      <c r="E22" s="45">
        <f>IF(INDEX('Données_d''entrée'!$D$57:$F$70,MATCH(Bases_annexes!$D22,'Données_d''entrée'!$D$57:$D$70,0),2)="✔",1-INDEX('Données_d''entrée'!$D$57:$F$70,MATCH(Bases_annexes!$D22,'Données_d''entrée'!$D$57:$D$70,0),3),1)</f>
        <v>1</v>
      </c>
      <c r="F22" s="43">
        <v>80</v>
      </c>
      <c r="G22" s="43">
        <f t="shared" si="0"/>
        <v>80</v>
      </c>
    </row>
    <row r="23" spans="3:7" x14ac:dyDescent="0.25">
      <c r="C23" s="43" t="s">
        <v>293</v>
      </c>
      <c r="D23" s="43" t="s">
        <v>177</v>
      </c>
      <c r="E23" s="45">
        <f>IF(INDEX('Données_d''entrée'!$D$57:$F$70,MATCH(Bases_annexes!$D23,'Données_d''entrée'!$D$57:$D$70,0),2)="✔",1-INDEX('Données_d''entrée'!$D$57:$F$70,MATCH(Bases_annexes!$D23,'Données_d''entrée'!$D$57:$D$70,0),3),1)</f>
        <v>1</v>
      </c>
      <c r="F23" s="43">
        <v>250</v>
      </c>
      <c r="G23" s="43">
        <f t="shared" si="0"/>
        <v>250</v>
      </c>
    </row>
    <row r="24" spans="3:7" x14ac:dyDescent="0.25">
      <c r="C24" s="43" t="s">
        <v>294</v>
      </c>
      <c r="D24" s="43" t="s">
        <v>178</v>
      </c>
      <c r="E24" s="45">
        <f>IF(INDEX('Données_d''entrée'!$D$57:$F$70,MATCH(Bases_annexes!$D24,'Données_d''entrée'!$D$57:$D$70,0),2)="✔",1-INDEX('Données_d''entrée'!$D$57:$F$70,MATCH(Bases_annexes!$D24,'Données_d''entrée'!$D$57:$D$70,0),3),1)</f>
        <v>1</v>
      </c>
      <c r="F24" s="43">
        <v>140</v>
      </c>
      <c r="G24" s="43">
        <f t="shared" si="0"/>
        <v>140</v>
      </c>
    </row>
    <row r="25" spans="3:7" x14ac:dyDescent="0.25">
      <c r="C25" s="43" t="s">
        <v>294</v>
      </c>
      <c r="D25" s="43" t="s">
        <v>179</v>
      </c>
      <c r="E25" s="45">
        <f>IF(INDEX('Données_d''entrée'!$D$57:$F$70,MATCH(Bases_annexes!$D25,'Données_d''entrée'!$D$57:$D$70,0),2)="✔",1-INDEX('Données_d''entrée'!$D$57:$F$70,MATCH(Bases_annexes!$D25,'Données_d''entrée'!$D$57:$D$70,0),3),1)</f>
        <v>1</v>
      </c>
      <c r="F25" s="43">
        <v>220</v>
      </c>
      <c r="G25" s="43">
        <f t="shared" si="0"/>
        <v>220</v>
      </c>
    </row>
    <row r="26" spans="3:7" x14ac:dyDescent="0.25">
      <c r="C26" s="43" t="s">
        <v>294</v>
      </c>
      <c r="D26" s="43" t="s">
        <v>180</v>
      </c>
      <c r="E26" s="45">
        <f>IF(INDEX('Données_d''entrée'!$D$57:$F$70,MATCH(Bases_annexes!$D26,'Données_d''entrée'!$D$57:$D$70,0),2)="✔",1-INDEX('Données_d''entrée'!$D$57:$F$70,MATCH(Bases_annexes!$D26,'Données_d''entrée'!$D$57:$D$70,0),3),1)</f>
        <v>1</v>
      </c>
      <c r="F26" s="43">
        <v>140</v>
      </c>
      <c r="G26" s="43">
        <f t="shared" si="0"/>
        <v>140</v>
      </c>
    </row>
    <row r="27" spans="3:7" x14ac:dyDescent="0.25">
      <c r="C27" s="43" t="s">
        <v>295</v>
      </c>
      <c r="D27" s="43" t="s">
        <v>181</v>
      </c>
      <c r="E27" s="45">
        <f>IF(INDEX('Données_d''entrée'!$D$57:$F$70,MATCH(Bases_annexes!$D27,'Données_d''entrée'!$D$57:$D$70,0),2)="✔",1-INDEX('Données_d''entrée'!$D$57:$F$70,MATCH(Bases_annexes!$D27,'Données_d''entrée'!$D$57:$D$70,0),3),1)</f>
        <v>1</v>
      </c>
      <c r="F27" s="43">
        <v>350</v>
      </c>
      <c r="G27" s="43">
        <f t="shared" si="0"/>
        <v>350</v>
      </c>
    </row>
    <row r="28" spans="3:7" x14ac:dyDescent="0.25">
      <c r="C28" s="43" t="s">
        <v>295</v>
      </c>
      <c r="D28" s="43" t="s">
        <v>182</v>
      </c>
      <c r="E28" s="45">
        <f>IF(INDEX('Données_d''entrée'!$D$57:$F$70,MATCH(Bases_annexes!$D28,'Données_d''entrée'!$D$57:$D$70,0),2)="✔",1-INDEX('Données_d''entrée'!$D$57:$F$70,MATCH(Bases_annexes!$D28,'Données_d''entrée'!$D$57:$D$70,0),3),1)</f>
        <v>1</v>
      </c>
      <c r="F28" s="43">
        <v>305</v>
      </c>
      <c r="G28" s="43">
        <f t="shared" si="0"/>
        <v>305</v>
      </c>
    </row>
    <row r="29" spans="3:7" x14ac:dyDescent="0.25">
      <c r="C29" s="43" t="s">
        <v>296</v>
      </c>
      <c r="D29" s="43" t="s">
        <v>183</v>
      </c>
      <c r="E29" s="45">
        <f>IF(INDEX('Données_d''entrée'!$D$57:$F$70,MATCH(Bases_annexes!$D29,'Données_d''entrée'!$D$57:$D$70,0),2)="✔",1-INDEX('Données_d''entrée'!$D$57:$F$70,MATCH(Bases_annexes!$D29,'Données_d''entrée'!$D$57:$D$70,0),3),1)</f>
        <v>1</v>
      </c>
      <c r="F29" s="43">
        <v>260</v>
      </c>
      <c r="G29" s="43">
        <f t="shared" si="0"/>
        <v>260</v>
      </c>
    </row>
    <row r="30" spans="3:7" x14ac:dyDescent="0.25">
      <c r="C30" s="43" t="s">
        <v>296</v>
      </c>
      <c r="D30" s="43" t="s">
        <v>184</v>
      </c>
      <c r="E30" s="45">
        <f>IF(INDEX('Données_d''entrée'!$D$57:$F$70,MATCH(Bases_annexes!$D30,'Données_d''entrée'!$D$57:$D$70,0),2)="✔",1-INDEX('Données_d''entrée'!$D$57:$F$70,MATCH(Bases_annexes!$D30,'Données_d''entrée'!$D$57:$D$70,0),3),1)</f>
        <v>1</v>
      </c>
      <c r="F30" s="43">
        <v>205.00000000000003</v>
      </c>
      <c r="G30" s="43">
        <f t="shared" si="0"/>
        <v>205.00000000000003</v>
      </c>
    </row>
    <row r="31" spans="3:7" x14ac:dyDescent="0.25">
      <c r="C31" s="43" t="s">
        <v>296</v>
      </c>
      <c r="D31" s="43" t="s">
        <v>185</v>
      </c>
      <c r="E31" s="45">
        <f>IF(INDEX('Données_d''entrée'!$D$57:$F$70,MATCH(Bases_annexes!$D31,'Données_d''entrée'!$D$57:$D$70,0),2)="✔",1-INDEX('Données_d''entrée'!$D$57:$F$70,MATCH(Bases_annexes!$D31,'Données_d''entrée'!$D$57:$D$70,0),3),1)</f>
        <v>1</v>
      </c>
      <c r="F31" s="43">
        <v>140</v>
      </c>
      <c r="G31" s="43">
        <f t="shared" si="0"/>
        <v>140</v>
      </c>
    </row>
    <row r="32" spans="3:7" x14ac:dyDescent="0.25">
      <c r="C32" s="43" t="s">
        <v>296</v>
      </c>
      <c r="D32" s="43" t="s">
        <v>186</v>
      </c>
      <c r="E32" s="45">
        <f>IF(INDEX('Données_d''entrée'!$D$57:$F$70,MATCH(Bases_annexes!$D32,'Données_d''entrée'!$D$57:$D$70,0),2)="✔",1-INDEX('Données_d''entrée'!$D$57:$F$70,MATCH(Bases_annexes!$D32,'Données_d''entrée'!$D$57:$D$70,0),3),1)</f>
        <v>1</v>
      </c>
      <c r="F32" s="43">
        <v>220</v>
      </c>
      <c r="G32" s="43">
        <f t="shared" si="0"/>
        <v>220</v>
      </c>
    </row>
    <row r="34" spans="3:17" x14ac:dyDescent="0.25">
      <c r="C34" s="43" t="s">
        <v>297</v>
      </c>
      <c r="D34" s="43" t="s">
        <v>181</v>
      </c>
      <c r="E34" s="43" t="s">
        <v>182</v>
      </c>
      <c r="F34" s="43" t="s">
        <v>183</v>
      </c>
      <c r="G34" s="43" t="s">
        <v>177</v>
      </c>
      <c r="H34" s="43" t="s">
        <v>179</v>
      </c>
      <c r="I34" s="43" t="s">
        <v>186</v>
      </c>
      <c r="J34" s="43" t="s">
        <v>184</v>
      </c>
      <c r="K34" s="43" t="s">
        <v>173</v>
      </c>
      <c r="L34" s="43" t="s">
        <v>174</v>
      </c>
      <c r="M34" s="43" t="s">
        <v>175</v>
      </c>
      <c r="N34" s="43" t="s">
        <v>180</v>
      </c>
      <c r="O34" s="43" t="s">
        <v>178</v>
      </c>
      <c r="P34" s="43" t="s">
        <v>185</v>
      </c>
      <c r="Q34" s="43" t="s">
        <v>176</v>
      </c>
    </row>
    <row r="35" spans="3:17" x14ac:dyDescent="0.25">
      <c r="C35" s="43" t="s">
        <v>181</v>
      </c>
      <c r="D35" s="43"/>
      <c r="E35" s="43" t="s">
        <v>298</v>
      </c>
      <c r="F35" s="43" t="s">
        <v>298</v>
      </c>
      <c r="G35" s="43" t="s">
        <v>299</v>
      </c>
      <c r="H35" s="43" t="s">
        <v>300</v>
      </c>
      <c r="I35" s="43" t="s">
        <v>299</v>
      </c>
      <c r="J35" s="43" t="s">
        <v>299</v>
      </c>
      <c r="K35" s="43" t="s">
        <v>299</v>
      </c>
      <c r="L35" s="43" t="s">
        <v>299</v>
      </c>
      <c r="M35" s="43" t="s">
        <v>299</v>
      </c>
      <c r="N35" s="43" t="s">
        <v>300</v>
      </c>
      <c r="O35" s="43" t="s">
        <v>300</v>
      </c>
      <c r="P35" s="43" t="s">
        <v>298</v>
      </c>
      <c r="Q35" s="43" t="s">
        <v>299</v>
      </c>
    </row>
    <row r="36" spans="3:17" x14ac:dyDescent="0.25">
      <c r="C36" s="43" t="s">
        <v>182</v>
      </c>
      <c r="D36" s="43" t="s">
        <v>298</v>
      </c>
      <c r="E36" s="43"/>
      <c r="F36" s="43" t="s">
        <v>298</v>
      </c>
      <c r="G36" s="43" t="s">
        <v>299</v>
      </c>
      <c r="H36" s="43" t="s">
        <v>300</v>
      </c>
      <c r="I36" s="43" t="s">
        <v>299</v>
      </c>
      <c r="J36" s="43" t="s">
        <v>299</v>
      </c>
      <c r="K36" s="43" t="s">
        <v>299</v>
      </c>
      <c r="L36" s="43" t="s">
        <v>299</v>
      </c>
      <c r="M36" s="43" t="s">
        <v>299</v>
      </c>
      <c r="N36" s="43" t="s">
        <v>300</v>
      </c>
      <c r="O36" s="43" t="s">
        <v>300</v>
      </c>
      <c r="P36" s="43" t="s">
        <v>298</v>
      </c>
      <c r="Q36" s="43" t="s">
        <v>299</v>
      </c>
    </row>
    <row r="37" spans="3:17" x14ac:dyDescent="0.25">
      <c r="C37" s="43" t="s">
        <v>183</v>
      </c>
      <c r="D37" s="43" t="s">
        <v>298</v>
      </c>
      <c r="E37" s="43" t="s">
        <v>298</v>
      </c>
      <c r="F37" s="43"/>
      <c r="G37" s="43" t="s">
        <v>299</v>
      </c>
      <c r="H37" s="43" t="s">
        <v>299</v>
      </c>
      <c r="I37" s="43" t="s">
        <v>299</v>
      </c>
      <c r="J37" s="43" t="s">
        <v>299</v>
      </c>
      <c r="K37" s="43" t="s">
        <v>299</v>
      </c>
      <c r="L37" s="43" t="s">
        <v>299</v>
      </c>
      <c r="M37" s="43" t="s">
        <v>299</v>
      </c>
      <c r="N37" s="43" t="s">
        <v>300</v>
      </c>
      <c r="O37" s="43" t="s">
        <v>300</v>
      </c>
      <c r="P37" s="43" t="s">
        <v>299</v>
      </c>
      <c r="Q37" s="43" t="s">
        <v>299</v>
      </c>
    </row>
    <row r="38" spans="3:17" x14ac:dyDescent="0.25">
      <c r="C38" s="43" t="s">
        <v>177</v>
      </c>
      <c r="D38" s="43" t="s">
        <v>299</v>
      </c>
      <c r="E38" s="43" t="s">
        <v>299</v>
      </c>
      <c r="F38" s="43" t="s">
        <v>299</v>
      </c>
      <c r="G38" s="43"/>
      <c r="H38" s="43" t="s">
        <v>299</v>
      </c>
      <c r="I38" s="43" t="s">
        <v>299</v>
      </c>
      <c r="J38" s="43" t="s">
        <v>299</v>
      </c>
      <c r="K38" s="43" t="s">
        <v>299</v>
      </c>
      <c r="L38" s="43" t="s">
        <v>299</v>
      </c>
      <c r="M38" s="43" t="s">
        <v>299</v>
      </c>
      <c r="N38" s="43" t="s">
        <v>299</v>
      </c>
      <c r="O38" s="43" t="s">
        <v>299</v>
      </c>
      <c r="P38" s="43" t="s">
        <v>299</v>
      </c>
      <c r="Q38" s="43" t="s">
        <v>299</v>
      </c>
    </row>
    <row r="39" spans="3:17" x14ac:dyDescent="0.25">
      <c r="C39" s="43" t="s">
        <v>179</v>
      </c>
      <c r="D39" s="43" t="s">
        <v>300</v>
      </c>
      <c r="E39" s="43" t="s">
        <v>300</v>
      </c>
      <c r="F39" s="43" t="s">
        <v>299</v>
      </c>
      <c r="G39" s="43" t="s">
        <v>299</v>
      </c>
      <c r="H39" s="43"/>
      <c r="I39" s="43" t="s">
        <v>299</v>
      </c>
      <c r="J39" s="43" t="s">
        <v>299</v>
      </c>
      <c r="K39" s="43" t="s">
        <v>299</v>
      </c>
      <c r="L39" s="43" t="s">
        <v>299</v>
      </c>
      <c r="M39" s="43" t="s">
        <v>299</v>
      </c>
      <c r="N39" s="43" t="s">
        <v>299</v>
      </c>
      <c r="O39" s="43" t="s">
        <v>299</v>
      </c>
      <c r="P39" s="43" t="s">
        <v>299</v>
      </c>
      <c r="Q39" s="43" t="s">
        <v>299</v>
      </c>
    </row>
    <row r="40" spans="3:17" x14ac:dyDescent="0.25">
      <c r="C40" s="43" t="s">
        <v>186</v>
      </c>
      <c r="D40" s="43" t="s">
        <v>299</v>
      </c>
      <c r="E40" s="43" t="s">
        <v>299</v>
      </c>
      <c r="F40" s="43" t="s">
        <v>299</v>
      </c>
      <c r="G40" s="43" t="s">
        <v>299</v>
      </c>
      <c r="H40" s="43" t="s">
        <v>299</v>
      </c>
      <c r="I40" s="43"/>
      <c r="J40" s="43" t="s">
        <v>299</v>
      </c>
      <c r="K40" s="43" t="s">
        <v>299</v>
      </c>
      <c r="L40" s="43" t="s">
        <v>299</v>
      </c>
      <c r="M40" s="43" t="s">
        <v>299</v>
      </c>
      <c r="N40" s="43" t="s">
        <v>300</v>
      </c>
      <c r="O40" s="43" t="s">
        <v>300</v>
      </c>
      <c r="P40" s="43" t="s">
        <v>299</v>
      </c>
      <c r="Q40" s="43" t="s">
        <v>299</v>
      </c>
    </row>
    <row r="41" spans="3:17" x14ac:dyDescent="0.25">
      <c r="C41" s="43" t="s">
        <v>184</v>
      </c>
      <c r="D41" s="43" t="s">
        <v>299</v>
      </c>
      <c r="E41" s="43" t="s">
        <v>299</v>
      </c>
      <c r="F41" s="43" t="s">
        <v>299</v>
      </c>
      <c r="G41" s="43" t="s">
        <v>299</v>
      </c>
      <c r="H41" s="43" t="s">
        <v>299</v>
      </c>
      <c r="I41" s="43" t="s">
        <v>299</v>
      </c>
      <c r="J41" s="43"/>
      <c r="K41" s="43" t="s">
        <v>299</v>
      </c>
      <c r="L41" s="43" t="s">
        <v>299</v>
      </c>
      <c r="M41" s="43" t="s">
        <v>299</v>
      </c>
      <c r="N41" s="43" t="s">
        <v>300</v>
      </c>
      <c r="O41" s="43" t="s">
        <v>300</v>
      </c>
      <c r="P41" s="43" t="s">
        <v>299</v>
      </c>
      <c r="Q41" s="43" t="s">
        <v>299</v>
      </c>
    </row>
    <row r="42" spans="3:17" x14ac:dyDescent="0.25">
      <c r="C42" s="43" t="s">
        <v>173</v>
      </c>
      <c r="D42" s="43" t="s">
        <v>299</v>
      </c>
      <c r="E42" s="43" t="s">
        <v>299</v>
      </c>
      <c r="F42" s="43" t="s">
        <v>299</v>
      </c>
      <c r="G42" s="43" t="s">
        <v>299</v>
      </c>
      <c r="H42" s="43" t="s">
        <v>299</v>
      </c>
      <c r="I42" s="43" t="s">
        <v>299</v>
      </c>
      <c r="J42" s="43" t="s">
        <v>299</v>
      </c>
      <c r="K42" s="43"/>
      <c r="L42" s="43" t="s">
        <v>299</v>
      </c>
      <c r="M42" s="43" t="s">
        <v>299</v>
      </c>
      <c r="N42" s="43" t="s">
        <v>300</v>
      </c>
      <c r="O42" s="43" t="s">
        <v>300</v>
      </c>
      <c r="P42" s="43" t="s">
        <v>299</v>
      </c>
      <c r="Q42" s="43" t="s">
        <v>299</v>
      </c>
    </row>
    <row r="43" spans="3:17" x14ac:dyDescent="0.25">
      <c r="C43" s="43" t="s">
        <v>174</v>
      </c>
      <c r="D43" s="43" t="s">
        <v>299</v>
      </c>
      <c r="E43" s="43" t="s">
        <v>299</v>
      </c>
      <c r="F43" s="43" t="s">
        <v>299</v>
      </c>
      <c r="G43" s="43" t="s">
        <v>299</v>
      </c>
      <c r="H43" s="43" t="s">
        <v>299</v>
      </c>
      <c r="I43" s="43" t="s">
        <v>299</v>
      </c>
      <c r="J43" s="43" t="s">
        <v>299</v>
      </c>
      <c r="K43" s="43" t="s">
        <v>299</v>
      </c>
      <c r="L43" s="43"/>
      <c r="M43" s="43" t="s">
        <v>299</v>
      </c>
      <c r="N43" s="43" t="s">
        <v>300</v>
      </c>
      <c r="O43" s="43" t="s">
        <v>300</v>
      </c>
      <c r="P43" s="43" t="s">
        <v>299</v>
      </c>
      <c r="Q43" s="43" t="s">
        <v>299</v>
      </c>
    </row>
    <row r="44" spans="3:17" x14ac:dyDescent="0.25">
      <c r="C44" s="43" t="s">
        <v>175</v>
      </c>
      <c r="D44" s="43" t="s">
        <v>299</v>
      </c>
      <c r="E44" s="43" t="s">
        <v>299</v>
      </c>
      <c r="F44" s="43" t="s">
        <v>299</v>
      </c>
      <c r="G44" s="43" t="s">
        <v>299</v>
      </c>
      <c r="H44" s="43" t="s">
        <v>299</v>
      </c>
      <c r="I44" s="43" t="s">
        <v>299</v>
      </c>
      <c r="J44" s="43" t="s">
        <v>299</v>
      </c>
      <c r="K44" s="43" t="s">
        <v>299</v>
      </c>
      <c r="L44" s="43" t="s">
        <v>299</v>
      </c>
      <c r="M44" s="43"/>
      <c r="N44" s="43" t="s">
        <v>299</v>
      </c>
      <c r="O44" s="43" t="s">
        <v>299</v>
      </c>
      <c r="P44" s="43" t="s">
        <v>299</v>
      </c>
      <c r="Q44" s="43" t="s">
        <v>299</v>
      </c>
    </row>
    <row r="45" spans="3:17" x14ac:dyDescent="0.25">
      <c r="C45" s="43" t="s">
        <v>180</v>
      </c>
      <c r="D45" s="43" t="s">
        <v>300</v>
      </c>
      <c r="E45" s="43" t="s">
        <v>300</v>
      </c>
      <c r="F45" s="43" t="s">
        <v>300</v>
      </c>
      <c r="G45" s="43" t="s">
        <v>299</v>
      </c>
      <c r="H45" s="43" t="s">
        <v>299</v>
      </c>
      <c r="I45" s="43" t="s">
        <v>300</v>
      </c>
      <c r="J45" s="43" t="s">
        <v>300</v>
      </c>
      <c r="K45" s="43" t="s">
        <v>300</v>
      </c>
      <c r="L45" s="43" t="s">
        <v>300</v>
      </c>
      <c r="M45" s="43" t="s">
        <v>299</v>
      </c>
      <c r="N45" s="43"/>
      <c r="O45" s="43" t="s">
        <v>299</v>
      </c>
      <c r="P45" s="43" t="s">
        <v>300</v>
      </c>
      <c r="Q45" s="43" t="s">
        <v>299</v>
      </c>
    </row>
    <row r="46" spans="3:17" x14ac:dyDescent="0.25">
      <c r="C46" s="43" t="s">
        <v>178</v>
      </c>
      <c r="D46" s="43" t="s">
        <v>300</v>
      </c>
      <c r="E46" s="43" t="s">
        <v>300</v>
      </c>
      <c r="F46" s="43" t="s">
        <v>300</v>
      </c>
      <c r="G46" s="43" t="s">
        <v>299</v>
      </c>
      <c r="H46" s="43" t="s">
        <v>299</v>
      </c>
      <c r="I46" s="43" t="s">
        <v>300</v>
      </c>
      <c r="J46" s="43" t="s">
        <v>300</v>
      </c>
      <c r="K46" s="43" t="s">
        <v>300</v>
      </c>
      <c r="L46" s="43" t="s">
        <v>300</v>
      </c>
      <c r="M46" s="43" t="s">
        <v>299</v>
      </c>
      <c r="N46" s="43" t="s">
        <v>299</v>
      </c>
      <c r="O46" s="43"/>
      <c r="P46" s="43" t="s">
        <v>300</v>
      </c>
      <c r="Q46" s="43" t="s">
        <v>299</v>
      </c>
    </row>
    <row r="47" spans="3:17" x14ac:dyDescent="0.25">
      <c r="C47" s="43" t="s">
        <v>185</v>
      </c>
      <c r="D47" s="43" t="s">
        <v>298</v>
      </c>
      <c r="E47" s="43" t="s">
        <v>298</v>
      </c>
      <c r="F47" s="43" t="s">
        <v>299</v>
      </c>
      <c r="G47" s="43" t="s">
        <v>299</v>
      </c>
      <c r="H47" s="43" t="s">
        <v>299</v>
      </c>
      <c r="I47" s="43" t="s">
        <v>299</v>
      </c>
      <c r="J47" s="43" t="s">
        <v>299</v>
      </c>
      <c r="K47" s="43" t="s">
        <v>299</v>
      </c>
      <c r="L47" s="43" t="s">
        <v>299</v>
      </c>
      <c r="M47" s="43" t="s">
        <v>299</v>
      </c>
      <c r="N47" s="43" t="s">
        <v>300</v>
      </c>
      <c r="O47" s="43" t="s">
        <v>300</v>
      </c>
      <c r="P47" s="43"/>
      <c r="Q47" s="43" t="s">
        <v>299</v>
      </c>
    </row>
    <row r="48" spans="3:17" x14ac:dyDescent="0.25">
      <c r="C48" s="43" t="s">
        <v>176</v>
      </c>
      <c r="D48" s="43" t="s">
        <v>299</v>
      </c>
      <c r="E48" s="43" t="s">
        <v>299</v>
      </c>
      <c r="F48" s="43" t="s">
        <v>299</v>
      </c>
      <c r="G48" s="43" t="s">
        <v>299</v>
      </c>
      <c r="H48" s="43" t="s">
        <v>299</v>
      </c>
      <c r="I48" s="43" t="s">
        <v>299</v>
      </c>
      <c r="J48" s="43" t="s">
        <v>299</v>
      </c>
      <c r="K48" s="43" t="s">
        <v>299</v>
      </c>
      <c r="L48" s="43" t="s">
        <v>299</v>
      </c>
      <c r="M48" s="43" t="s">
        <v>299</v>
      </c>
      <c r="N48" s="43" t="s">
        <v>299</v>
      </c>
      <c r="O48" s="43" t="s">
        <v>299</v>
      </c>
      <c r="P48" s="43" t="s">
        <v>299</v>
      </c>
      <c r="Q48" s="43"/>
    </row>
    <row r="50" spans="3:17" x14ac:dyDescent="0.25">
      <c r="C50" s="43" t="s">
        <v>188</v>
      </c>
      <c r="D50" s="43" t="s">
        <v>181</v>
      </c>
      <c r="E50" s="43" t="s">
        <v>182</v>
      </c>
      <c r="F50" s="43" t="s">
        <v>183</v>
      </c>
      <c r="G50" s="43" t="s">
        <v>177</v>
      </c>
      <c r="H50" s="43" t="s">
        <v>179</v>
      </c>
      <c r="I50" s="43" t="s">
        <v>186</v>
      </c>
      <c r="J50" s="43" t="s">
        <v>184</v>
      </c>
      <c r="K50" s="43" t="s">
        <v>173</v>
      </c>
      <c r="L50" s="43" t="s">
        <v>174</v>
      </c>
      <c r="M50" s="43" t="s">
        <v>175</v>
      </c>
      <c r="N50" s="43" t="s">
        <v>180</v>
      </c>
      <c r="O50" s="43" t="s">
        <v>178</v>
      </c>
      <c r="P50" s="43" t="s">
        <v>185</v>
      </c>
      <c r="Q50" s="43" t="s">
        <v>176</v>
      </c>
    </row>
    <row r="51" spans="3:17" x14ac:dyDescent="0.25">
      <c r="C51" s="43" t="s">
        <v>181</v>
      </c>
      <c r="D51" s="43" t="e" cm="1">
        <f t="array" aca="1" ref="D51" ca="1">_xlfn.IFS(AND(D$50&lt;&gt;$C51,D35="n"),SUMPRODUCT(($D$19:$D$32=D$50)*($G$19:$G$32)+($D$19:$D$32=$C51)*($G$19:$G$32)),AND(D$50&lt;&gt;$C51,D35&lt;&gt;"n"),0,D$50=$C51,SUMPRODUCT(($D$19:$D$32=D$50)*($G$19:$G$32)))</f>
        <v>#NAME?</v>
      </c>
      <c r="E51" s="43" t="e" cm="1">
        <f t="array" aca="1" ref="E51" ca="1">_xlfn.IFS(AND(E$50&lt;&gt;$C51,E35="n"),SUMPRODUCT(($D$19:$D$32=E$50)*($G$19:$G$32)+($D$19:$D$32=$C51)*($G$19:$G$32)),AND(E$50&lt;&gt;$C51,E35&lt;&gt;"n"),0,E$50=$C51,SUMPRODUCT(($D$19:$D$32=E$50)*($G$19:$G$32)))</f>
        <v>#NAME?</v>
      </c>
      <c r="F51" s="43" t="e" cm="1">
        <f t="array" aca="1" ref="F51" ca="1">_xlfn.IFS(AND(F$50&lt;&gt;$C51,F35="n"),SUMPRODUCT(($D$19:$D$32=F$50)*($G$19:$G$32)+($D$19:$D$32=$C51)*($G$19:$G$32)),AND(F$50&lt;&gt;$C51,F35&lt;&gt;"n"),0,F$50=$C51,SUMPRODUCT(($D$19:$D$32=F$50)*($G$19:$G$32)))</f>
        <v>#NAME?</v>
      </c>
      <c r="G51" s="43" t="e" cm="1">
        <f t="array" aca="1" ref="G51" ca="1">_xlfn.IFS(AND(G$50&lt;&gt;$C51,G35="n"),SUMPRODUCT(($D$19:$D$32=G$50)*($G$19:$G$32)+($D$19:$D$32=$C51)*($G$19:$G$32)),AND(G$50&lt;&gt;$C51,G35&lt;&gt;"n"),0,G$50=$C51,SUMPRODUCT(($D$19:$D$32=G$50)*($G$19:$G$32)))</f>
        <v>#NAME?</v>
      </c>
      <c r="H51" s="43" t="e" cm="1">
        <f t="array" aca="1" ref="H51" ca="1">_xlfn.IFS(AND(H$50&lt;&gt;$C51,H35="n"),SUMPRODUCT(($D$19:$D$32=H$50)*($G$19:$G$32)+($D$19:$D$32=$C51)*($G$19:$G$32)),AND(H$50&lt;&gt;$C51,H35&lt;&gt;"n"),0,H$50=$C51,SUMPRODUCT(($D$19:$D$32=H$50)*($G$19:$G$32)))</f>
        <v>#NAME?</v>
      </c>
      <c r="I51" s="43" t="e" cm="1">
        <f t="array" aca="1" ref="I51" ca="1">_xlfn.IFS(AND(I$50&lt;&gt;$C51,I35="n"),SUMPRODUCT(($D$19:$D$32=I$50)*($G$19:$G$32)+($D$19:$D$32=$C51)*($G$19:$G$32)),AND(I$50&lt;&gt;$C51,I35&lt;&gt;"n"),0,I$50=$C51,SUMPRODUCT(($D$19:$D$32=I$50)*($G$19:$G$32)))</f>
        <v>#NAME?</v>
      </c>
      <c r="J51" s="43" t="e" cm="1">
        <f t="array" aca="1" ref="J51" ca="1">_xlfn.IFS(AND(J$50&lt;&gt;$C51,J35="n"),SUMPRODUCT(($D$19:$D$32=J$50)*($G$19:$G$32)+($D$19:$D$32=$C51)*($G$19:$G$32)),AND(J$50&lt;&gt;$C51,J35&lt;&gt;"n"),0,J$50=$C51,SUMPRODUCT(($D$19:$D$32=J$50)*($G$19:$G$32)))</f>
        <v>#NAME?</v>
      </c>
      <c r="K51" s="43" t="e" cm="1">
        <f t="array" aca="1" ref="K51" ca="1">_xlfn.IFS(AND(K$50&lt;&gt;$C51,K35="n"),SUMPRODUCT(($D$19:$D$32=K$50)*($G$19:$G$32)+($D$19:$D$32=$C51)*($G$19:$G$32)),AND(K$50&lt;&gt;$C51,K35&lt;&gt;"n"),0,K$50=$C51,SUMPRODUCT(($D$19:$D$32=K$50)*($G$19:$G$32)))</f>
        <v>#NAME?</v>
      </c>
      <c r="L51" s="43" t="e" cm="1">
        <f t="array" aca="1" ref="L51" ca="1">_xlfn.IFS(AND(L$50&lt;&gt;$C51,L35="n"),SUMPRODUCT(($D$19:$D$32=L$50)*($G$19:$G$32)+($D$19:$D$32=$C51)*($G$19:$G$32)),AND(L$50&lt;&gt;$C51,L35&lt;&gt;"n"),0,L$50=$C51,SUMPRODUCT(($D$19:$D$32=L$50)*($G$19:$G$32)))</f>
        <v>#NAME?</v>
      </c>
      <c r="M51" s="43" t="e" cm="1">
        <f t="array" aca="1" ref="M51" ca="1">_xlfn.IFS(AND(M$50&lt;&gt;$C51,M35="n"),SUMPRODUCT(($D$19:$D$32=M$50)*($G$19:$G$32)+($D$19:$D$32=$C51)*($G$19:$G$32)),AND(M$50&lt;&gt;$C51,M35&lt;&gt;"n"),0,M$50=$C51,SUMPRODUCT(($D$19:$D$32=M$50)*($G$19:$G$32)))</f>
        <v>#NAME?</v>
      </c>
      <c r="N51" s="43" t="e" cm="1">
        <f t="array" aca="1" ref="N51" ca="1">_xlfn.IFS(AND(N$50&lt;&gt;$C51,N35="n"),SUMPRODUCT(($D$19:$D$32=N$50)*($G$19:$G$32)+($D$19:$D$32=$C51)*($G$19:$G$32)),AND(N$50&lt;&gt;$C51,N35&lt;&gt;"n"),0,N$50=$C51,SUMPRODUCT(($D$19:$D$32=N$50)*($G$19:$G$32)))</f>
        <v>#NAME?</v>
      </c>
      <c r="O51" s="43" t="e" cm="1">
        <f t="array" aca="1" ref="O51" ca="1">_xlfn.IFS(AND(O$50&lt;&gt;$C51,O35="n"),SUMPRODUCT(($D$19:$D$32=O$50)*($G$19:$G$32)+($D$19:$D$32=$C51)*($G$19:$G$32)),AND(O$50&lt;&gt;$C51,O35&lt;&gt;"n"),0,O$50=$C51,SUMPRODUCT(($D$19:$D$32=O$50)*($G$19:$G$32)))</f>
        <v>#NAME?</v>
      </c>
      <c r="P51" s="43" t="e" cm="1">
        <f t="array" aca="1" ref="P51" ca="1">_xlfn.IFS(AND(P$50&lt;&gt;$C51,P35="n"),SUMPRODUCT(($D$19:$D$32=P$50)*($G$19:$G$32)+($D$19:$D$32=$C51)*($G$19:$G$32)),AND(P$50&lt;&gt;$C51,P35&lt;&gt;"n"),0,P$50=$C51,SUMPRODUCT(($D$19:$D$32=P$50)*($G$19:$G$32)))</f>
        <v>#NAME?</v>
      </c>
      <c r="Q51" s="43" t="e" cm="1">
        <f t="array" aca="1" ref="Q51" ca="1">_xlfn.IFS(AND(Q$50&lt;&gt;$C51,Q35="n"),SUMPRODUCT(($D$19:$D$32=Q$50)*($G$19:$G$32)+($D$19:$D$32=$C51)*($G$19:$G$32)),AND(Q$50&lt;&gt;$C51,Q35&lt;&gt;"n"),0,Q$50=$C51,SUMPRODUCT(($D$19:$D$32=Q$50)*($G$19:$G$32)))</f>
        <v>#NAME?</v>
      </c>
    </row>
    <row r="52" spans="3:17" x14ac:dyDescent="0.25">
      <c r="C52" s="43" t="s">
        <v>182</v>
      </c>
      <c r="D52" s="43" t="e" cm="1">
        <f t="array" aca="1" ref="D52" ca="1">_xlfn.IFS(AND(D$50&lt;&gt;$C52,D36="n"),SUMPRODUCT(($D$19:$D$32=D$50)*($G$19:$G$32)+($D$19:$D$32=$C52)*($G$19:$G$32)),AND(D$50&lt;&gt;$C52,D36&lt;&gt;"n"),0,D$50=$C52,SUMPRODUCT(($D$19:$D$32=D$50)*($G$19:$G$32)))</f>
        <v>#NAME?</v>
      </c>
      <c r="E52" s="43" t="e" cm="1">
        <f t="array" aca="1" ref="E52" ca="1">_xlfn.IFS(AND(E$50&lt;&gt;$C52,E36="n"),SUMPRODUCT(($D$19:$D$32=E$50)*($G$19:$G$32)+($D$19:$D$32=$C52)*($G$19:$G$32)),AND(E$50&lt;&gt;$C52,E36&lt;&gt;"n"),0,E$50=$C52,SUMPRODUCT(($D$19:$D$32=E$50)*($G$19:$G$32)))</f>
        <v>#NAME?</v>
      </c>
      <c r="F52" s="43" t="e" cm="1">
        <f t="array" aca="1" ref="F52" ca="1">_xlfn.IFS(AND(F$50&lt;&gt;$C52,F36="n"),SUMPRODUCT(($D$19:$D$32=F$50)*($G$19:$G$32)+($D$19:$D$32=$C52)*($G$19:$G$32)),AND(F$50&lt;&gt;$C52,F36&lt;&gt;"n"),0,F$50=$C52,SUMPRODUCT(($D$19:$D$32=F$50)*($G$19:$G$32)))</f>
        <v>#NAME?</v>
      </c>
      <c r="G52" s="43" t="e" cm="1">
        <f t="array" aca="1" ref="G52" ca="1">_xlfn.IFS(AND(G$50&lt;&gt;$C52,G36="n"),SUMPRODUCT(($D$19:$D$32=G$50)*($G$19:$G$32)+($D$19:$D$32=$C52)*($G$19:$G$32)),AND(G$50&lt;&gt;$C52,G36&lt;&gt;"n"),0,G$50=$C52,SUMPRODUCT(($D$19:$D$32=G$50)*($G$19:$G$32)))</f>
        <v>#NAME?</v>
      </c>
      <c r="H52" s="43" t="e" cm="1">
        <f t="array" aca="1" ref="H52" ca="1">_xlfn.IFS(AND(H$50&lt;&gt;$C52,H36="n"),SUMPRODUCT(($D$19:$D$32=H$50)*($G$19:$G$32)+($D$19:$D$32=$C52)*($G$19:$G$32)),AND(H$50&lt;&gt;$C52,H36&lt;&gt;"n"),0,H$50=$C52,SUMPRODUCT(($D$19:$D$32=H$50)*($G$19:$G$32)))</f>
        <v>#NAME?</v>
      </c>
      <c r="I52" s="43" t="e" cm="1">
        <f t="array" aca="1" ref="I52" ca="1">_xlfn.IFS(AND(I$50&lt;&gt;$C52,I36="n"),SUMPRODUCT(($D$19:$D$32=I$50)*($G$19:$G$32)+($D$19:$D$32=$C52)*($G$19:$G$32)),AND(I$50&lt;&gt;$C52,I36&lt;&gt;"n"),0,I$50=$C52,SUMPRODUCT(($D$19:$D$32=I$50)*($G$19:$G$32)))</f>
        <v>#NAME?</v>
      </c>
      <c r="J52" s="43" t="e" cm="1">
        <f t="array" aca="1" ref="J52" ca="1">_xlfn.IFS(AND(J$50&lt;&gt;$C52,J36="n"),SUMPRODUCT(($D$19:$D$32=J$50)*($G$19:$G$32)+($D$19:$D$32=$C52)*($G$19:$G$32)),AND(J$50&lt;&gt;$C52,J36&lt;&gt;"n"),0,J$50=$C52,SUMPRODUCT(($D$19:$D$32=J$50)*($G$19:$G$32)))</f>
        <v>#NAME?</v>
      </c>
      <c r="K52" s="43" t="e" cm="1">
        <f t="array" aca="1" ref="K52" ca="1">_xlfn.IFS(AND(K$50&lt;&gt;$C52,K36="n"),SUMPRODUCT(($D$19:$D$32=K$50)*($G$19:$G$32)+($D$19:$D$32=$C52)*($G$19:$G$32)),AND(K$50&lt;&gt;$C52,K36&lt;&gt;"n"),0,K$50=$C52,SUMPRODUCT(($D$19:$D$32=K$50)*($G$19:$G$32)))</f>
        <v>#NAME?</v>
      </c>
      <c r="L52" s="43" t="e" cm="1">
        <f t="array" aca="1" ref="L52" ca="1">_xlfn.IFS(AND(L$50&lt;&gt;$C52,L36="n"),SUMPRODUCT(($D$19:$D$32=L$50)*($G$19:$G$32)+($D$19:$D$32=$C52)*($G$19:$G$32)),AND(L$50&lt;&gt;$C52,L36&lt;&gt;"n"),0,L$50=$C52,SUMPRODUCT(($D$19:$D$32=L$50)*($G$19:$G$32)))</f>
        <v>#NAME?</v>
      </c>
      <c r="M52" s="43" t="e" cm="1">
        <f t="array" aca="1" ref="M52" ca="1">_xlfn.IFS(AND(M$50&lt;&gt;$C52,M36="n"),SUMPRODUCT(($D$19:$D$32=M$50)*($G$19:$G$32)+($D$19:$D$32=$C52)*($G$19:$G$32)),AND(M$50&lt;&gt;$C52,M36&lt;&gt;"n"),0,M$50=$C52,SUMPRODUCT(($D$19:$D$32=M$50)*($G$19:$G$32)))</f>
        <v>#NAME?</v>
      </c>
      <c r="N52" s="43" t="e" cm="1">
        <f t="array" aca="1" ref="N52" ca="1">_xlfn.IFS(AND(N$50&lt;&gt;$C52,N36="n"),SUMPRODUCT(($D$19:$D$32=N$50)*($G$19:$G$32)+($D$19:$D$32=$C52)*($G$19:$G$32)),AND(N$50&lt;&gt;$C52,N36&lt;&gt;"n"),0,N$50=$C52,SUMPRODUCT(($D$19:$D$32=N$50)*($G$19:$G$32)))</f>
        <v>#NAME?</v>
      </c>
      <c r="O52" s="43" t="e" cm="1">
        <f t="array" aca="1" ref="O52" ca="1">_xlfn.IFS(AND(O$50&lt;&gt;$C52,O36="n"),SUMPRODUCT(($D$19:$D$32=O$50)*($G$19:$G$32)+($D$19:$D$32=$C52)*($G$19:$G$32)),AND(O$50&lt;&gt;$C52,O36&lt;&gt;"n"),0,O$50=$C52,SUMPRODUCT(($D$19:$D$32=O$50)*($G$19:$G$32)))</f>
        <v>#NAME?</v>
      </c>
      <c r="P52" s="43" t="e" cm="1">
        <f t="array" aca="1" ref="P52" ca="1">_xlfn.IFS(AND(P$50&lt;&gt;$C52,P36="n"),SUMPRODUCT(($D$19:$D$32=P$50)*($G$19:$G$32)+($D$19:$D$32=$C52)*($G$19:$G$32)),AND(P$50&lt;&gt;$C52,P36&lt;&gt;"n"),0,P$50=$C52,SUMPRODUCT(($D$19:$D$32=P$50)*($G$19:$G$32)))</f>
        <v>#NAME?</v>
      </c>
      <c r="Q52" s="43" t="e" cm="1">
        <f t="array" aca="1" ref="Q52" ca="1">_xlfn.IFS(AND(Q$50&lt;&gt;$C52,Q36="n"),SUMPRODUCT(($D$19:$D$32=Q$50)*($G$19:$G$32)+($D$19:$D$32=$C52)*($G$19:$G$32)),AND(Q$50&lt;&gt;$C52,Q36&lt;&gt;"n"),0,Q$50=$C52,SUMPRODUCT(($D$19:$D$32=Q$50)*($G$19:$G$32)))</f>
        <v>#NAME?</v>
      </c>
    </row>
    <row r="53" spans="3:17" x14ac:dyDescent="0.25">
      <c r="C53" s="43" t="s">
        <v>183</v>
      </c>
      <c r="D53" s="43" t="e" cm="1">
        <f t="array" aca="1" ref="D53" ca="1">_xlfn.IFS(AND(D$50&lt;&gt;$C53,D37="n"),SUMPRODUCT(($D$19:$D$32=D$50)*($G$19:$G$32)+($D$19:$D$32=$C53)*($G$19:$G$32)),AND(D$50&lt;&gt;$C53,D37&lt;&gt;"n"),0,D$50=$C53,SUMPRODUCT(($D$19:$D$32=D$50)*($G$19:$G$32)))</f>
        <v>#NAME?</v>
      </c>
      <c r="E53" s="43" t="e" cm="1">
        <f t="array" aca="1" ref="E53" ca="1">_xlfn.IFS(AND(E$50&lt;&gt;$C53,E37="n"),SUMPRODUCT(($D$19:$D$32=E$50)*($G$19:$G$32)+($D$19:$D$32=$C53)*($G$19:$G$32)),AND(E$50&lt;&gt;$C53,E37&lt;&gt;"n"),0,E$50=$C53,SUMPRODUCT(($D$19:$D$32=E$50)*($G$19:$G$32)))</f>
        <v>#NAME?</v>
      </c>
      <c r="F53" s="43" t="e" cm="1">
        <f t="array" aca="1" ref="F53" ca="1">_xlfn.IFS(AND(F$50&lt;&gt;$C53,F37="n"),SUMPRODUCT(($D$19:$D$32=F$50)*($G$19:$G$32)+($D$19:$D$32=$C53)*($G$19:$G$32)),AND(F$50&lt;&gt;$C53,F37&lt;&gt;"n"),0,F$50=$C53,SUMPRODUCT(($D$19:$D$32=F$50)*($G$19:$G$32)))</f>
        <v>#NAME?</v>
      </c>
      <c r="G53" s="43" t="e" cm="1">
        <f t="array" aca="1" ref="G53" ca="1">_xlfn.IFS(AND(G$50&lt;&gt;$C53,G37="n"),SUMPRODUCT(($D$19:$D$32=G$50)*($G$19:$G$32)+($D$19:$D$32=$C53)*($G$19:$G$32)),AND(G$50&lt;&gt;$C53,G37&lt;&gt;"n"),0,G$50=$C53,SUMPRODUCT(($D$19:$D$32=G$50)*($G$19:$G$32)))</f>
        <v>#NAME?</v>
      </c>
      <c r="H53" s="43" t="e" cm="1">
        <f t="array" aca="1" ref="H53" ca="1">_xlfn.IFS(AND(H$50&lt;&gt;$C53,H37="n"),SUMPRODUCT(($D$19:$D$32=H$50)*($G$19:$G$32)+($D$19:$D$32=$C53)*($G$19:$G$32)),AND(H$50&lt;&gt;$C53,H37&lt;&gt;"n"),0,H$50=$C53,SUMPRODUCT(($D$19:$D$32=H$50)*($G$19:$G$32)))</f>
        <v>#NAME?</v>
      </c>
      <c r="I53" s="43" t="e" cm="1">
        <f t="array" aca="1" ref="I53" ca="1">_xlfn.IFS(AND(I$50&lt;&gt;$C53,I37="n"),SUMPRODUCT(($D$19:$D$32=I$50)*($G$19:$G$32)+($D$19:$D$32=$C53)*($G$19:$G$32)),AND(I$50&lt;&gt;$C53,I37&lt;&gt;"n"),0,I$50=$C53,SUMPRODUCT(($D$19:$D$32=I$50)*($G$19:$G$32)))</f>
        <v>#NAME?</v>
      </c>
      <c r="J53" s="43" t="e" cm="1">
        <f t="array" aca="1" ref="J53" ca="1">_xlfn.IFS(AND(J$50&lt;&gt;$C53,J37="n"),SUMPRODUCT(($D$19:$D$32=J$50)*($G$19:$G$32)+($D$19:$D$32=$C53)*($G$19:$G$32)),AND(J$50&lt;&gt;$C53,J37&lt;&gt;"n"),0,J$50=$C53,SUMPRODUCT(($D$19:$D$32=J$50)*($G$19:$G$32)))</f>
        <v>#NAME?</v>
      </c>
      <c r="K53" s="43" t="e" cm="1">
        <f t="array" aca="1" ref="K53" ca="1">_xlfn.IFS(AND(K$50&lt;&gt;$C53,K37="n"),SUMPRODUCT(($D$19:$D$32=K$50)*($G$19:$G$32)+($D$19:$D$32=$C53)*($G$19:$G$32)),AND(K$50&lt;&gt;$C53,K37&lt;&gt;"n"),0,K$50=$C53,SUMPRODUCT(($D$19:$D$32=K$50)*($G$19:$G$32)))</f>
        <v>#NAME?</v>
      </c>
      <c r="L53" s="43" t="e" cm="1">
        <f t="array" aca="1" ref="L53" ca="1">_xlfn.IFS(AND(L$50&lt;&gt;$C53,L37="n"),SUMPRODUCT(($D$19:$D$32=L$50)*($G$19:$G$32)+($D$19:$D$32=$C53)*($G$19:$G$32)),AND(L$50&lt;&gt;$C53,L37&lt;&gt;"n"),0,L$50=$C53,SUMPRODUCT(($D$19:$D$32=L$50)*($G$19:$G$32)))</f>
        <v>#NAME?</v>
      </c>
      <c r="M53" s="43" t="e" cm="1">
        <f t="array" aca="1" ref="M53" ca="1">_xlfn.IFS(AND(M$50&lt;&gt;$C53,M37="n"),SUMPRODUCT(($D$19:$D$32=M$50)*($G$19:$G$32)+($D$19:$D$32=$C53)*($G$19:$G$32)),AND(M$50&lt;&gt;$C53,M37&lt;&gt;"n"),0,M$50=$C53,SUMPRODUCT(($D$19:$D$32=M$50)*($G$19:$G$32)))</f>
        <v>#NAME?</v>
      </c>
      <c r="N53" s="43" t="e" cm="1">
        <f t="array" aca="1" ref="N53" ca="1">_xlfn.IFS(AND(N$50&lt;&gt;$C53,N37="n"),SUMPRODUCT(($D$19:$D$32=N$50)*($G$19:$G$32)+($D$19:$D$32=$C53)*($G$19:$G$32)),AND(N$50&lt;&gt;$C53,N37&lt;&gt;"n"),0,N$50=$C53,SUMPRODUCT(($D$19:$D$32=N$50)*($G$19:$G$32)))</f>
        <v>#NAME?</v>
      </c>
      <c r="O53" s="43" t="e" cm="1">
        <f t="array" aca="1" ref="O53" ca="1">_xlfn.IFS(AND(O$50&lt;&gt;$C53,O37="n"),SUMPRODUCT(($D$19:$D$32=O$50)*($G$19:$G$32)+($D$19:$D$32=$C53)*($G$19:$G$32)),AND(O$50&lt;&gt;$C53,O37&lt;&gt;"n"),0,O$50=$C53,SUMPRODUCT(($D$19:$D$32=O$50)*($G$19:$G$32)))</f>
        <v>#NAME?</v>
      </c>
      <c r="P53" s="43" t="e" cm="1">
        <f t="array" aca="1" ref="P53" ca="1">_xlfn.IFS(AND(P$50&lt;&gt;$C53,P37="n"),SUMPRODUCT(($D$19:$D$32=P$50)*($G$19:$G$32)+($D$19:$D$32=$C53)*($G$19:$G$32)),AND(P$50&lt;&gt;$C53,P37&lt;&gt;"n"),0,P$50=$C53,SUMPRODUCT(($D$19:$D$32=P$50)*($G$19:$G$32)))</f>
        <v>#NAME?</v>
      </c>
      <c r="Q53" s="43" t="e" cm="1">
        <f t="array" aca="1" ref="Q53" ca="1">_xlfn.IFS(AND(Q$50&lt;&gt;$C53,Q37="n"),SUMPRODUCT(($D$19:$D$32=Q$50)*($G$19:$G$32)+($D$19:$D$32=$C53)*($G$19:$G$32)),AND(Q$50&lt;&gt;$C53,Q37&lt;&gt;"n"),0,Q$50=$C53,SUMPRODUCT(($D$19:$D$32=Q$50)*($G$19:$G$32)))</f>
        <v>#NAME?</v>
      </c>
    </row>
    <row r="54" spans="3:17" x14ac:dyDescent="0.25">
      <c r="C54" s="43" t="s">
        <v>177</v>
      </c>
      <c r="D54" s="43" t="e" cm="1">
        <f t="array" aca="1" ref="D54" ca="1">_xlfn.IFS(AND(D$50&lt;&gt;$C54,D38="n"),SUMPRODUCT(($D$19:$D$32=D$50)*($G$19:$G$32)+($D$19:$D$32=$C54)*($G$19:$G$32)),AND(D$50&lt;&gt;$C54,D38&lt;&gt;"n"),0,D$50=$C54,SUMPRODUCT(($D$19:$D$32=D$50)*($G$19:$G$32)))</f>
        <v>#NAME?</v>
      </c>
      <c r="E54" s="43" t="e" cm="1">
        <f t="array" aca="1" ref="E54" ca="1">_xlfn.IFS(AND(E$50&lt;&gt;$C54,E38="n"),SUMPRODUCT(($D$19:$D$32=E$50)*($G$19:$G$32)+($D$19:$D$32=$C54)*($G$19:$G$32)),AND(E$50&lt;&gt;$C54,E38&lt;&gt;"n"),0,E$50=$C54,SUMPRODUCT(($D$19:$D$32=E$50)*($G$19:$G$32)))</f>
        <v>#NAME?</v>
      </c>
      <c r="F54" s="43" t="e" cm="1">
        <f t="array" aca="1" ref="F54" ca="1">_xlfn.IFS(AND(F$50&lt;&gt;$C54,F38="n"),SUMPRODUCT(($D$19:$D$32=F$50)*($G$19:$G$32)+($D$19:$D$32=$C54)*($G$19:$G$32)),AND(F$50&lt;&gt;$C54,F38&lt;&gt;"n"),0,F$50=$C54,SUMPRODUCT(($D$19:$D$32=F$50)*($G$19:$G$32)))</f>
        <v>#NAME?</v>
      </c>
      <c r="G54" s="43" t="e" cm="1">
        <f t="array" aca="1" ref="G54" ca="1">_xlfn.IFS(AND(G$50&lt;&gt;$C54,G38="n"),SUMPRODUCT(($D$19:$D$32=G$50)*($G$19:$G$32)+($D$19:$D$32=$C54)*($G$19:$G$32)),AND(G$50&lt;&gt;$C54,G38&lt;&gt;"n"),0,G$50=$C54,SUMPRODUCT(($D$19:$D$32=G$50)*($G$19:$G$32)))</f>
        <v>#NAME?</v>
      </c>
      <c r="H54" s="43" t="e" cm="1">
        <f t="array" aca="1" ref="H54" ca="1">_xlfn.IFS(AND(H$50&lt;&gt;$C54,H38="n"),SUMPRODUCT(($D$19:$D$32=H$50)*($G$19:$G$32)+($D$19:$D$32=$C54)*($G$19:$G$32)),AND(H$50&lt;&gt;$C54,H38&lt;&gt;"n"),0,H$50=$C54,SUMPRODUCT(($D$19:$D$32=H$50)*($G$19:$G$32)))</f>
        <v>#NAME?</v>
      </c>
      <c r="I54" s="43" t="e" cm="1">
        <f t="array" aca="1" ref="I54" ca="1">_xlfn.IFS(AND(I$50&lt;&gt;$C54,I38="n"),SUMPRODUCT(($D$19:$D$32=I$50)*($G$19:$G$32)+($D$19:$D$32=$C54)*($G$19:$G$32)),AND(I$50&lt;&gt;$C54,I38&lt;&gt;"n"),0,I$50=$C54,SUMPRODUCT(($D$19:$D$32=I$50)*($G$19:$G$32)))</f>
        <v>#NAME?</v>
      </c>
      <c r="J54" s="43" t="e" cm="1">
        <f t="array" aca="1" ref="J54" ca="1">_xlfn.IFS(AND(J$50&lt;&gt;$C54,J38="n"),SUMPRODUCT(($D$19:$D$32=J$50)*($G$19:$G$32)+($D$19:$D$32=$C54)*($G$19:$G$32)),AND(J$50&lt;&gt;$C54,J38&lt;&gt;"n"),0,J$50=$C54,SUMPRODUCT(($D$19:$D$32=J$50)*($G$19:$G$32)))</f>
        <v>#NAME?</v>
      </c>
      <c r="K54" s="43" t="e" cm="1">
        <f t="array" aca="1" ref="K54" ca="1">_xlfn.IFS(AND(K$50&lt;&gt;$C54,K38="n"),SUMPRODUCT(($D$19:$D$32=K$50)*($G$19:$G$32)+($D$19:$D$32=$C54)*($G$19:$G$32)),AND(K$50&lt;&gt;$C54,K38&lt;&gt;"n"),0,K$50=$C54,SUMPRODUCT(($D$19:$D$32=K$50)*($G$19:$G$32)))</f>
        <v>#NAME?</v>
      </c>
      <c r="L54" s="43" t="e" cm="1">
        <f t="array" aca="1" ref="L54" ca="1">_xlfn.IFS(AND(L$50&lt;&gt;$C54,L38="n"),SUMPRODUCT(($D$19:$D$32=L$50)*($G$19:$G$32)+($D$19:$D$32=$C54)*($G$19:$G$32)),AND(L$50&lt;&gt;$C54,L38&lt;&gt;"n"),0,L$50=$C54,SUMPRODUCT(($D$19:$D$32=L$50)*($G$19:$G$32)))</f>
        <v>#NAME?</v>
      </c>
      <c r="M54" s="43" t="e" cm="1">
        <f t="array" aca="1" ref="M54" ca="1">_xlfn.IFS(AND(M$50&lt;&gt;$C54,M38="n"),SUMPRODUCT(($D$19:$D$32=M$50)*($G$19:$G$32)+($D$19:$D$32=$C54)*($G$19:$G$32)),AND(M$50&lt;&gt;$C54,M38&lt;&gt;"n"),0,M$50=$C54,SUMPRODUCT(($D$19:$D$32=M$50)*($G$19:$G$32)))</f>
        <v>#NAME?</v>
      </c>
      <c r="N54" s="43" t="e" cm="1">
        <f t="array" aca="1" ref="N54" ca="1">_xlfn.IFS(AND(N$50&lt;&gt;$C54,N38="n"),SUMPRODUCT(($D$19:$D$32=N$50)*($G$19:$G$32)+($D$19:$D$32=$C54)*($G$19:$G$32)),AND(N$50&lt;&gt;$C54,N38&lt;&gt;"n"),0,N$50=$C54,SUMPRODUCT(($D$19:$D$32=N$50)*($G$19:$G$32)))</f>
        <v>#NAME?</v>
      </c>
      <c r="O54" s="43" t="e" cm="1">
        <f t="array" aca="1" ref="O54" ca="1">_xlfn.IFS(AND(O$50&lt;&gt;$C54,O38="n"),SUMPRODUCT(($D$19:$D$32=O$50)*($G$19:$G$32)+($D$19:$D$32=$C54)*($G$19:$G$32)),AND(O$50&lt;&gt;$C54,O38&lt;&gt;"n"),0,O$50=$C54,SUMPRODUCT(($D$19:$D$32=O$50)*($G$19:$G$32)))</f>
        <v>#NAME?</v>
      </c>
      <c r="P54" s="43" t="e" cm="1">
        <f t="array" aca="1" ref="P54" ca="1">_xlfn.IFS(AND(P$50&lt;&gt;$C54,P38="n"),SUMPRODUCT(($D$19:$D$32=P$50)*($G$19:$G$32)+($D$19:$D$32=$C54)*($G$19:$G$32)),AND(P$50&lt;&gt;$C54,P38&lt;&gt;"n"),0,P$50=$C54,SUMPRODUCT(($D$19:$D$32=P$50)*($G$19:$G$32)))</f>
        <v>#NAME?</v>
      </c>
      <c r="Q54" s="43" t="e" cm="1">
        <f t="array" aca="1" ref="Q54" ca="1">_xlfn.IFS(AND(Q$50&lt;&gt;$C54,Q38="n"),SUMPRODUCT(($D$19:$D$32=Q$50)*($G$19:$G$32)+($D$19:$D$32=$C54)*($G$19:$G$32)),AND(Q$50&lt;&gt;$C54,Q38&lt;&gt;"n"),0,Q$50=$C54,SUMPRODUCT(($D$19:$D$32=Q$50)*($G$19:$G$32)))</f>
        <v>#NAME?</v>
      </c>
    </row>
    <row r="55" spans="3:17" x14ac:dyDescent="0.25">
      <c r="C55" s="43" t="s">
        <v>179</v>
      </c>
      <c r="D55" s="43" t="e" cm="1">
        <f t="array" aca="1" ref="D55" ca="1">_xlfn.IFS(AND(D$50&lt;&gt;$C55,D39="n"),SUMPRODUCT(($D$19:$D$32=D$50)*($G$19:$G$32)+($D$19:$D$32=$C55)*($G$19:$G$32)),AND(D$50&lt;&gt;$C55,D39&lt;&gt;"n"),0,D$50=$C55,SUMPRODUCT(($D$19:$D$32=D$50)*($G$19:$G$32)))</f>
        <v>#NAME?</v>
      </c>
      <c r="E55" s="43" t="e" cm="1">
        <f t="array" aca="1" ref="E55" ca="1">_xlfn.IFS(AND(E$50&lt;&gt;$C55,E39="n"),SUMPRODUCT(($D$19:$D$32=E$50)*($G$19:$G$32)+($D$19:$D$32=$C55)*($G$19:$G$32)),AND(E$50&lt;&gt;$C55,E39&lt;&gt;"n"),0,E$50=$C55,SUMPRODUCT(($D$19:$D$32=E$50)*($G$19:$G$32)))</f>
        <v>#NAME?</v>
      </c>
      <c r="F55" s="43" t="e" cm="1">
        <f t="array" aca="1" ref="F55" ca="1">_xlfn.IFS(AND(F$50&lt;&gt;$C55,F39="n"),SUMPRODUCT(($D$19:$D$32=F$50)*($G$19:$G$32)+($D$19:$D$32=$C55)*($G$19:$G$32)),AND(F$50&lt;&gt;$C55,F39&lt;&gt;"n"),0,F$50=$C55,SUMPRODUCT(($D$19:$D$32=F$50)*($G$19:$G$32)))</f>
        <v>#NAME?</v>
      </c>
      <c r="G55" s="43" t="e" cm="1">
        <f t="array" aca="1" ref="G55" ca="1">_xlfn.IFS(AND(G$50&lt;&gt;$C55,G39="n"),SUMPRODUCT(($D$19:$D$32=G$50)*($G$19:$G$32)+($D$19:$D$32=$C55)*($G$19:$G$32)),AND(G$50&lt;&gt;$C55,G39&lt;&gt;"n"),0,G$50=$C55,SUMPRODUCT(($D$19:$D$32=G$50)*($G$19:$G$32)))</f>
        <v>#NAME?</v>
      </c>
      <c r="H55" s="43" t="e" cm="1">
        <f t="array" aca="1" ref="H55" ca="1">_xlfn.IFS(AND(H$50&lt;&gt;$C55,H39="n"),SUMPRODUCT(($D$19:$D$32=H$50)*($G$19:$G$32)+($D$19:$D$32=$C55)*($G$19:$G$32)),AND(H$50&lt;&gt;$C55,H39&lt;&gt;"n"),0,H$50=$C55,SUMPRODUCT(($D$19:$D$32=H$50)*($G$19:$G$32)))</f>
        <v>#NAME?</v>
      </c>
      <c r="I55" s="43" t="e" cm="1">
        <f t="array" aca="1" ref="I55" ca="1">_xlfn.IFS(AND(I$50&lt;&gt;$C55,I39="n"),SUMPRODUCT(($D$19:$D$32=I$50)*($G$19:$G$32)+($D$19:$D$32=$C55)*($G$19:$G$32)),AND(I$50&lt;&gt;$C55,I39&lt;&gt;"n"),0,I$50=$C55,SUMPRODUCT(($D$19:$D$32=I$50)*($G$19:$G$32)))</f>
        <v>#NAME?</v>
      </c>
      <c r="J55" s="43" t="e" cm="1">
        <f t="array" aca="1" ref="J55" ca="1">_xlfn.IFS(AND(J$50&lt;&gt;$C55,J39="n"),SUMPRODUCT(($D$19:$D$32=J$50)*($G$19:$G$32)+($D$19:$D$32=$C55)*($G$19:$G$32)),AND(J$50&lt;&gt;$C55,J39&lt;&gt;"n"),0,J$50=$C55,SUMPRODUCT(($D$19:$D$32=J$50)*($G$19:$G$32)))</f>
        <v>#NAME?</v>
      </c>
      <c r="K55" s="43" t="e" cm="1">
        <f t="array" aca="1" ref="K55" ca="1">_xlfn.IFS(AND(K$50&lt;&gt;$C55,K39="n"),SUMPRODUCT(($D$19:$D$32=K$50)*($G$19:$G$32)+($D$19:$D$32=$C55)*($G$19:$G$32)),AND(K$50&lt;&gt;$C55,K39&lt;&gt;"n"),0,K$50=$C55,SUMPRODUCT(($D$19:$D$32=K$50)*($G$19:$G$32)))</f>
        <v>#NAME?</v>
      </c>
      <c r="L55" s="43" t="e" cm="1">
        <f t="array" aca="1" ref="L55" ca="1">_xlfn.IFS(AND(L$50&lt;&gt;$C55,L39="n"),SUMPRODUCT(($D$19:$D$32=L$50)*($G$19:$G$32)+($D$19:$D$32=$C55)*($G$19:$G$32)),AND(L$50&lt;&gt;$C55,L39&lt;&gt;"n"),0,L$50=$C55,SUMPRODUCT(($D$19:$D$32=L$50)*($G$19:$G$32)))</f>
        <v>#NAME?</v>
      </c>
      <c r="M55" s="43" t="e" cm="1">
        <f t="array" aca="1" ref="M55" ca="1">_xlfn.IFS(AND(M$50&lt;&gt;$C55,M39="n"),SUMPRODUCT(($D$19:$D$32=M$50)*($G$19:$G$32)+($D$19:$D$32=$C55)*($G$19:$G$32)),AND(M$50&lt;&gt;$C55,M39&lt;&gt;"n"),0,M$50=$C55,SUMPRODUCT(($D$19:$D$32=M$50)*($G$19:$G$32)))</f>
        <v>#NAME?</v>
      </c>
      <c r="N55" s="43" t="e" cm="1">
        <f t="array" aca="1" ref="N55" ca="1">_xlfn.IFS(AND(N$50&lt;&gt;$C55,N39="n"),SUMPRODUCT(($D$19:$D$32=N$50)*($G$19:$G$32)+($D$19:$D$32=$C55)*($G$19:$G$32)),AND(N$50&lt;&gt;$C55,N39&lt;&gt;"n"),0,N$50=$C55,SUMPRODUCT(($D$19:$D$32=N$50)*($G$19:$G$32)))</f>
        <v>#NAME?</v>
      </c>
      <c r="O55" s="43" t="e" cm="1">
        <f t="array" aca="1" ref="O55" ca="1">_xlfn.IFS(AND(O$50&lt;&gt;$C55,O39="n"),SUMPRODUCT(($D$19:$D$32=O$50)*($G$19:$G$32)+($D$19:$D$32=$C55)*($G$19:$G$32)),AND(O$50&lt;&gt;$C55,O39&lt;&gt;"n"),0,O$50=$C55,SUMPRODUCT(($D$19:$D$32=O$50)*($G$19:$G$32)))</f>
        <v>#NAME?</v>
      </c>
      <c r="P55" s="43" t="e" cm="1">
        <f t="array" aca="1" ref="P55" ca="1">_xlfn.IFS(AND(P$50&lt;&gt;$C55,P39="n"),SUMPRODUCT(($D$19:$D$32=P$50)*($G$19:$G$32)+($D$19:$D$32=$C55)*($G$19:$G$32)),AND(P$50&lt;&gt;$C55,P39&lt;&gt;"n"),0,P$50=$C55,SUMPRODUCT(($D$19:$D$32=P$50)*($G$19:$G$32)))</f>
        <v>#NAME?</v>
      </c>
      <c r="Q55" s="43" t="e" cm="1">
        <f t="array" aca="1" ref="Q55" ca="1">_xlfn.IFS(AND(Q$50&lt;&gt;$C55,Q39="n"),SUMPRODUCT(($D$19:$D$32=Q$50)*($G$19:$G$32)+($D$19:$D$32=$C55)*($G$19:$G$32)),AND(Q$50&lt;&gt;$C55,Q39&lt;&gt;"n"),0,Q$50=$C55,SUMPRODUCT(($D$19:$D$32=Q$50)*($G$19:$G$32)))</f>
        <v>#NAME?</v>
      </c>
    </row>
    <row r="56" spans="3:17" x14ac:dyDescent="0.25">
      <c r="C56" s="43" t="s">
        <v>186</v>
      </c>
      <c r="D56" s="43" t="e" cm="1">
        <f t="array" aca="1" ref="D56" ca="1">_xlfn.IFS(AND(D$50&lt;&gt;$C56,D40="n"),SUMPRODUCT(($D$19:$D$32=D$50)*($G$19:$G$32)+($D$19:$D$32=$C56)*($G$19:$G$32)),AND(D$50&lt;&gt;$C56,D40&lt;&gt;"n"),0,D$50=$C56,SUMPRODUCT(($D$19:$D$32=D$50)*($G$19:$G$32)))</f>
        <v>#NAME?</v>
      </c>
      <c r="E56" s="43" t="e" cm="1">
        <f t="array" aca="1" ref="E56" ca="1">_xlfn.IFS(AND(E$50&lt;&gt;$C56,E40="n"),SUMPRODUCT(($D$19:$D$32=E$50)*($G$19:$G$32)+($D$19:$D$32=$C56)*($G$19:$G$32)),AND(E$50&lt;&gt;$C56,E40&lt;&gt;"n"),0,E$50=$C56,SUMPRODUCT(($D$19:$D$32=E$50)*($G$19:$G$32)))</f>
        <v>#NAME?</v>
      </c>
      <c r="F56" s="43" t="e" cm="1">
        <f t="array" aca="1" ref="F56" ca="1">_xlfn.IFS(AND(F$50&lt;&gt;$C56,F40="n"),SUMPRODUCT(($D$19:$D$32=F$50)*($G$19:$G$32)+($D$19:$D$32=$C56)*($G$19:$G$32)),AND(F$50&lt;&gt;$C56,F40&lt;&gt;"n"),0,F$50=$C56,SUMPRODUCT(($D$19:$D$32=F$50)*($G$19:$G$32)))</f>
        <v>#NAME?</v>
      </c>
      <c r="G56" s="43" t="e" cm="1">
        <f t="array" aca="1" ref="G56" ca="1">_xlfn.IFS(AND(G$50&lt;&gt;$C56,G40="n"),SUMPRODUCT(($D$19:$D$32=G$50)*($G$19:$G$32)+($D$19:$D$32=$C56)*($G$19:$G$32)),AND(G$50&lt;&gt;$C56,G40&lt;&gt;"n"),0,G$50=$C56,SUMPRODUCT(($D$19:$D$32=G$50)*($G$19:$G$32)))</f>
        <v>#NAME?</v>
      </c>
      <c r="H56" s="43" t="e" cm="1">
        <f t="array" aca="1" ref="H56" ca="1">_xlfn.IFS(AND(H$50&lt;&gt;$C56,H40="n"),SUMPRODUCT(($D$19:$D$32=H$50)*($G$19:$G$32)+($D$19:$D$32=$C56)*($G$19:$G$32)),AND(H$50&lt;&gt;$C56,H40&lt;&gt;"n"),0,H$50=$C56,SUMPRODUCT(($D$19:$D$32=H$50)*($G$19:$G$32)))</f>
        <v>#NAME?</v>
      </c>
      <c r="I56" s="43" t="e" cm="1">
        <f t="array" aca="1" ref="I56" ca="1">_xlfn.IFS(AND(I$50&lt;&gt;$C56,I40="n"),SUMPRODUCT(($D$19:$D$32=I$50)*($G$19:$G$32)+($D$19:$D$32=$C56)*($G$19:$G$32)),AND(I$50&lt;&gt;$C56,I40&lt;&gt;"n"),0,I$50=$C56,SUMPRODUCT(($D$19:$D$32=I$50)*($G$19:$G$32)))</f>
        <v>#NAME?</v>
      </c>
      <c r="J56" s="43" t="e" cm="1">
        <f t="array" aca="1" ref="J56" ca="1">_xlfn.IFS(AND(J$50&lt;&gt;$C56,J40="n"),SUMPRODUCT(($D$19:$D$32=J$50)*($G$19:$G$32)+($D$19:$D$32=$C56)*($G$19:$G$32)),AND(J$50&lt;&gt;$C56,J40&lt;&gt;"n"),0,J$50=$C56,SUMPRODUCT(($D$19:$D$32=J$50)*($G$19:$G$32)))</f>
        <v>#NAME?</v>
      </c>
      <c r="K56" s="43" t="e" cm="1">
        <f t="array" aca="1" ref="K56" ca="1">_xlfn.IFS(AND(K$50&lt;&gt;$C56,K40="n"),SUMPRODUCT(($D$19:$D$32=K$50)*($G$19:$G$32)+($D$19:$D$32=$C56)*($G$19:$G$32)),AND(K$50&lt;&gt;$C56,K40&lt;&gt;"n"),0,K$50=$C56,SUMPRODUCT(($D$19:$D$32=K$50)*($G$19:$G$32)))</f>
        <v>#NAME?</v>
      </c>
      <c r="L56" s="43" t="e" cm="1">
        <f t="array" aca="1" ref="L56" ca="1">_xlfn.IFS(AND(L$50&lt;&gt;$C56,L40="n"),SUMPRODUCT(($D$19:$D$32=L$50)*($G$19:$G$32)+($D$19:$D$32=$C56)*($G$19:$G$32)),AND(L$50&lt;&gt;$C56,L40&lt;&gt;"n"),0,L$50=$C56,SUMPRODUCT(($D$19:$D$32=L$50)*($G$19:$G$32)))</f>
        <v>#NAME?</v>
      </c>
      <c r="M56" s="43" t="e" cm="1">
        <f t="array" aca="1" ref="M56" ca="1">_xlfn.IFS(AND(M$50&lt;&gt;$C56,M40="n"),SUMPRODUCT(($D$19:$D$32=M$50)*($G$19:$G$32)+($D$19:$D$32=$C56)*($G$19:$G$32)),AND(M$50&lt;&gt;$C56,M40&lt;&gt;"n"),0,M$50=$C56,SUMPRODUCT(($D$19:$D$32=M$50)*($G$19:$G$32)))</f>
        <v>#NAME?</v>
      </c>
      <c r="N56" s="43" t="e" cm="1">
        <f t="array" aca="1" ref="N56" ca="1">_xlfn.IFS(AND(N$50&lt;&gt;$C56,N40="n"),SUMPRODUCT(($D$19:$D$32=N$50)*($G$19:$G$32)+($D$19:$D$32=$C56)*($G$19:$G$32)),AND(N$50&lt;&gt;$C56,N40&lt;&gt;"n"),0,N$50=$C56,SUMPRODUCT(($D$19:$D$32=N$50)*($G$19:$G$32)))</f>
        <v>#NAME?</v>
      </c>
      <c r="O56" s="43" t="e" cm="1">
        <f t="array" aca="1" ref="O56" ca="1">_xlfn.IFS(AND(O$50&lt;&gt;$C56,O40="n"),SUMPRODUCT(($D$19:$D$32=O$50)*($G$19:$G$32)+($D$19:$D$32=$C56)*($G$19:$G$32)),AND(O$50&lt;&gt;$C56,O40&lt;&gt;"n"),0,O$50=$C56,SUMPRODUCT(($D$19:$D$32=O$50)*($G$19:$G$32)))</f>
        <v>#NAME?</v>
      </c>
      <c r="P56" s="43" t="e" cm="1">
        <f t="array" aca="1" ref="P56" ca="1">_xlfn.IFS(AND(P$50&lt;&gt;$C56,P40="n"),SUMPRODUCT(($D$19:$D$32=P$50)*($G$19:$G$32)+($D$19:$D$32=$C56)*($G$19:$G$32)),AND(P$50&lt;&gt;$C56,P40&lt;&gt;"n"),0,P$50=$C56,SUMPRODUCT(($D$19:$D$32=P$50)*($G$19:$G$32)))</f>
        <v>#NAME?</v>
      </c>
      <c r="Q56" s="43" t="e" cm="1">
        <f t="array" aca="1" ref="Q56" ca="1">_xlfn.IFS(AND(Q$50&lt;&gt;$C56,Q40="n"),SUMPRODUCT(($D$19:$D$32=Q$50)*($G$19:$G$32)+($D$19:$D$32=$C56)*($G$19:$G$32)),AND(Q$50&lt;&gt;$C56,Q40&lt;&gt;"n"),0,Q$50=$C56,SUMPRODUCT(($D$19:$D$32=Q$50)*($G$19:$G$32)))</f>
        <v>#NAME?</v>
      </c>
    </row>
    <row r="57" spans="3:17" x14ac:dyDescent="0.25">
      <c r="C57" s="43" t="s">
        <v>184</v>
      </c>
      <c r="D57" s="43" t="e" cm="1">
        <f t="array" aca="1" ref="D57" ca="1">_xlfn.IFS(AND(D$50&lt;&gt;$C57,D41="n"),SUMPRODUCT(($D$19:$D$32=D$50)*($G$19:$G$32)+($D$19:$D$32=$C57)*($G$19:$G$32)),AND(D$50&lt;&gt;$C57,D41&lt;&gt;"n"),0,D$50=$C57,SUMPRODUCT(($D$19:$D$32=D$50)*($G$19:$G$32)))</f>
        <v>#NAME?</v>
      </c>
      <c r="E57" s="43" t="e" cm="1">
        <f t="array" aca="1" ref="E57" ca="1">_xlfn.IFS(AND(E$50&lt;&gt;$C57,E41="n"),SUMPRODUCT(($D$19:$D$32=E$50)*($G$19:$G$32)+($D$19:$D$32=$C57)*($G$19:$G$32)),AND(E$50&lt;&gt;$C57,E41&lt;&gt;"n"),0,E$50=$C57,SUMPRODUCT(($D$19:$D$32=E$50)*($G$19:$G$32)))</f>
        <v>#NAME?</v>
      </c>
      <c r="F57" s="43" t="e" cm="1">
        <f t="array" aca="1" ref="F57" ca="1">_xlfn.IFS(AND(F$50&lt;&gt;$C57,F41="n"),SUMPRODUCT(($D$19:$D$32=F$50)*($G$19:$G$32)+($D$19:$D$32=$C57)*($G$19:$G$32)),AND(F$50&lt;&gt;$C57,F41&lt;&gt;"n"),0,F$50=$C57,SUMPRODUCT(($D$19:$D$32=F$50)*($G$19:$G$32)))</f>
        <v>#NAME?</v>
      </c>
      <c r="G57" s="43" t="e" cm="1">
        <f t="array" aca="1" ref="G57" ca="1">_xlfn.IFS(AND(G$50&lt;&gt;$C57,G41="n"),SUMPRODUCT(($D$19:$D$32=G$50)*($G$19:$G$32)+($D$19:$D$32=$C57)*($G$19:$G$32)),AND(G$50&lt;&gt;$C57,G41&lt;&gt;"n"),0,G$50=$C57,SUMPRODUCT(($D$19:$D$32=G$50)*($G$19:$G$32)))</f>
        <v>#NAME?</v>
      </c>
      <c r="H57" s="43" t="e" cm="1">
        <f t="array" aca="1" ref="H57" ca="1">_xlfn.IFS(AND(H$50&lt;&gt;$C57,H41="n"),SUMPRODUCT(($D$19:$D$32=H$50)*($G$19:$G$32)+($D$19:$D$32=$C57)*($G$19:$G$32)),AND(H$50&lt;&gt;$C57,H41&lt;&gt;"n"),0,H$50=$C57,SUMPRODUCT(($D$19:$D$32=H$50)*($G$19:$G$32)))</f>
        <v>#NAME?</v>
      </c>
      <c r="I57" s="43" t="e" cm="1">
        <f t="array" aca="1" ref="I57" ca="1">_xlfn.IFS(AND(I$50&lt;&gt;$C57,I41="n"),SUMPRODUCT(($D$19:$D$32=I$50)*($G$19:$G$32)+($D$19:$D$32=$C57)*($G$19:$G$32)),AND(I$50&lt;&gt;$C57,I41&lt;&gt;"n"),0,I$50=$C57,SUMPRODUCT(($D$19:$D$32=I$50)*($G$19:$G$32)))</f>
        <v>#NAME?</v>
      </c>
      <c r="J57" s="43" t="e" cm="1">
        <f t="array" aca="1" ref="J57" ca="1">_xlfn.IFS(AND(J$50&lt;&gt;$C57,J41="n"),SUMPRODUCT(($D$19:$D$32=J$50)*($G$19:$G$32)+($D$19:$D$32=$C57)*($G$19:$G$32)),AND(J$50&lt;&gt;$C57,J41&lt;&gt;"n"),0,J$50=$C57,SUMPRODUCT(($D$19:$D$32=J$50)*($G$19:$G$32)))</f>
        <v>#NAME?</v>
      </c>
      <c r="K57" s="43" t="e" cm="1">
        <f t="array" aca="1" ref="K57" ca="1">_xlfn.IFS(AND(K$50&lt;&gt;$C57,K41="n"),SUMPRODUCT(($D$19:$D$32=K$50)*($G$19:$G$32)+($D$19:$D$32=$C57)*($G$19:$G$32)),AND(K$50&lt;&gt;$C57,K41&lt;&gt;"n"),0,K$50=$C57,SUMPRODUCT(($D$19:$D$32=K$50)*($G$19:$G$32)))</f>
        <v>#NAME?</v>
      </c>
      <c r="L57" s="43" t="e" cm="1">
        <f t="array" aca="1" ref="L57" ca="1">_xlfn.IFS(AND(L$50&lt;&gt;$C57,L41="n"),SUMPRODUCT(($D$19:$D$32=L$50)*($G$19:$G$32)+($D$19:$D$32=$C57)*($G$19:$G$32)),AND(L$50&lt;&gt;$C57,L41&lt;&gt;"n"),0,L$50=$C57,SUMPRODUCT(($D$19:$D$32=L$50)*($G$19:$G$32)))</f>
        <v>#NAME?</v>
      </c>
      <c r="M57" s="43" t="e" cm="1">
        <f t="array" aca="1" ref="M57" ca="1">_xlfn.IFS(AND(M$50&lt;&gt;$C57,M41="n"),SUMPRODUCT(($D$19:$D$32=M$50)*($G$19:$G$32)+($D$19:$D$32=$C57)*($G$19:$G$32)),AND(M$50&lt;&gt;$C57,M41&lt;&gt;"n"),0,M$50=$C57,SUMPRODUCT(($D$19:$D$32=M$50)*($G$19:$G$32)))</f>
        <v>#NAME?</v>
      </c>
      <c r="N57" s="43" t="e" cm="1">
        <f t="array" aca="1" ref="N57" ca="1">_xlfn.IFS(AND(N$50&lt;&gt;$C57,N41="n"),SUMPRODUCT(($D$19:$D$32=N$50)*($G$19:$G$32)+($D$19:$D$32=$C57)*($G$19:$G$32)),AND(N$50&lt;&gt;$C57,N41&lt;&gt;"n"),0,N$50=$C57,SUMPRODUCT(($D$19:$D$32=N$50)*($G$19:$G$32)))</f>
        <v>#NAME?</v>
      </c>
      <c r="O57" s="43" t="e" cm="1">
        <f t="array" aca="1" ref="O57" ca="1">_xlfn.IFS(AND(O$50&lt;&gt;$C57,O41="n"),SUMPRODUCT(($D$19:$D$32=O$50)*($G$19:$G$32)+($D$19:$D$32=$C57)*($G$19:$G$32)),AND(O$50&lt;&gt;$C57,O41&lt;&gt;"n"),0,O$50=$C57,SUMPRODUCT(($D$19:$D$32=O$50)*($G$19:$G$32)))</f>
        <v>#NAME?</v>
      </c>
      <c r="P57" s="43" t="e" cm="1">
        <f t="array" aca="1" ref="P57" ca="1">_xlfn.IFS(AND(P$50&lt;&gt;$C57,P41="n"),SUMPRODUCT(($D$19:$D$32=P$50)*($G$19:$G$32)+($D$19:$D$32=$C57)*($G$19:$G$32)),AND(P$50&lt;&gt;$C57,P41&lt;&gt;"n"),0,P$50=$C57,SUMPRODUCT(($D$19:$D$32=P$50)*($G$19:$G$32)))</f>
        <v>#NAME?</v>
      </c>
      <c r="Q57" s="43" t="e" cm="1">
        <f t="array" aca="1" ref="Q57" ca="1">_xlfn.IFS(AND(Q$50&lt;&gt;$C57,Q41="n"),SUMPRODUCT(($D$19:$D$32=Q$50)*($G$19:$G$32)+($D$19:$D$32=$C57)*($G$19:$G$32)),AND(Q$50&lt;&gt;$C57,Q41&lt;&gt;"n"),0,Q$50=$C57,SUMPRODUCT(($D$19:$D$32=Q$50)*($G$19:$G$32)))</f>
        <v>#NAME?</v>
      </c>
    </row>
    <row r="58" spans="3:17" x14ac:dyDescent="0.25">
      <c r="C58" s="43" t="s">
        <v>173</v>
      </c>
      <c r="D58" s="43" t="e" cm="1">
        <f t="array" aca="1" ref="D58" ca="1">_xlfn.IFS(AND(D$50&lt;&gt;$C58,D42="n"),SUMPRODUCT(($D$19:$D$32=D$50)*($G$19:$G$32)+($D$19:$D$32=$C58)*($G$19:$G$32)),AND(D$50&lt;&gt;$C58,D42&lt;&gt;"n"),0,D$50=$C58,SUMPRODUCT(($D$19:$D$32=D$50)*($G$19:$G$32)))</f>
        <v>#NAME?</v>
      </c>
      <c r="E58" s="43" t="e" cm="1">
        <f t="array" aca="1" ref="E58" ca="1">_xlfn.IFS(AND(E$50&lt;&gt;$C58,E42="n"),SUMPRODUCT(($D$19:$D$32=E$50)*($G$19:$G$32)+($D$19:$D$32=$C58)*($G$19:$G$32)),AND(E$50&lt;&gt;$C58,E42&lt;&gt;"n"),0,E$50=$C58,SUMPRODUCT(($D$19:$D$32=E$50)*($G$19:$G$32)))</f>
        <v>#NAME?</v>
      </c>
      <c r="F58" s="43" t="e" cm="1">
        <f t="array" aca="1" ref="F58" ca="1">_xlfn.IFS(AND(F$50&lt;&gt;$C58,F42="n"),SUMPRODUCT(($D$19:$D$32=F$50)*($G$19:$G$32)+($D$19:$D$32=$C58)*($G$19:$G$32)),AND(F$50&lt;&gt;$C58,F42&lt;&gt;"n"),0,F$50=$C58,SUMPRODUCT(($D$19:$D$32=F$50)*($G$19:$G$32)))</f>
        <v>#NAME?</v>
      </c>
      <c r="G58" s="43" t="e" cm="1">
        <f t="array" aca="1" ref="G58" ca="1">_xlfn.IFS(AND(G$50&lt;&gt;$C58,G42="n"),SUMPRODUCT(($D$19:$D$32=G$50)*($G$19:$G$32)+($D$19:$D$32=$C58)*($G$19:$G$32)),AND(G$50&lt;&gt;$C58,G42&lt;&gt;"n"),0,G$50=$C58,SUMPRODUCT(($D$19:$D$32=G$50)*($G$19:$G$32)))</f>
        <v>#NAME?</v>
      </c>
      <c r="H58" s="43" t="e" cm="1">
        <f t="array" aca="1" ref="H58" ca="1">_xlfn.IFS(AND(H$50&lt;&gt;$C58,H42="n"),SUMPRODUCT(($D$19:$D$32=H$50)*($G$19:$G$32)+($D$19:$D$32=$C58)*($G$19:$G$32)),AND(H$50&lt;&gt;$C58,H42&lt;&gt;"n"),0,H$50=$C58,SUMPRODUCT(($D$19:$D$32=H$50)*($G$19:$G$32)))</f>
        <v>#NAME?</v>
      </c>
      <c r="I58" s="43" t="e" cm="1">
        <f t="array" aca="1" ref="I58" ca="1">_xlfn.IFS(AND(I$50&lt;&gt;$C58,I42="n"),SUMPRODUCT(($D$19:$D$32=I$50)*($G$19:$G$32)+($D$19:$D$32=$C58)*($G$19:$G$32)),AND(I$50&lt;&gt;$C58,I42&lt;&gt;"n"),0,I$50=$C58,SUMPRODUCT(($D$19:$D$32=I$50)*($G$19:$G$32)))</f>
        <v>#NAME?</v>
      </c>
      <c r="J58" s="43" t="e" cm="1">
        <f t="array" aca="1" ref="J58" ca="1">_xlfn.IFS(AND(J$50&lt;&gt;$C58,J42="n"),SUMPRODUCT(($D$19:$D$32=J$50)*($G$19:$G$32)+($D$19:$D$32=$C58)*($G$19:$G$32)),AND(J$50&lt;&gt;$C58,J42&lt;&gt;"n"),0,J$50=$C58,SUMPRODUCT(($D$19:$D$32=J$50)*($G$19:$G$32)))</f>
        <v>#NAME?</v>
      </c>
      <c r="K58" s="43" t="e" cm="1">
        <f t="array" aca="1" ref="K58" ca="1">_xlfn.IFS(AND(K$50&lt;&gt;$C58,K42="n"),SUMPRODUCT(($D$19:$D$32=K$50)*($G$19:$G$32)+($D$19:$D$32=$C58)*($G$19:$G$32)),AND(K$50&lt;&gt;$C58,K42&lt;&gt;"n"),0,K$50=$C58,SUMPRODUCT(($D$19:$D$32=K$50)*($G$19:$G$32)))</f>
        <v>#NAME?</v>
      </c>
      <c r="L58" s="43" t="e" cm="1">
        <f t="array" aca="1" ref="L58" ca="1">_xlfn.IFS(AND(L$50&lt;&gt;$C58,L42="n"),SUMPRODUCT(($D$19:$D$32=L$50)*($G$19:$G$32)+($D$19:$D$32=$C58)*($G$19:$G$32)),AND(L$50&lt;&gt;$C58,L42&lt;&gt;"n"),0,L$50=$C58,SUMPRODUCT(($D$19:$D$32=L$50)*($G$19:$G$32)))</f>
        <v>#NAME?</v>
      </c>
      <c r="M58" s="43" t="e" cm="1">
        <f t="array" aca="1" ref="M58" ca="1">_xlfn.IFS(AND(M$50&lt;&gt;$C58,M42="n"),SUMPRODUCT(($D$19:$D$32=M$50)*($G$19:$G$32)+($D$19:$D$32=$C58)*($G$19:$G$32)),AND(M$50&lt;&gt;$C58,M42&lt;&gt;"n"),0,M$50=$C58,SUMPRODUCT(($D$19:$D$32=M$50)*($G$19:$G$32)))</f>
        <v>#NAME?</v>
      </c>
      <c r="N58" s="43" t="e" cm="1">
        <f t="array" aca="1" ref="N58" ca="1">_xlfn.IFS(AND(N$50&lt;&gt;$C58,N42="n"),SUMPRODUCT(($D$19:$D$32=N$50)*($G$19:$G$32)+($D$19:$D$32=$C58)*($G$19:$G$32)),AND(N$50&lt;&gt;$C58,N42&lt;&gt;"n"),0,N$50=$C58,SUMPRODUCT(($D$19:$D$32=N$50)*($G$19:$G$32)))</f>
        <v>#NAME?</v>
      </c>
      <c r="O58" s="43" t="e" cm="1">
        <f t="array" aca="1" ref="O58" ca="1">_xlfn.IFS(AND(O$50&lt;&gt;$C58,O42="n"),SUMPRODUCT(($D$19:$D$32=O$50)*($G$19:$G$32)+($D$19:$D$32=$C58)*($G$19:$G$32)),AND(O$50&lt;&gt;$C58,O42&lt;&gt;"n"),0,O$50=$C58,SUMPRODUCT(($D$19:$D$32=O$50)*($G$19:$G$32)))</f>
        <v>#NAME?</v>
      </c>
      <c r="P58" s="43" t="e" cm="1">
        <f t="array" aca="1" ref="P58" ca="1">_xlfn.IFS(AND(P$50&lt;&gt;$C58,P42="n"),SUMPRODUCT(($D$19:$D$32=P$50)*($G$19:$G$32)+($D$19:$D$32=$C58)*($G$19:$G$32)),AND(P$50&lt;&gt;$C58,P42&lt;&gt;"n"),0,P$50=$C58,SUMPRODUCT(($D$19:$D$32=P$50)*($G$19:$G$32)))</f>
        <v>#NAME?</v>
      </c>
      <c r="Q58" s="43" t="e" cm="1">
        <f t="array" aca="1" ref="Q58" ca="1">_xlfn.IFS(AND(Q$50&lt;&gt;$C58,Q42="n"),SUMPRODUCT(($D$19:$D$32=Q$50)*($G$19:$G$32)+($D$19:$D$32=$C58)*($G$19:$G$32)),AND(Q$50&lt;&gt;$C58,Q42&lt;&gt;"n"),0,Q$50=$C58,SUMPRODUCT(($D$19:$D$32=Q$50)*($G$19:$G$32)))</f>
        <v>#NAME?</v>
      </c>
    </row>
    <row r="59" spans="3:17" x14ac:dyDescent="0.25">
      <c r="C59" s="43" t="s">
        <v>174</v>
      </c>
      <c r="D59" s="43" t="e" cm="1">
        <f t="array" aca="1" ref="D59" ca="1">_xlfn.IFS(AND(D$50&lt;&gt;$C59,D43="n"),SUMPRODUCT(($D$19:$D$32=D$50)*($G$19:$G$32)+($D$19:$D$32=$C59)*($G$19:$G$32)),AND(D$50&lt;&gt;$C59,D43&lt;&gt;"n"),0,D$50=$C59,SUMPRODUCT(($D$19:$D$32=D$50)*($G$19:$G$32)))</f>
        <v>#NAME?</v>
      </c>
      <c r="E59" s="43" t="e" cm="1">
        <f t="array" aca="1" ref="E59" ca="1">_xlfn.IFS(AND(E$50&lt;&gt;$C59,E43="n"),SUMPRODUCT(($D$19:$D$32=E$50)*($G$19:$G$32)+($D$19:$D$32=$C59)*($G$19:$G$32)),AND(E$50&lt;&gt;$C59,E43&lt;&gt;"n"),0,E$50=$C59,SUMPRODUCT(($D$19:$D$32=E$50)*($G$19:$G$32)))</f>
        <v>#NAME?</v>
      </c>
      <c r="F59" s="43" t="e" cm="1">
        <f t="array" aca="1" ref="F59" ca="1">_xlfn.IFS(AND(F$50&lt;&gt;$C59,F43="n"),SUMPRODUCT(($D$19:$D$32=F$50)*($G$19:$G$32)+($D$19:$D$32=$C59)*($G$19:$G$32)),AND(F$50&lt;&gt;$C59,F43&lt;&gt;"n"),0,F$50=$C59,SUMPRODUCT(($D$19:$D$32=F$50)*($G$19:$G$32)))</f>
        <v>#NAME?</v>
      </c>
      <c r="G59" s="43" t="e" cm="1">
        <f t="array" aca="1" ref="G59" ca="1">_xlfn.IFS(AND(G$50&lt;&gt;$C59,G43="n"),SUMPRODUCT(($D$19:$D$32=G$50)*($G$19:$G$32)+($D$19:$D$32=$C59)*($G$19:$G$32)),AND(G$50&lt;&gt;$C59,G43&lt;&gt;"n"),0,G$50=$C59,SUMPRODUCT(($D$19:$D$32=G$50)*($G$19:$G$32)))</f>
        <v>#NAME?</v>
      </c>
      <c r="H59" s="43" t="e" cm="1">
        <f t="array" aca="1" ref="H59" ca="1">_xlfn.IFS(AND(H$50&lt;&gt;$C59,H43="n"),SUMPRODUCT(($D$19:$D$32=H$50)*($G$19:$G$32)+($D$19:$D$32=$C59)*($G$19:$G$32)),AND(H$50&lt;&gt;$C59,H43&lt;&gt;"n"),0,H$50=$C59,SUMPRODUCT(($D$19:$D$32=H$50)*($G$19:$G$32)))</f>
        <v>#NAME?</v>
      </c>
      <c r="I59" s="43" t="e" cm="1">
        <f t="array" aca="1" ref="I59" ca="1">_xlfn.IFS(AND(I$50&lt;&gt;$C59,I43="n"),SUMPRODUCT(($D$19:$D$32=I$50)*($G$19:$G$32)+($D$19:$D$32=$C59)*($G$19:$G$32)),AND(I$50&lt;&gt;$C59,I43&lt;&gt;"n"),0,I$50=$C59,SUMPRODUCT(($D$19:$D$32=I$50)*($G$19:$G$32)))</f>
        <v>#NAME?</v>
      </c>
      <c r="J59" s="43" t="e" cm="1">
        <f t="array" aca="1" ref="J59" ca="1">_xlfn.IFS(AND(J$50&lt;&gt;$C59,J43="n"),SUMPRODUCT(($D$19:$D$32=J$50)*($G$19:$G$32)+($D$19:$D$32=$C59)*($G$19:$G$32)),AND(J$50&lt;&gt;$C59,J43&lt;&gt;"n"),0,J$50=$C59,SUMPRODUCT(($D$19:$D$32=J$50)*($G$19:$G$32)))</f>
        <v>#NAME?</v>
      </c>
      <c r="K59" s="43" t="e" cm="1">
        <f t="array" aca="1" ref="K59" ca="1">_xlfn.IFS(AND(K$50&lt;&gt;$C59,K43="n"),SUMPRODUCT(($D$19:$D$32=K$50)*($G$19:$G$32)+($D$19:$D$32=$C59)*($G$19:$G$32)),AND(K$50&lt;&gt;$C59,K43&lt;&gt;"n"),0,K$50=$C59,SUMPRODUCT(($D$19:$D$32=K$50)*($G$19:$G$32)))</f>
        <v>#NAME?</v>
      </c>
      <c r="L59" s="43" t="e" cm="1">
        <f t="array" aca="1" ref="L59" ca="1">_xlfn.IFS(AND(L$50&lt;&gt;$C59,L43="n"),SUMPRODUCT(($D$19:$D$32=L$50)*($G$19:$G$32)+($D$19:$D$32=$C59)*($G$19:$G$32)),AND(L$50&lt;&gt;$C59,L43&lt;&gt;"n"),0,L$50=$C59,SUMPRODUCT(($D$19:$D$32=L$50)*($G$19:$G$32)))</f>
        <v>#NAME?</v>
      </c>
      <c r="M59" s="43" t="e" cm="1">
        <f t="array" aca="1" ref="M59" ca="1">_xlfn.IFS(AND(M$50&lt;&gt;$C59,M43="n"),SUMPRODUCT(($D$19:$D$32=M$50)*($G$19:$G$32)+($D$19:$D$32=$C59)*($G$19:$G$32)),AND(M$50&lt;&gt;$C59,M43&lt;&gt;"n"),0,M$50=$C59,SUMPRODUCT(($D$19:$D$32=M$50)*($G$19:$G$32)))</f>
        <v>#NAME?</v>
      </c>
      <c r="N59" s="43" t="e" cm="1">
        <f t="array" aca="1" ref="N59" ca="1">_xlfn.IFS(AND(N$50&lt;&gt;$C59,N43="n"),SUMPRODUCT(($D$19:$D$32=N$50)*($G$19:$G$32)+($D$19:$D$32=$C59)*($G$19:$G$32)),AND(N$50&lt;&gt;$C59,N43&lt;&gt;"n"),0,N$50=$C59,SUMPRODUCT(($D$19:$D$32=N$50)*($G$19:$G$32)))</f>
        <v>#NAME?</v>
      </c>
      <c r="O59" s="43" t="e" cm="1">
        <f t="array" aca="1" ref="O59" ca="1">_xlfn.IFS(AND(O$50&lt;&gt;$C59,O43="n"),SUMPRODUCT(($D$19:$D$32=O$50)*($G$19:$G$32)+($D$19:$D$32=$C59)*($G$19:$G$32)),AND(O$50&lt;&gt;$C59,O43&lt;&gt;"n"),0,O$50=$C59,SUMPRODUCT(($D$19:$D$32=O$50)*($G$19:$G$32)))</f>
        <v>#NAME?</v>
      </c>
      <c r="P59" s="43" t="e" cm="1">
        <f t="array" aca="1" ref="P59" ca="1">_xlfn.IFS(AND(P$50&lt;&gt;$C59,P43="n"),SUMPRODUCT(($D$19:$D$32=P$50)*($G$19:$G$32)+($D$19:$D$32=$C59)*($G$19:$G$32)),AND(P$50&lt;&gt;$C59,P43&lt;&gt;"n"),0,P$50=$C59,SUMPRODUCT(($D$19:$D$32=P$50)*($G$19:$G$32)))</f>
        <v>#NAME?</v>
      </c>
      <c r="Q59" s="43" t="e" cm="1">
        <f t="array" aca="1" ref="Q59" ca="1">_xlfn.IFS(AND(Q$50&lt;&gt;$C59,Q43="n"),SUMPRODUCT(($D$19:$D$32=Q$50)*($G$19:$G$32)+($D$19:$D$32=$C59)*($G$19:$G$32)),AND(Q$50&lt;&gt;$C59,Q43&lt;&gt;"n"),0,Q$50=$C59,SUMPRODUCT(($D$19:$D$32=Q$50)*($G$19:$G$32)))</f>
        <v>#NAME?</v>
      </c>
    </row>
    <row r="60" spans="3:17" x14ac:dyDescent="0.25">
      <c r="C60" s="43" t="s">
        <v>175</v>
      </c>
      <c r="D60" s="43" t="e" cm="1">
        <f t="array" aca="1" ref="D60" ca="1">_xlfn.IFS(AND(D$50&lt;&gt;$C60,D44="n"),SUMPRODUCT(($D$19:$D$32=D$50)*($G$19:$G$32)+($D$19:$D$32=$C60)*($G$19:$G$32)),AND(D$50&lt;&gt;$C60,D44&lt;&gt;"n"),0,D$50=$C60,SUMPRODUCT(($D$19:$D$32=D$50)*($G$19:$G$32)))</f>
        <v>#NAME?</v>
      </c>
      <c r="E60" s="43" t="e" cm="1">
        <f t="array" aca="1" ref="E60" ca="1">_xlfn.IFS(AND(E$50&lt;&gt;$C60,E44="n"),SUMPRODUCT(($D$19:$D$32=E$50)*($G$19:$G$32)+($D$19:$D$32=$C60)*($G$19:$G$32)),AND(E$50&lt;&gt;$C60,E44&lt;&gt;"n"),0,E$50=$C60,SUMPRODUCT(($D$19:$D$32=E$50)*($G$19:$G$32)))</f>
        <v>#NAME?</v>
      </c>
      <c r="F60" s="43" t="e" cm="1">
        <f t="array" aca="1" ref="F60" ca="1">_xlfn.IFS(AND(F$50&lt;&gt;$C60,F44="n"),SUMPRODUCT(($D$19:$D$32=F$50)*($G$19:$G$32)+($D$19:$D$32=$C60)*($G$19:$G$32)),AND(F$50&lt;&gt;$C60,F44&lt;&gt;"n"),0,F$50=$C60,SUMPRODUCT(($D$19:$D$32=F$50)*($G$19:$G$32)))</f>
        <v>#NAME?</v>
      </c>
      <c r="G60" s="43" t="e" cm="1">
        <f t="array" aca="1" ref="G60" ca="1">_xlfn.IFS(AND(G$50&lt;&gt;$C60,G44="n"),SUMPRODUCT(($D$19:$D$32=G$50)*($G$19:$G$32)+($D$19:$D$32=$C60)*($G$19:$G$32)),AND(G$50&lt;&gt;$C60,G44&lt;&gt;"n"),0,G$50=$C60,SUMPRODUCT(($D$19:$D$32=G$50)*($G$19:$G$32)))</f>
        <v>#NAME?</v>
      </c>
      <c r="H60" s="43" t="e" cm="1">
        <f t="array" aca="1" ref="H60" ca="1">_xlfn.IFS(AND(H$50&lt;&gt;$C60,H44="n"),SUMPRODUCT(($D$19:$D$32=H$50)*($G$19:$G$32)+($D$19:$D$32=$C60)*($G$19:$G$32)),AND(H$50&lt;&gt;$C60,H44&lt;&gt;"n"),0,H$50=$C60,SUMPRODUCT(($D$19:$D$32=H$50)*($G$19:$G$32)))</f>
        <v>#NAME?</v>
      </c>
      <c r="I60" s="43" t="e" cm="1">
        <f t="array" aca="1" ref="I60" ca="1">_xlfn.IFS(AND(I$50&lt;&gt;$C60,I44="n"),SUMPRODUCT(($D$19:$D$32=I$50)*($G$19:$G$32)+($D$19:$D$32=$C60)*($G$19:$G$32)),AND(I$50&lt;&gt;$C60,I44&lt;&gt;"n"),0,I$50=$C60,SUMPRODUCT(($D$19:$D$32=I$50)*($G$19:$G$32)))</f>
        <v>#NAME?</v>
      </c>
      <c r="J60" s="43" t="e" cm="1">
        <f t="array" aca="1" ref="J60" ca="1">_xlfn.IFS(AND(J$50&lt;&gt;$C60,J44="n"),SUMPRODUCT(($D$19:$D$32=J$50)*($G$19:$G$32)+($D$19:$D$32=$C60)*($G$19:$G$32)),AND(J$50&lt;&gt;$C60,J44&lt;&gt;"n"),0,J$50=$C60,SUMPRODUCT(($D$19:$D$32=J$50)*($G$19:$G$32)))</f>
        <v>#NAME?</v>
      </c>
      <c r="K60" s="43" t="e" cm="1">
        <f t="array" aca="1" ref="K60" ca="1">_xlfn.IFS(AND(K$50&lt;&gt;$C60,K44="n"),SUMPRODUCT(($D$19:$D$32=K$50)*($G$19:$G$32)+($D$19:$D$32=$C60)*($G$19:$G$32)),AND(K$50&lt;&gt;$C60,K44&lt;&gt;"n"),0,K$50=$C60,SUMPRODUCT(($D$19:$D$32=K$50)*($G$19:$G$32)))</f>
        <v>#NAME?</v>
      </c>
      <c r="L60" s="43" t="e" cm="1">
        <f t="array" aca="1" ref="L60" ca="1">_xlfn.IFS(AND(L$50&lt;&gt;$C60,L44="n"),SUMPRODUCT(($D$19:$D$32=L$50)*($G$19:$G$32)+($D$19:$D$32=$C60)*($G$19:$G$32)),AND(L$50&lt;&gt;$C60,L44&lt;&gt;"n"),0,L$50=$C60,SUMPRODUCT(($D$19:$D$32=L$50)*($G$19:$G$32)))</f>
        <v>#NAME?</v>
      </c>
      <c r="M60" s="43" t="e" cm="1">
        <f t="array" aca="1" ref="M60" ca="1">_xlfn.IFS(AND(M$50&lt;&gt;$C60,M44="n"),SUMPRODUCT(($D$19:$D$32=M$50)*($G$19:$G$32)+($D$19:$D$32=$C60)*($G$19:$G$32)),AND(M$50&lt;&gt;$C60,M44&lt;&gt;"n"),0,M$50=$C60,SUMPRODUCT(($D$19:$D$32=M$50)*($G$19:$G$32)))</f>
        <v>#NAME?</v>
      </c>
      <c r="N60" s="43" t="e" cm="1">
        <f t="array" aca="1" ref="N60" ca="1">_xlfn.IFS(AND(N$50&lt;&gt;$C60,N44="n"),SUMPRODUCT(($D$19:$D$32=N$50)*($G$19:$G$32)+($D$19:$D$32=$C60)*($G$19:$G$32)),AND(N$50&lt;&gt;$C60,N44&lt;&gt;"n"),0,N$50=$C60,SUMPRODUCT(($D$19:$D$32=N$50)*($G$19:$G$32)))</f>
        <v>#NAME?</v>
      </c>
      <c r="O60" s="43" t="e" cm="1">
        <f t="array" aca="1" ref="O60" ca="1">_xlfn.IFS(AND(O$50&lt;&gt;$C60,O44="n"),SUMPRODUCT(($D$19:$D$32=O$50)*($G$19:$G$32)+($D$19:$D$32=$C60)*($G$19:$G$32)),AND(O$50&lt;&gt;$C60,O44&lt;&gt;"n"),0,O$50=$C60,SUMPRODUCT(($D$19:$D$32=O$50)*($G$19:$G$32)))</f>
        <v>#NAME?</v>
      </c>
      <c r="P60" s="43" t="e" cm="1">
        <f t="array" aca="1" ref="P60" ca="1">_xlfn.IFS(AND(P$50&lt;&gt;$C60,P44="n"),SUMPRODUCT(($D$19:$D$32=P$50)*($G$19:$G$32)+($D$19:$D$32=$C60)*($G$19:$G$32)),AND(P$50&lt;&gt;$C60,P44&lt;&gt;"n"),0,P$50=$C60,SUMPRODUCT(($D$19:$D$32=P$50)*($G$19:$G$32)))</f>
        <v>#NAME?</v>
      </c>
      <c r="Q60" s="43" t="e" cm="1">
        <f t="array" aca="1" ref="Q60" ca="1">_xlfn.IFS(AND(Q$50&lt;&gt;$C60,Q44="n"),SUMPRODUCT(($D$19:$D$32=Q$50)*($G$19:$G$32)+($D$19:$D$32=$C60)*($G$19:$G$32)),AND(Q$50&lt;&gt;$C60,Q44&lt;&gt;"n"),0,Q$50=$C60,SUMPRODUCT(($D$19:$D$32=Q$50)*($G$19:$G$32)))</f>
        <v>#NAME?</v>
      </c>
    </row>
    <row r="61" spans="3:17" x14ac:dyDescent="0.25">
      <c r="C61" s="43" t="s">
        <v>180</v>
      </c>
      <c r="D61" s="43" t="e" cm="1">
        <f t="array" aca="1" ref="D61" ca="1">_xlfn.IFS(AND(D$50&lt;&gt;$C61,D45="n"),SUMPRODUCT(($D$19:$D$32=D$50)*($G$19:$G$32)+($D$19:$D$32=$C61)*($G$19:$G$32)),AND(D$50&lt;&gt;$C61,D45&lt;&gt;"n"),0,D$50=$C61,SUMPRODUCT(($D$19:$D$32=D$50)*($G$19:$G$32)))</f>
        <v>#NAME?</v>
      </c>
      <c r="E61" s="43" t="e" cm="1">
        <f t="array" aca="1" ref="E61" ca="1">_xlfn.IFS(AND(E$50&lt;&gt;$C61,E45="n"),SUMPRODUCT(($D$19:$D$32=E$50)*($G$19:$G$32)+($D$19:$D$32=$C61)*($G$19:$G$32)),AND(E$50&lt;&gt;$C61,E45&lt;&gt;"n"),0,E$50=$C61,SUMPRODUCT(($D$19:$D$32=E$50)*($G$19:$G$32)))</f>
        <v>#NAME?</v>
      </c>
      <c r="F61" s="43" t="e" cm="1">
        <f t="array" aca="1" ref="F61" ca="1">_xlfn.IFS(AND(F$50&lt;&gt;$C61,F45="n"),SUMPRODUCT(($D$19:$D$32=F$50)*($G$19:$G$32)+($D$19:$D$32=$C61)*($G$19:$G$32)),AND(F$50&lt;&gt;$C61,F45&lt;&gt;"n"),0,F$50=$C61,SUMPRODUCT(($D$19:$D$32=F$50)*($G$19:$G$32)))</f>
        <v>#NAME?</v>
      </c>
      <c r="G61" s="43" t="e" cm="1">
        <f t="array" aca="1" ref="G61" ca="1">_xlfn.IFS(AND(G$50&lt;&gt;$C61,G45="n"),SUMPRODUCT(($D$19:$D$32=G$50)*($G$19:$G$32)+($D$19:$D$32=$C61)*($G$19:$G$32)),AND(G$50&lt;&gt;$C61,G45&lt;&gt;"n"),0,G$50=$C61,SUMPRODUCT(($D$19:$D$32=G$50)*($G$19:$G$32)))</f>
        <v>#NAME?</v>
      </c>
      <c r="H61" s="43" t="e" cm="1">
        <f t="array" aca="1" ref="H61" ca="1">_xlfn.IFS(AND(H$50&lt;&gt;$C61,H45="n"),SUMPRODUCT(($D$19:$D$32=H$50)*($G$19:$G$32)+($D$19:$D$32=$C61)*($G$19:$G$32)),AND(H$50&lt;&gt;$C61,H45&lt;&gt;"n"),0,H$50=$C61,SUMPRODUCT(($D$19:$D$32=H$50)*($G$19:$G$32)))</f>
        <v>#NAME?</v>
      </c>
      <c r="I61" s="43" t="e" cm="1">
        <f t="array" aca="1" ref="I61" ca="1">_xlfn.IFS(AND(I$50&lt;&gt;$C61,I45="n"),SUMPRODUCT(($D$19:$D$32=I$50)*($G$19:$G$32)+($D$19:$D$32=$C61)*($G$19:$G$32)),AND(I$50&lt;&gt;$C61,I45&lt;&gt;"n"),0,I$50=$C61,SUMPRODUCT(($D$19:$D$32=I$50)*($G$19:$G$32)))</f>
        <v>#NAME?</v>
      </c>
      <c r="J61" s="43" t="e" cm="1">
        <f t="array" aca="1" ref="J61" ca="1">_xlfn.IFS(AND(J$50&lt;&gt;$C61,J45="n"),SUMPRODUCT(($D$19:$D$32=J$50)*($G$19:$G$32)+($D$19:$D$32=$C61)*($G$19:$G$32)),AND(J$50&lt;&gt;$C61,J45&lt;&gt;"n"),0,J$50=$C61,SUMPRODUCT(($D$19:$D$32=J$50)*($G$19:$G$32)))</f>
        <v>#NAME?</v>
      </c>
      <c r="K61" s="43" t="e" cm="1">
        <f t="array" aca="1" ref="K61" ca="1">_xlfn.IFS(AND(K$50&lt;&gt;$C61,K45="n"),SUMPRODUCT(($D$19:$D$32=K$50)*($G$19:$G$32)+($D$19:$D$32=$C61)*($G$19:$G$32)),AND(K$50&lt;&gt;$C61,K45&lt;&gt;"n"),0,K$50=$C61,SUMPRODUCT(($D$19:$D$32=K$50)*($G$19:$G$32)))</f>
        <v>#NAME?</v>
      </c>
      <c r="L61" s="43" t="e" cm="1">
        <f t="array" aca="1" ref="L61" ca="1">_xlfn.IFS(AND(L$50&lt;&gt;$C61,L45="n"),SUMPRODUCT(($D$19:$D$32=L$50)*($G$19:$G$32)+($D$19:$D$32=$C61)*($G$19:$G$32)),AND(L$50&lt;&gt;$C61,L45&lt;&gt;"n"),0,L$50=$C61,SUMPRODUCT(($D$19:$D$32=L$50)*($G$19:$G$32)))</f>
        <v>#NAME?</v>
      </c>
      <c r="M61" s="43" t="e" cm="1">
        <f t="array" aca="1" ref="M61" ca="1">_xlfn.IFS(AND(M$50&lt;&gt;$C61,M45="n"),SUMPRODUCT(($D$19:$D$32=M$50)*($G$19:$G$32)+($D$19:$D$32=$C61)*($G$19:$G$32)),AND(M$50&lt;&gt;$C61,M45&lt;&gt;"n"),0,M$50=$C61,SUMPRODUCT(($D$19:$D$32=M$50)*($G$19:$G$32)))</f>
        <v>#NAME?</v>
      </c>
      <c r="N61" s="43" t="e" cm="1">
        <f t="array" aca="1" ref="N61" ca="1">_xlfn.IFS(AND(N$50&lt;&gt;$C61,N45="n"),SUMPRODUCT(($D$19:$D$32=N$50)*($G$19:$G$32)+($D$19:$D$32=$C61)*($G$19:$G$32)),AND(N$50&lt;&gt;$C61,N45&lt;&gt;"n"),0,N$50=$C61,SUMPRODUCT(($D$19:$D$32=N$50)*($G$19:$G$32)))</f>
        <v>#NAME?</v>
      </c>
      <c r="O61" s="43" t="e" cm="1">
        <f t="array" aca="1" ref="O61" ca="1">_xlfn.IFS(AND(O$50&lt;&gt;$C61,O45="n"),SUMPRODUCT(($D$19:$D$32=O$50)*($G$19:$G$32)+($D$19:$D$32=$C61)*($G$19:$G$32)),AND(O$50&lt;&gt;$C61,O45&lt;&gt;"n"),0,O$50=$C61,SUMPRODUCT(($D$19:$D$32=O$50)*($G$19:$G$32)))</f>
        <v>#NAME?</v>
      </c>
      <c r="P61" s="43" t="e" cm="1">
        <f t="array" aca="1" ref="P61" ca="1">_xlfn.IFS(AND(P$50&lt;&gt;$C61,P45="n"),SUMPRODUCT(($D$19:$D$32=P$50)*($G$19:$G$32)+($D$19:$D$32=$C61)*($G$19:$G$32)),AND(P$50&lt;&gt;$C61,P45&lt;&gt;"n"),0,P$50=$C61,SUMPRODUCT(($D$19:$D$32=P$50)*($G$19:$G$32)))</f>
        <v>#NAME?</v>
      </c>
      <c r="Q61" s="43" t="e" cm="1">
        <f t="array" aca="1" ref="Q61" ca="1">_xlfn.IFS(AND(Q$50&lt;&gt;$C61,Q45="n"),SUMPRODUCT(($D$19:$D$32=Q$50)*($G$19:$G$32)+($D$19:$D$32=$C61)*($G$19:$G$32)),AND(Q$50&lt;&gt;$C61,Q45&lt;&gt;"n"),0,Q$50=$C61,SUMPRODUCT(($D$19:$D$32=Q$50)*($G$19:$G$32)))</f>
        <v>#NAME?</v>
      </c>
    </row>
    <row r="62" spans="3:17" x14ac:dyDescent="0.25">
      <c r="C62" s="43" t="s">
        <v>178</v>
      </c>
      <c r="D62" s="43" t="e" cm="1">
        <f t="array" aca="1" ref="D62" ca="1">_xlfn.IFS(AND(D$50&lt;&gt;$C62,D46="n"),SUMPRODUCT(($D$19:$D$32=D$50)*($G$19:$G$32)+($D$19:$D$32=$C62)*($G$19:$G$32)),AND(D$50&lt;&gt;$C62,D46&lt;&gt;"n"),0,D$50=$C62,SUMPRODUCT(($D$19:$D$32=D$50)*($G$19:$G$32)))</f>
        <v>#NAME?</v>
      </c>
      <c r="E62" s="43" t="e" cm="1">
        <f t="array" aca="1" ref="E62" ca="1">_xlfn.IFS(AND(E$50&lt;&gt;$C62,E46="n"),SUMPRODUCT(($D$19:$D$32=E$50)*($G$19:$G$32)+($D$19:$D$32=$C62)*($G$19:$G$32)),AND(E$50&lt;&gt;$C62,E46&lt;&gt;"n"),0,E$50=$C62,SUMPRODUCT(($D$19:$D$32=E$50)*($G$19:$G$32)))</f>
        <v>#NAME?</v>
      </c>
      <c r="F62" s="43" t="e" cm="1">
        <f t="array" aca="1" ref="F62" ca="1">_xlfn.IFS(AND(F$50&lt;&gt;$C62,F46="n"),SUMPRODUCT(($D$19:$D$32=F$50)*($G$19:$G$32)+($D$19:$D$32=$C62)*($G$19:$G$32)),AND(F$50&lt;&gt;$C62,F46&lt;&gt;"n"),0,F$50=$C62,SUMPRODUCT(($D$19:$D$32=F$50)*($G$19:$G$32)))</f>
        <v>#NAME?</v>
      </c>
      <c r="G62" s="43" t="e" cm="1">
        <f t="array" aca="1" ref="G62" ca="1">_xlfn.IFS(AND(G$50&lt;&gt;$C62,G46="n"),SUMPRODUCT(($D$19:$D$32=G$50)*($G$19:$G$32)+($D$19:$D$32=$C62)*($G$19:$G$32)),AND(G$50&lt;&gt;$C62,G46&lt;&gt;"n"),0,G$50=$C62,SUMPRODUCT(($D$19:$D$32=G$50)*($G$19:$G$32)))</f>
        <v>#NAME?</v>
      </c>
      <c r="H62" s="43" t="e" cm="1">
        <f t="array" aca="1" ref="H62" ca="1">_xlfn.IFS(AND(H$50&lt;&gt;$C62,H46="n"),SUMPRODUCT(($D$19:$D$32=H$50)*($G$19:$G$32)+($D$19:$D$32=$C62)*($G$19:$G$32)),AND(H$50&lt;&gt;$C62,H46&lt;&gt;"n"),0,H$50=$C62,SUMPRODUCT(($D$19:$D$32=H$50)*($G$19:$G$32)))</f>
        <v>#NAME?</v>
      </c>
      <c r="I62" s="43" t="e" cm="1">
        <f t="array" aca="1" ref="I62" ca="1">_xlfn.IFS(AND(I$50&lt;&gt;$C62,I46="n"),SUMPRODUCT(($D$19:$D$32=I$50)*($G$19:$G$32)+($D$19:$D$32=$C62)*($G$19:$G$32)),AND(I$50&lt;&gt;$C62,I46&lt;&gt;"n"),0,I$50=$C62,SUMPRODUCT(($D$19:$D$32=I$50)*($G$19:$G$32)))</f>
        <v>#NAME?</v>
      </c>
      <c r="J62" s="43" t="e" cm="1">
        <f t="array" aca="1" ref="J62" ca="1">_xlfn.IFS(AND(J$50&lt;&gt;$C62,J46="n"),SUMPRODUCT(($D$19:$D$32=J$50)*($G$19:$G$32)+($D$19:$D$32=$C62)*($G$19:$G$32)),AND(J$50&lt;&gt;$C62,J46&lt;&gt;"n"),0,J$50=$C62,SUMPRODUCT(($D$19:$D$32=J$50)*($G$19:$G$32)))</f>
        <v>#NAME?</v>
      </c>
      <c r="K62" s="43" t="e" cm="1">
        <f t="array" aca="1" ref="K62" ca="1">_xlfn.IFS(AND(K$50&lt;&gt;$C62,K46="n"),SUMPRODUCT(($D$19:$D$32=K$50)*($G$19:$G$32)+($D$19:$D$32=$C62)*($G$19:$G$32)),AND(K$50&lt;&gt;$C62,K46&lt;&gt;"n"),0,K$50=$C62,SUMPRODUCT(($D$19:$D$32=K$50)*($G$19:$G$32)))</f>
        <v>#NAME?</v>
      </c>
      <c r="L62" s="43" t="e" cm="1">
        <f t="array" aca="1" ref="L62" ca="1">_xlfn.IFS(AND(L$50&lt;&gt;$C62,L46="n"),SUMPRODUCT(($D$19:$D$32=L$50)*($G$19:$G$32)+($D$19:$D$32=$C62)*($G$19:$G$32)),AND(L$50&lt;&gt;$C62,L46&lt;&gt;"n"),0,L$50=$C62,SUMPRODUCT(($D$19:$D$32=L$50)*($G$19:$G$32)))</f>
        <v>#NAME?</v>
      </c>
      <c r="M62" s="43" t="e" cm="1">
        <f t="array" aca="1" ref="M62" ca="1">_xlfn.IFS(AND(M$50&lt;&gt;$C62,M46="n"),SUMPRODUCT(($D$19:$D$32=M$50)*($G$19:$G$32)+($D$19:$D$32=$C62)*($G$19:$G$32)),AND(M$50&lt;&gt;$C62,M46&lt;&gt;"n"),0,M$50=$C62,SUMPRODUCT(($D$19:$D$32=M$50)*($G$19:$G$32)))</f>
        <v>#NAME?</v>
      </c>
      <c r="N62" s="43" t="e" cm="1">
        <f t="array" aca="1" ref="N62" ca="1">_xlfn.IFS(AND(N$50&lt;&gt;$C62,N46="n"),SUMPRODUCT(($D$19:$D$32=N$50)*($G$19:$G$32)+($D$19:$D$32=$C62)*($G$19:$G$32)),AND(N$50&lt;&gt;$C62,N46&lt;&gt;"n"),0,N$50=$C62,SUMPRODUCT(($D$19:$D$32=N$50)*($G$19:$G$32)))</f>
        <v>#NAME?</v>
      </c>
      <c r="O62" s="43" t="e" cm="1">
        <f t="array" aca="1" ref="O62" ca="1">_xlfn.IFS(AND(O$50&lt;&gt;$C62,O46="n"),SUMPRODUCT(($D$19:$D$32=O$50)*($G$19:$G$32)+($D$19:$D$32=$C62)*($G$19:$G$32)),AND(O$50&lt;&gt;$C62,O46&lt;&gt;"n"),0,O$50=$C62,SUMPRODUCT(($D$19:$D$32=O$50)*($G$19:$G$32)))</f>
        <v>#NAME?</v>
      </c>
      <c r="P62" s="43" t="e" cm="1">
        <f t="array" aca="1" ref="P62" ca="1">_xlfn.IFS(AND(P$50&lt;&gt;$C62,P46="n"),SUMPRODUCT(($D$19:$D$32=P$50)*($G$19:$G$32)+($D$19:$D$32=$C62)*($G$19:$G$32)),AND(P$50&lt;&gt;$C62,P46&lt;&gt;"n"),0,P$50=$C62,SUMPRODUCT(($D$19:$D$32=P$50)*($G$19:$G$32)))</f>
        <v>#NAME?</v>
      </c>
      <c r="Q62" s="43" t="e" cm="1">
        <f t="array" aca="1" ref="Q62" ca="1">_xlfn.IFS(AND(Q$50&lt;&gt;$C62,Q46="n"),SUMPRODUCT(($D$19:$D$32=Q$50)*($G$19:$G$32)+($D$19:$D$32=$C62)*($G$19:$G$32)),AND(Q$50&lt;&gt;$C62,Q46&lt;&gt;"n"),0,Q$50=$C62,SUMPRODUCT(($D$19:$D$32=Q$50)*($G$19:$G$32)))</f>
        <v>#NAME?</v>
      </c>
    </row>
    <row r="63" spans="3:17" x14ac:dyDescent="0.25">
      <c r="C63" s="43" t="s">
        <v>185</v>
      </c>
      <c r="D63" s="43" t="e" cm="1">
        <f t="array" aca="1" ref="D63" ca="1">_xlfn.IFS(AND(D$50&lt;&gt;$C63,D47="n"),SUMPRODUCT(($D$19:$D$32=D$50)*($G$19:$G$32)+($D$19:$D$32=$C63)*($G$19:$G$32)),AND(D$50&lt;&gt;$C63,D47&lt;&gt;"n"),0,D$50=$C63,SUMPRODUCT(($D$19:$D$32=D$50)*($G$19:$G$32)))</f>
        <v>#NAME?</v>
      </c>
      <c r="E63" s="43" t="e" cm="1">
        <f t="array" aca="1" ref="E63" ca="1">_xlfn.IFS(AND(E$50&lt;&gt;$C63,E47="n"),SUMPRODUCT(($D$19:$D$32=E$50)*($G$19:$G$32)+($D$19:$D$32=$C63)*($G$19:$G$32)),AND(E$50&lt;&gt;$C63,E47&lt;&gt;"n"),0,E$50=$C63,SUMPRODUCT(($D$19:$D$32=E$50)*($G$19:$G$32)))</f>
        <v>#NAME?</v>
      </c>
      <c r="F63" s="43" t="e" cm="1">
        <f t="array" aca="1" ref="F63" ca="1">_xlfn.IFS(AND(F$50&lt;&gt;$C63,F47="n"),SUMPRODUCT(($D$19:$D$32=F$50)*($G$19:$G$32)+($D$19:$D$32=$C63)*($G$19:$G$32)),AND(F$50&lt;&gt;$C63,F47&lt;&gt;"n"),0,F$50=$C63,SUMPRODUCT(($D$19:$D$32=F$50)*($G$19:$G$32)))</f>
        <v>#NAME?</v>
      </c>
      <c r="G63" s="43" t="e" cm="1">
        <f t="array" aca="1" ref="G63" ca="1">_xlfn.IFS(AND(G$50&lt;&gt;$C63,G47="n"),SUMPRODUCT(($D$19:$D$32=G$50)*($G$19:$G$32)+($D$19:$D$32=$C63)*($G$19:$G$32)),AND(G$50&lt;&gt;$C63,G47&lt;&gt;"n"),0,G$50=$C63,SUMPRODUCT(($D$19:$D$32=G$50)*($G$19:$G$32)))</f>
        <v>#NAME?</v>
      </c>
      <c r="H63" s="43" t="e" cm="1">
        <f t="array" aca="1" ref="H63" ca="1">_xlfn.IFS(AND(H$50&lt;&gt;$C63,H47="n"),SUMPRODUCT(($D$19:$D$32=H$50)*($G$19:$G$32)+($D$19:$D$32=$C63)*($G$19:$G$32)),AND(H$50&lt;&gt;$C63,H47&lt;&gt;"n"),0,H$50=$C63,SUMPRODUCT(($D$19:$D$32=H$50)*($G$19:$G$32)))</f>
        <v>#NAME?</v>
      </c>
      <c r="I63" s="43" t="e" cm="1">
        <f t="array" aca="1" ref="I63" ca="1">_xlfn.IFS(AND(I$50&lt;&gt;$C63,I47="n"),SUMPRODUCT(($D$19:$D$32=I$50)*($G$19:$G$32)+($D$19:$D$32=$C63)*($G$19:$G$32)),AND(I$50&lt;&gt;$C63,I47&lt;&gt;"n"),0,I$50=$C63,SUMPRODUCT(($D$19:$D$32=I$50)*($G$19:$G$32)))</f>
        <v>#NAME?</v>
      </c>
      <c r="J63" s="43" t="e" cm="1">
        <f t="array" aca="1" ref="J63" ca="1">_xlfn.IFS(AND(J$50&lt;&gt;$C63,J47="n"),SUMPRODUCT(($D$19:$D$32=J$50)*($G$19:$G$32)+($D$19:$D$32=$C63)*($G$19:$G$32)),AND(J$50&lt;&gt;$C63,J47&lt;&gt;"n"),0,J$50=$C63,SUMPRODUCT(($D$19:$D$32=J$50)*($G$19:$G$32)))</f>
        <v>#NAME?</v>
      </c>
      <c r="K63" s="43" t="e" cm="1">
        <f t="array" aca="1" ref="K63" ca="1">_xlfn.IFS(AND(K$50&lt;&gt;$C63,K47="n"),SUMPRODUCT(($D$19:$D$32=K$50)*($G$19:$G$32)+($D$19:$D$32=$C63)*($G$19:$G$32)),AND(K$50&lt;&gt;$C63,K47&lt;&gt;"n"),0,K$50=$C63,SUMPRODUCT(($D$19:$D$32=K$50)*($G$19:$G$32)))</f>
        <v>#NAME?</v>
      </c>
      <c r="L63" s="43" t="e" cm="1">
        <f t="array" aca="1" ref="L63" ca="1">_xlfn.IFS(AND(L$50&lt;&gt;$C63,L47="n"),SUMPRODUCT(($D$19:$D$32=L$50)*($G$19:$G$32)+($D$19:$D$32=$C63)*($G$19:$G$32)),AND(L$50&lt;&gt;$C63,L47&lt;&gt;"n"),0,L$50=$C63,SUMPRODUCT(($D$19:$D$32=L$50)*($G$19:$G$32)))</f>
        <v>#NAME?</v>
      </c>
      <c r="M63" s="43" t="e" cm="1">
        <f t="array" aca="1" ref="M63" ca="1">_xlfn.IFS(AND(M$50&lt;&gt;$C63,M47="n"),SUMPRODUCT(($D$19:$D$32=M$50)*($G$19:$G$32)+($D$19:$D$32=$C63)*($G$19:$G$32)),AND(M$50&lt;&gt;$C63,M47&lt;&gt;"n"),0,M$50=$C63,SUMPRODUCT(($D$19:$D$32=M$50)*($G$19:$G$32)))</f>
        <v>#NAME?</v>
      </c>
      <c r="N63" s="43" t="e" cm="1">
        <f t="array" aca="1" ref="N63" ca="1">_xlfn.IFS(AND(N$50&lt;&gt;$C63,N47="n"),SUMPRODUCT(($D$19:$D$32=N$50)*($G$19:$G$32)+($D$19:$D$32=$C63)*($G$19:$G$32)),AND(N$50&lt;&gt;$C63,N47&lt;&gt;"n"),0,N$50=$C63,SUMPRODUCT(($D$19:$D$32=N$50)*($G$19:$G$32)))</f>
        <v>#NAME?</v>
      </c>
      <c r="O63" s="43" t="e" cm="1">
        <f t="array" aca="1" ref="O63" ca="1">_xlfn.IFS(AND(O$50&lt;&gt;$C63,O47="n"),SUMPRODUCT(($D$19:$D$32=O$50)*($G$19:$G$32)+($D$19:$D$32=$C63)*($G$19:$G$32)),AND(O$50&lt;&gt;$C63,O47&lt;&gt;"n"),0,O$50=$C63,SUMPRODUCT(($D$19:$D$32=O$50)*($G$19:$G$32)))</f>
        <v>#NAME?</v>
      </c>
      <c r="P63" s="43" t="e" cm="1">
        <f t="array" aca="1" ref="P63" ca="1">_xlfn.IFS(AND(P$50&lt;&gt;$C63,P47="n"),SUMPRODUCT(($D$19:$D$32=P$50)*($G$19:$G$32)+($D$19:$D$32=$C63)*($G$19:$G$32)),AND(P$50&lt;&gt;$C63,P47&lt;&gt;"n"),0,P$50=$C63,SUMPRODUCT(($D$19:$D$32=P$50)*($G$19:$G$32)))</f>
        <v>#NAME?</v>
      </c>
      <c r="Q63" s="43" t="e" cm="1">
        <f t="array" aca="1" ref="Q63" ca="1">_xlfn.IFS(AND(Q$50&lt;&gt;$C63,Q47="n"),SUMPRODUCT(($D$19:$D$32=Q$50)*($G$19:$G$32)+($D$19:$D$32=$C63)*($G$19:$G$32)),AND(Q$50&lt;&gt;$C63,Q47&lt;&gt;"n"),0,Q$50=$C63,SUMPRODUCT(($D$19:$D$32=Q$50)*($G$19:$G$32)))</f>
        <v>#NAME?</v>
      </c>
    </row>
    <row r="64" spans="3:17" x14ac:dyDescent="0.25">
      <c r="C64" s="43" t="s">
        <v>176</v>
      </c>
      <c r="D64" s="43" t="e" cm="1">
        <f t="array" aca="1" ref="D64" ca="1">_xlfn.IFS(AND(D$50&lt;&gt;$C64,D48="n"),SUMPRODUCT(($D$19:$D$32=D$50)*($G$19:$G$32)+($D$19:$D$32=$C64)*($G$19:$G$32)),AND(D$50&lt;&gt;$C64,D48&lt;&gt;"n"),0,D$50=$C64,SUMPRODUCT(($D$19:$D$32=D$50)*($G$19:$G$32)))</f>
        <v>#NAME?</v>
      </c>
      <c r="E64" s="43" t="e" cm="1">
        <f t="array" aca="1" ref="E64" ca="1">_xlfn.IFS(AND(E$50&lt;&gt;$C64,E48="n"),SUMPRODUCT(($D$19:$D$32=E$50)*($G$19:$G$32)+($D$19:$D$32=$C64)*($G$19:$G$32)),AND(E$50&lt;&gt;$C64,E48&lt;&gt;"n"),0,E$50=$C64,SUMPRODUCT(($D$19:$D$32=E$50)*($G$19:$G$32)))</f>
        <v>#NAME?</v>
      </c>
      <c r="F64" s="43" t="e" cm="1">
        <f t="array" aca="1" ref="F64" ca="1">_xlfn.IFS(AND(F$50&lt;&gt;$C64,F48="n"),SUMPRODUCT(($D$19:$D$32=F$50)*($G$19:$G$32)+($D$19:$D$32=$C64)*($G$19:$G$32)),AND(F$50&lt;&gt;$C64,F48&lt;&gt;"n"),0,F$50=$C64,SUMPRODUCT(($D$19:$D$32=F$50)*($G$19:$G$32)))</f>
        <v>#NAME?</v>
      </c>
      <c r="G64" s="43" t="e" cm="1">
        <f t="array" aca="1" ref="G64" ca="1">_xlfn.IFS(AND(G$50&lt;&gt;$C64,G48="n"),SUMPRODUCT(($D$19:$D$32=G$50)*($G$19:$G$32)+($D$19:$D$32=$C64)*($G$19:$G$32)),AND(G$50&lt;&gt;$C64,G48&lt;&gt;"n"),0,G$50=$C64,SUMPRODUCT(($D$19:$D$32=G$50)*($G$19:$G$32)))</f>
        <v>#NAME?</v>
      </c>
      <c r="H64" s="43" t="e" cm="1">
        <f t="array" aca="1" ref="H64" ca="1">_xlfn.IFS(AND(H$50&lt;&gt;$C64,H48="n"),SUMPRODUCT(($D$19:$D$32=H$50)*($G$19:$G$32)+($D$19:$D$32=$C64)*($G$19:$G$32)),AND(H$50&lt;&gt;$C64,H48&lt;&gt;"n"),0,H$50=$C64,SUMPRODUCT(($D$19:$D$32=H$50)*($G$19:$G$32)))</f>
        <v>#NAME?</v>
      </c>
      <c r="I64" s="43" t="e" cm="1">
        <f t="array" aca="1" ref="I64" ca="1">_xlfn.IFS(AND(I$50&lt;&gt;$C64,I48="n"),SUMPRODUCT(($D$19:$D$32=I$50)*($G$19:$G$32)+($D$19:$D$32=$C64)*($G$19:$G$32)),AND(I$50&lt;&gt;$C64,I48&lt;&gt;"n"),0,I$50=$C64,SUMPRODUCT(($D$19:$D$32=I$50)*($G$19:$G$32)))</f>
        <v>#NAME?</v>
      </c>
      <c r="J64" s="43" t="e" cm="1">
        <f t="array" aca="1" ref="J64" ca="1">_xlfn.IFS(AND(J$50&lt;&gt;$C64,J48="n"),SUMPRODUCT(($D$19:$D$32=J$50)*($G$19:$G$32)+($D$19:$D$32=$C64)*($G$19:$G$32)),AND(J$50&lt;&gt;$C64,J48&lt;&gt;"n"),0,J$50=$C64,SUMPRODUCT(($D$19:$D$32=J$50)*($G$19:$G$32)))</f>
        <v>#NAME?</v>
      </c>
      <c r="K64" s="43" t="e" cm="1">
        <f t="array" aca="1" ref="K64" ca="1">_xlfn.IFS(AND(K$50&lt;&gt;$C64,K48="n"),SUMPRODUCT(($D$19:$D$32=K$50)*($G$19:$G$32)+($D$19:$D$32=$C64)*($G$19:$G$32)),AND(K$50&lt;&gt;$C64,K48&lt;&gt;"n"),0,K$50=$C64,SUMPRODUCT(($D$19:$D$32=K$50)*($G$19:$G$32)))</f>
        <v>#NAME?</v>
      </c>
      <c r="L64" s="43" t="e" cm="1">
        <f t="array" aca="1" ref="L64" ca="1">_xlfn.IFS(AND(L$50&lt;&gt;$C64,L48="n"),SUMPRODUCT(($D$19:$D$32=L$50)*($G$19:$G$32)+($D$19:$D$32=$C64)*($G$19:$G$32)),AND(L$50&lt;&gt;$C64,L48&lt;&gt;"n"),0,L$50=$C64,SUMPRODUCT(($D$19:$D$32=L$50)*($G$19:$G$32)))</f>
        <v>#NAME?</v>
      </c>
      <c r="M64" s="43" t="e" cm="1">
        <f t="array" aca="1" ref="M64" ca="1">_xlfn.IFS(AND(M$50&lt;&gt;$C64,M48="n"),SUMPRODUCT(($D$19:$D$32=M$50)*($G$19:$G$32)+($D$19:$D$32=$C64)*($G$19:$G$32)),AND(M$50&lt;&gt;$C64,M48&lt;&gt;"n"),0,M$50=$C64,SUMPRODUCT(($D$19:$D$32=M$50)*($G$19:$G$32)))</f>
        <v>#NAME?</v>
      </c>
      <c r="N64" s="43" t="e" cm="1">
        <f t="array" aca="1" ref="N64" ca="1">_xlfn.IFS(AND(N$50&lt;&gt;$C64,N48="n"),SUMPRODUCT(($D$19:$D$32=N$50)*($G$19:$G$32)+($D$19:$D$32=$C64)*($G$19:$G$32)),AND(N$50&lt;&gt;$C64,N48&lt;&gt;"n"),0,N$50=$C64,SUMPRODUCT(($D$19:$D$32=N$50)*($G$19:$G$32)))</f>
        <v>#NAME?</v>
      </c>
      <c r="O64" s="43" t="e" cm="1">
        <f t="array" aca="1" ref="O64" ca="1">_xlfn.IFS(AND(O$50&lt;&gt;$C64,O48="n"),SUMPRODUCT(($D$19:$D$32=O$50)*($G$19:$G$32)+($D$19:$D$32=$C64)*($G$19:$G$32)),AND(O$50&lt;&gt;$C64,O48&lt;&gt;"n"),0,O$50=$C64,SUMPRODUCT(($D$19:$D$32=O$50)*($G$19:$G$32)))</f>
        <v>#NAME?</v>
      </c>
      <c r="P64" s="43" t="e" cm="1">
        <f t="array" aca="1" ref="P64" ca="1">_xlfn.IFS(AND(P$50&lt;&gt;$C64,P48="n"),SUMPRODUCT(($D$19:$D$32=P$50)*($G$19:$G$32)+($D$19:$D$32=$C64)*($G$19:$G$32)),AND(P$50&lt;&gt;$C64,P48&lt;&gt;"n"),0,P$50=$C64,SUMPRODUCT(($D$19:$D$32=P$50)*($G$19:$G$32)))</f>
        <v>#NAME?</v>
      </c>
      <c r="Q64" s="43" t="e" cm="1">
        <f t="array" aca="1" ref="Q64" ca="1">_xlfn.IFS(AND(Q$50&lt;&gt;$C64,Q48="n"),SUMPRODUCT(($D$19:$D$32=Q$50)*($G$19:$G$32)+($D$19:$D$32=$C64)*($G$19:$G$32)),AND(Q$50&lt;&gt;$C64,Q48&lt;&gt;"n"),0,Q$50=$C64,SUMPRODUCT(($D$19:$D$32=Q$50)*($G$19:$G$32)))</f>
        <v>#NAME?</v>
      </c>
    </row>
    <row r="66" spans="3:21" x14ac:dyDescent="0.25">
      <c r="C66" s="43" t="s">
        <v>187</v>
      </c>
      <c r="E66" s="43" t="s">
        <v>189</v>
      </c>
    </row>
    <row r="67" spans="3:21" x14ac:dyDescent="0.25">
      <c r="C67" s="43" t="str" cm="1">
        <f t="array" ref="C67:C80">TCD!AS5:AS18</f>
        <v>Abri à vélos</v>
      </c>
      <c r="E67" s="43" t="e" cm="1">
        <f t="array" ref="E67" ca="1">SUMPRODUCT((($D$50:$Q$50=C67)+($D$50:$Q$50=C68)+($D$50:$Q$50=C69)+($D$50:$Q$50=C70)+($D$50:$Q$50=C71)+($D$50:$Q$50=C72)+($D$50:$Q$50=C73)+($D$50:$Q$50=C74)+($D$50:$Q$50=C75)+($D$50:$Q$50=C76)+($D$50:$Q$50=C77)+($D$50:$Q$50=C78)+($D$50:$Q$50=C79)+($D$50:$Q$50=C80))*
(($C$51:$C$64=C67)+($C$51:$C$64=C68)+($C$51:$C$64=C69)+($C$51:$C$64=C70)+($C$51:$C$64=C71)+($C$51:$C$64=C72)+($C$51:$C$64=C73)+($C$51:$C$64=C74)+($C$51:$C$64=C75)+($C$51:$C$64=C76)+($C$51:$C$64=C77)+($C$51:$C$64=C78)+($C$51:$C$64=C79)+($C$51:$C$64=C80))*
($D$51:$Q$64))/
SUM($D$51:$Q$64)</f>
        <v>#NAME?</v>
      </c>
    </row>
    <row r="68" spans="3:21" x14ac:dyDescent="0.25">
      <c r="C68" s="43" t="str">
        <v>Affichage d'incitations (nudge) pour les escaliers par ex</v>
      </c>
      <c r="E68" s="54"/>
    </row>
    <row r="69" spans="3:21" x14ac:dyDescent="0.25">
      <c r="C69" s="43" t="str">
        <v>Ateliers, conférences, formations</v>
      </c>
    </row>
    <row r="70" spans="3:21" x14ac:dyDescent="0.25">
      <c r="C70" s="43" t="str">
        <v xml:space="preserve">Diffusion d'informations de santé </v>
      </c>
      <c r="U70" s="70"/>
    </row>
    <row r="71" spans="3:21" x14ac:dyDescent="0.25">
      <c r="C71" s="43">
        <v>0</v>
      </c>
    </row>
    <row r="72" spans="3:21" x14ac:dyDescent="0.25">
      <c r="C72" s="43">
        <v>0</v>
      </c>
    </row>
    <row r="73" spans="3:21" x14ac:dyDescent="0.25">
      <c r="C73" s="43">
        <v>0</v>
      </c>
    </row>
    <row r="74" spans="3:21" x14ac:dyDescent="0.25">
      <c r="C74" s="43">
        <v>0</v>
      </c>
    </row>
    <row r="75" spans="3:21" x14ac:dyDescent="0.25">
      <c r="C75" s="43">
        <v>0</v>
      </c>
    </row>
    <row r="76" spans="3:21" x14ac:dyDescent="0.25">
      <c r="C76" s="43">
        <v>0</v>
      </c>
    </row>
    <row r="77" spans="3:21" x14ac:dyDescent="0.25">
      <c r="C77" s="43">
        <v>0</v>
      </c>
    </row>
    <row r="78" spans="3:21" x14ac:dyDescent="0.25">
      <c r="C78" s="43">
        <v>0</v>
      </c>
    </row>
    <row r="79" spans="3:21" x14ac:dyDescent="0.25">
      <c r="C79" s="43">
        <v>0</v>
      </c>
    </row>
    <row r="80" spans="3:21" x14ac:dyDescent="0.25">
      <c r="C80" s="43">
        <v>0</v>
      </c>
    </row>
    <row r="82" spans="3:8" x14ac:dyDescent="0.25">
      <c r="C82" t="s">
        <v>172</v>
      </c>
      <c r="D82" t="s">
        <v>191</v>
      </c>
      <c r="E82" t="s">
        <v>192</v>
      </c>
      <c r="F82" t="s">
        <v>193</v>
      </c>
    </row>
    <row r="83" spans="3:8" x14ac:dyDescent="0.25">
      <c r="C83" t="s">
        <v>173</v>
      </c>
      <c r="D83" t="s">
        <v>194</v>
      </c>
      <c r="E83" t="s">
        <v>194</v>
      </c>
      <c r="F83" t="s">
        <v>194</v>
      </c>
      <c r="H83" s="22"/>
    </row>
    <row r="84" spans="3:8" x14ac:dyDescent="0.25">
      <c r="C84" t="s">
        <v>174</v>
      </c>
      <c r="D84" t="s">
        <v>194</v>
      </c>
      <c r="E84" t="s">
        <v>194</v>
      </c>
    </row>
    <row r="85" spans="3:8" x14ac:dyDescent="0.25">
      <c r="C85" t="s">
        <v>175</v>
      </c>
      <c r="D85" t="s">
        <v>194</v>
      </c>
      <c r="E85" t="s">
        <v>194</v>
      </c>
    </row>
    <row r="86" spans="3:8" x14ac:dyDescent="0.25">
      <c r="C86" t="s">
        <v>176</v>
      </c>
      <c r="D86" t="s">
        <v>194</v>
      </c>
      <c r="E86" t="s">
        <v>194</v>
      </c>
    </row>
    <row r="87" spans="3:8" x14ac:dyDescent="0.25">
      <c r="C87" t="s">
        <v>177</v>
      </c>
      <c r="D87" t="s">
        <v>194</v>
      </c>
      <c r="F87" t="s">
        <v>194</v>
      </c>
    </row>
    <row r="88" spans="3:8" x14ac:dyDescent="0.25">
      <c r="C88" t="s">
        <v>178</v>
      </c>
      <c r="F88" t="s">
        <v>194</v>
      </c>
    </row>
    <row r="89" spans="3:8" x14ac:dyDescent="0.25">
      <c r="C89" t="s">
        <v>179</v>
      </c>
      <c r="F89" t="s">
        <v>194</v>
      </c>
    </row>
    <row r="90" spans="3:8" x14ac:dyDescent="0.25">
      <c r="C90" t="s">
        <v>180</v>
      </c>
      <c r="D90" t="s">
        <v>194</v>
      </c>
      <c r="E90" t="s">
        <v>194</v>
      </c>
      <c r="F90" t="s">
        <v>194</v>
      </c>
    </row>
    <row r="91" spans="3:8" x14ac:dyDescent="0.25">
      <c r="C91" t="s">
        <v>181</v>
      </c>
      <c r="D91" t="s">
        <v>194</v>
      </c>
      <c r="F91" t="s">
        <v>194</v>
      </c>
    </row>
    <row r="92" spans="3:8" x14ac:dyDescent="0.25">
      <c r="C92" t="s">
        <v>182</v>
      </c>
      <c r="D92" t="s">
        <v>194</v>
      </c>
      <c r="F92" t="s">
        <v>194</v>
      </c>
    </row>
    <row r="93" spans="3:8" x14ac:dyDescent="0.25">
      <c r="C93" t="s">
        <v>183</v>
      </c>
      <c r="F93" t="s">
        <v>194</v>
      </c>
    </row>
    <row r="94" spans="3:8" x14ac:dyDescent="0.25">
      <c r="C94" t="s">
        <v>184</v>
      </c>
      <c r="F94" t="s">
        <v>194</v>
      </c>
    </row>
    <row r="95" spans="3:8" x14ac:dyDescent="0.25">
      <c r="C95" t="s">
        <v>185</v>
      </c>
      <c r="D95" t="s">
        <v>194</v>
      </c>
      <c r="E95" t="s">
        <v>194</v>
      </c>
      <c r="F95" t="s">
        <v>194</v>
      </c>
    </row>
    <row r="96" spans="3:8" x14ac:dyDescent="0.25">
      <c r="C96" t="s">
        <v>186</v>
      </c>
      <c r="D96" t="s">
        <v>194</v>
      </c>
      <c r="E96" t="s">
        <v>194</v>
      </c>
      <c r="F96" t="s">
        <v>194</v>
      </c>
    </row>
    <row r="98" spans="3:12" x14ac:dyDescent="0.25">
      <c r="F98" t="s">
        <v>157</v>
      </c>
      <c r="G98" t="s">
        <v>158</v>
      </c>
      <c r="H98" t="s">
        <v>159</v>
      </c>
    </row>
    <row r="99" spans="3:12" x14ac:dyDescent="0.25">
      <c r="C99" t="s">
        <v>105</v>
      </c>
      <c r="D99" t="s">
        <v>172</v>
      </c>
      <c r="E99" t="s">
        <v>104</v>
      </c>
      <c r="F99" t="s">
        <v>112</v>
      </c>
      <c r="G99" t="s">
        <v>113</v>
      </c>
      <c r="H99" t="s">
        <v>114</v>
      </c>
      <c r="I99" t="s">
        <v>291</v>
      </c>
      <c r="J99" t="s">
        <v>247</v>
      </c>
      <c r="K99" t="s">
        <v>274</v>
      </c>
      <c r="L99" t="s">
        <v>228</v>
      </c>
    </row>
    <row r="100" spans="3:12" x14ac:dyDescent="0.25">
      <c r="C100" t="s">
        <v>106</v>
      </c>
      <c r="D100" t="s">
        <v>174</v>
      </c>
      <c r="E100" t="e">
        <f t="shared" ref="E100:E131" ca="1" si="1">$E$67</f>
        <v>#NAME?</v>
      </c>
      <c r="F100" s="54" cm="1">
        <f t="array" ref="F100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0" s="54" cm="1">
        <f t="array" ref="G100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0" s="54" cm="1">
        <f t="array" ref="H100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0" s="54">
        <f>INDEX('Données_d''entrée'!$D$57:$F$70,MATCH(Tableau5[[#This Row],[Actions]],'Données_d''entrée'!$D$57:$D$70,0),3)</f>
        <v>0</v>
      </c>
      <c r="J100" s="54">
        <f>IF(Tableau5[[#This Row],[Part_déjà_bénéficiaires]]=1,0,INDEX($C$214:$AA$227,MATCH(D100,$C$214:$C$227,0),MATCH(J$99,$C$213:$AA$213,0)))</f>
        <v>0</v>
      </c>
      <c r="K100" s="54">
        <f ca="1">IFERROR(IF(Tableau5[[#This Row],[Part_déjà_bénéficiaires]]=1,0,INDEX($C$214:$AA$227,MATCH(D100,$C$214:$C$227,0),MATCH(_xlfn.CONCAT(K$99,$F$234),$C$213:$AA$213,0))),0)</f>
        <v>0</v>
      </c>
      <c r="L100" s="54" t="str">
        <f>IF(Tableau5[[#This Row],[Part_déjà_bénéficiaires]]=1,"Déjà en place dans l'entreprise",INDEX($C$214:$AA$227,MATCH(D100,$C$214:$C$227,0),MATCH(L$99,$C$213:$AA$213,0)))</f>
        <v>Nous considérons que ces ateliers sont animés en interne, par un salarié volontaire</v>
      </c>
    </row>
    <row r="101" spans="3:12" x14ac:dyDescent="0.25">
      <c r="C101" t="s">
        <v>106</v>
      </c>
      <c r="D101" t="s">
        <v>175</v>
      </c>
      <c r="E101" t="e">
        <f t="shared" ca="1" si="1"/>
        <v>#NAME?</v>
      </c>
      <c r="F101" s="54" cm="1">
        <f t="array" ref="F10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1" s="54" cm="1">
        <f t="array" ref="G10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1" s="54" cm="1">
        <f t="array" ref="H10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1" s="54">
        <f>INDEX('Données_d''entrée'!$D$57:$F$70,MATCH(Tableau5[[#This Row],[Actions]],'Données_d''entrée'!$D$57:$D$70,0),3)</f>
        <v>0</v>
      </c>
      <c r="J101" s="54">
        <f ca="1">IF(Tableau5[[#This Row],[Part_déjà_bénéficiaires]]=1,0,INDEX($C$214:$AA$227,MATCH(D101,$C$214:$C$227,0),MATCH(J$99,$C$213:$AA$213,0)))</f>
        <v>0</v>
      </c>
      <c r="K101" s="54">
        <f ca="1">IFERROR(IF(Tableau5[[#This Row],[Part_déjà_bénéficiaires]]=1,0,INDEX($C$214:$AA$227,MATCH(D101,$C$214:$C$227,0),MATCH(_xlfn.CONCAT(K$99,$F$234),$C$213:$AA$213,0))),0)</f>
        <v>0</v>
      </c>
      <c r="L101" s="54" t="str">
        <f>IF(Tableau5[[#This Row],[Part_déjà_bénéficiaires]]=1,"Déjà en place dans l'entreprise",INDEX($C$214:$AA$227,MATCH(D101,$C$214:$C$227,0),MATCH(L$99,$C$213:$AA$213,0)))</f>
        <v>Salaire brut horaire moyen * [(4h de recherches d'informations) * 1 personne mobilisée + (1h d'affichage * 1 personne mobilisée * Nombre de sites)]</v>
      </c>
    </row>
    <row r="102" spans="3:12" x14ac:dyDescent="0.25">
      <c r="C102" t="s">
        <v>106</v>
      </c>
      <c r="D102" t="s">
        <v>176</v>
      </c>
      <c r="E102" t="e">
        <f t="shared" ca="1" si="1"/>
        <v>#NAME?</v>
      </c>
      <c r="F102" s="54" cm="1">
        <f t="array" ref="F102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2" s="54" cm="1">
        <f t="array" ref="G102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2" s="54" cm="1">
        <f t="array" ref="H102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2" s="54">
        <f>INDEX('Données_d''entrée'!$D$57:$F$70,MATCH(Tableau5[[#This Row],[Actions]],'Données_d''entrée'!$D$57:$D$70,0),3)</f>
        <v>0</v>
      </c>
      <c r="J102" s="54">
        <f ca="1">IF(Tableau5[[#This Row],[Part_déjà_bénéficiaires]]=1,0,INDEX($C$214:$AA$227,MATCH(D102,$C$214:$C$227,0),MATCH(J$99,$C$213:$AA$213,0)))</f>
        <v>0</v>
      </c>
      <c r="K102" s="54">
        <f ca="1">IFERROR(IF(Tableau5[[#This Row],[Part_déjà_bénéficiaires]]=1,0,INDEX($C$214:$AA$227,MATCH(D102,$C$214:$C$227,0),MATCH(_xlfn.CONCAT(K$99,$F$234),$C$213:$AA$213,0))),0)</f>
        <v>0</v>
      </c>
      <c r="L102" s="54" t="str">
        <f>IF(Tableau5[[#This Row],[Part_déjà_bénéficiaires]]=1,"Déjà en place dans l'entreprise",INDEX($C$214:$AA$227,MATCH(D102,$C$214:$C$227,0),MATCH(L$99,$C$213:$AA$213,0)))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103" spans="3:12" x14ac:dyDescent="0.25">
      <c r="C103" t="s">
        <v>106</v>
      </c>
      <c r="D103" t="s">
        <v>178</v>
      </c>
      <c r="E103" t="e">
        <f t="shared" ca="1" si="1"/>
        <v>#NAME?</v>
      </c>
      <c r="F103" s="54" cm="1">
        <f t="array" ref="F103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3" s="54" cm="1">
        <f t="array" ref="G103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3" s="54" cm="1">
        <f t="array" ref="H103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3" s="54">
        <f>INDEX('Données_d''entrée'!$D$57:$F$70,MATCH(Tableau5[[#This Row],[Actions]],'Données_d''entrée'!$D$57:$D$70,0),3)</f>
        <v>0</v>
      </c>
      <c r="J103" s="54">
        <f ca="1">IF(Tableau5[[#This Row],[Part_déjà_bénéficiaires]]=1,0,INDEX($C$214:$AA$227,MATCH(D103,$C$214:$C$227,0),MATCH(J$99,$C$213:$AA$213,0)))</f>
        <v>0</v>
      </c>
      <c r="K103" s="54">
        <f ca="1">IFERROR(IF(Tableau5[[#This Row],[Part_déjà_bénéficiaires]]=1,0,INDEX($C$214:$AA$227,MATCH(D103,$C$214:$C$227,0),MATCH(_xlfn.CONCAT(K$99,$F$234),$C$213:$AA$213,0))),0)</f>
        <v>0</v>
      </c>
      <c r="L103" s="54" t="str">
        <f>IF(Tableau5[[#This Row],[Part_déjà_bénéficiaires]]=1,"Déjà en place dans l'entreprise",INDEX($C$214:$AA$227,MATCH(D103,$C$214:$C$227,0),MATCH(L$99,$C$213:$AA$213,0)))</f>
        <v>Nombre de sites concernés * Coût d'un abri vélo collectif (2 500€) / 10 ans d'amortissement</v>
      </c>
    </row>
    <row r="104" spans="3:12" x14ac:dyDescent="0.25">
      <c r="C104" t="s">
        <v>107</v>
      </c>
      <c r="D104" t="s">
        <v>174</v>
      </c>
      <c r="E104" t="e">
        <f t="shared" ca="1" si="1"/>
        <v>#NAME?</v>
      </c>
      <c r="F104" s="54" cm="1">
        <f t="array" ref="F104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4" s="54" cm="1">
        <f t="array" ref="G104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4" s="54" cm="1">
        <f t="array" ref="H104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4" s="54">
        <f>INDEX('Données_d''entrée'!$D$57:$F$70,MATCH(Tableau5[[#This Row],[Actions]],'Données_d''entrée'!$D$57:$D$70,0),3)</f>
        <v>0</v>
      </c>
      <c r="J104" s="54">
        <f>IF(Tableau5[[#This Row],[Part_déjà_bénéficiaires]]=1,0,INDEX($C$214:$AA$227,MATCH(D104,$C$214:$C$227,0),MATCH(J$99,$C$213:$AA$213,0)))</f>
        <v>0</v>
      </c>
      <c r="K104" s="54">
        <f ca="1">IFERROR(IF(Tableau5[[#This Row],[Part_déjà_bénéficiaires]]=1,0,INDEX($C$214:$AA$227,MATCH(D104,$C$214:$C$227,0),MATCH(_xlfn.CONCAT(K$99,$F$234),$C$213:$AA$213,0))),0)</f>
        <v>0</v>
      </c>
      <c r="L104" s="54" t="str">
        <f>IF(Tableau5[[#This Row],[Part_déjà_bénéficiaires]]=1,"Déjà en place dans l'entreprise",INDEX($C$214:$AA$227,MATCH(D104,$C$214:$C$227,0),MATCH(L$99,$C$213:$AA$213,0)))</f>
        <v>Nous considérons que ces ateliers sont animés en interne, par un salarié volontaire</v>
      </c>
    </row>
    <row r="105" spans="3:12" x14ac:dyDescent="0.25">
      <c r="C105" t="s">
        <v>107</v>
      </c>
      <c r="D105" t="s">
        <v>175</v>
      </c>
      <c r="E105" t="e">
        <f t="shared" ca="1" si="1"/>
        <v>#NAME?</v>
      </c>
      <c r="F105" s="54" cm="1">
        <f t="array" ref="F105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5" s="54" cm="1">
        <f t="array" ref="G105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5" s="54" cm="1">
        <f t="array" ref="H105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5" s="54">
        <f>INDEX('Données_d''entrée'!$D$57:$F$70,MATCH(Tableau5[[#This Row],[Actions]],'Données_d''entrée'!$D$57:$D$70,0),3)</f>
        <v>0</v>
      </c>
      <c r="J105" s="54">
        <f ca="1">IF(Tableau5[[#This Row],[Part_déjà_bénéficiaires]]=1,0,INDEX($C$214:$AA$227,MATCH(D105,$C$214:$C$227,0),MATCH(J$99,$C$213:$AA$213,0)))</f>
        <v>0</v>
      </c>
      <c r="K105" s="54">
        <f ca="1">IFERROR(IF(Tableau5[[#This Row],[Part_déjà_bénéficiaires]]=1,0,INDEX($C$214:$AA$227,MATCH(D105,$C$214:$C$227,0),MATCH(_xlfn.CONCAT(K$99,$F$234),$C$213:$AA$213,0))),0)</f>
        <v>0</v>
      </c>
      <c r="L105" s="54" t="str">
        <f>IF(Tableau5[[#This Row],[Part_déjà_bénéficiaires]]=1,"Déjà en place dans l'entreprise",INDEX($C$214:$AA$227,MATCH(D105,$C$214:$C$227,0),MATCH(L$99,$C$213:$AA$213,0)))</f>
        <v>Salaire brut horaire moyen * [(4h de recherches d'informations) * 1 personne mobilisée + (1h d'affichage * 1 personne mobilisée * Nombre de sites)]</v>
      </c>
    </row>
    <row r="106" spans="3:12" x14ac:dyDescent="0.25">
      <c r="C106" t="s">
        <v>107</v>
      </c>
      <c r="D106" t="s">
        <v>176</v>
      </c>
      <c r="E106" t="e">
        <f t="shared" ca="1" si="1"/>
        <v>#NAME?</v>
      </c>
      <c r="F106" s="54" cm="1">
        <f t="array" ref="F106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6" s="54" cm="1">
        <f t="array" ref="G106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6" s="54" cm="1">
        <f t="array" ref="H106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6" s="54">
        <f>INDEX('Données_d''entrée'!$D$57:$F$70,MATCH(Tableau5[[#This Row],[Actions]],'Données_d''entrée'!$D$57:$D$70,0),3)</f>
        <v>0</v>
      </c>
      <c r="J106" s="54">
        <f ca="1">IF(Tableau5[[#This Row],[Part_déjà_bénéficiaires]]=1,0,INDEX($C$214:$AA$227,MATCH(D106,$C$214:$C$227,0),MATCH(J$99,$C$213:$AA$213,0)))</f>
        <v>0</v>
      </c>
      <c r="K106" s="54">
        <f ca="1">IFERROR(IF(Tableau5[[#This Row],[Part_déjà_bénéficiaires]]=1,0,INDEX($C$214:$AA$227,MATCH(D106,$C$214:$C$227,0),MATCH(_xlfn.CONCAT(K$99,$F$234),$C$213:$AA$213,0))),0)</f>
        <v>0</v>
      </c>
      <c r="L106" s="54" t="str">
        <f>IF(Tableau5[[#This Row],[Part_déjà_bénéficiaires]]=1,"Déjà en place dans l'entreprise",INDEX($C$214:$AA$227,MATCH(D106,$C$214:$C$227,0),MATCH(L$99,$C$213:$AA$213,0)))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107" spans="3:12" x14ac:dyDescent="0.25">
      <c r="C107" t="s">
        <v>107</v>
      </c>
      <c r="D107" t="s">
        <v>178</v>
      </c>
      <c r="E107" t="e">
        <f t="shared" ca="1" si="1"/>
        <v>#NAME?</v>
      </c>
      <c r="F107" s="54" cm="1">
        <f t="array" ref="F107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7" s="54" cm="1">
        <f t="array" ref="G107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7" s="54" cm="1">
        <f t="array" ref="H107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7" s="54">
        <f>INDEX('Données_d''entrée'!$D$57:$F$70,MATCH(Tableau5[[#This Row],[Actions]],'Données_d''entrée'!$D$57:$D$70,0),3)</f>
        <v>0</v>
      </c>
      <c r="J107" s="54">
        <f ca="1">IF(Tableau5[[#This Row],[Part_déjà_bénéficiaires]]=1,0,INDEX($C$214:$AA$227,MATCH(D107,$C$214:$C$227,0),MATCH(J$99,$C$213:$AA$213,0)))</f>
        <v>0</v>
      </c>
      <c r="K107" s="54">
        <f ca="1">IFERROR(IF(Tableau5[[#This Row],[Part_déjà_bénéficiaires]]=1,0,INDEX($C$214:$AA$227,MATCH(D107,$C$214:$C$227,0),MATCH(_xlfn.CONCAT(K$99,$F$234),$C$213:$AA$213,0))),0)</f>
        <v>0</v>
      </c>
      <c r="L107" s="54" t="str">
        <f>IF(Tableau5[[#This Row],[Part_déjà_bénéficiaires]]=1,"Déjà en place dans l'entreprise",INDEX($C$214:$AA$227,MATCH(D107,$C$214:$C$227,0),MATCH(L$99,$C$213:$AA$213,0)))</f>
        <v>Nombre de sites concernés * Coût d'un abri vélo collectif (2 500€) / 10 ans d'amortissement</v>
      </c>
    </row>
    <row r="108" spans="3:12" x14ac:dyDescent="0.25">
      <c r="C108" t="s">
        <v>107</v>
      </c>
      <c r="D108" t="s">
        <v>179</v>
      </c>
      <c r="E108" t="e">
        <f t="shared" ca="1" si="1"/>
        <v>#NAME?</v>
      </c>
      <c r="F108" s="54" cm="1">
        <f t="array" ref="F108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8" s="54" cm="1">
        <f t="array" ref="G108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8" s="54" cm="1">
        <f t="array" ref="H108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8" s="54">
        <f>INDEX('Données_d''entrée'!$D$57:$F$70,MATCH(Tableau5[[#This Row],[Actions]],'Données_d''entrée'!$D$57:$D$70,0),3)</f>
        <v>0</v>
      </c>
      <c r="J108" s="54">
        <f ca="1">IF(Tableau5[[#This Row],[Part_déjà_bénéficiaires]]=1,0,INDEX($C$214:$AA$227,MATCH(D108,$C$214:$C$227,0),MATCH(J$99,$C$213:$AA$213,0)))</f>
        <v>0</v>
      </c>
      <c r="K108" s="54">
        <f ca="1">IFERROR(IF(Tableau5[[#This Row],[Part_déjà_bénéficiaires]]=1,0,INDEX($C$214:$AA$227,MATCH(D108,$C$214:$C$227,0),MATCH(_xlfn.CONCAT(K$99,$F$234),$C$213:$AA$213,0))),0)</f>
        <v>0</v>
      </c>
      <c r="L108" s="54" t="str">
        <f>IF(Tableau5[[#This Row],[Part_déjà_bénéficiaires]]=1,"Déjà en place dans l'entreprise",INDEX($C$214:$AA$227,MATCH(D108,$C$214:$C$227,0),MATCH(L$99,$C$213:$AA$213,0)))</f>
        <v>Nombre de sites concernés * Coût moyen de pose d'une douche (2 310€) / 15 ans d'amortissement</v>
      </c>
    </row>
    <row r="109" spans="3:12" x14ac:dyDescent="0.25">
      <c r="C109" t="s">
        <v>107</v>
      </c>
      <c r="D109" t="s">
        <v>180</v>
      </c>
      <c r="E109" t="e">
        <f t="shared" ca="1" si="1"/>
        <v>#NAME?</v>
      </c>
      <c r="F109" s="54" cm="1">
        <f t="array" ref="F109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09" s="54" cm="1">
        <f t="array" ref="G109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09" s="54" cm="1">
        <f t="array" ref="H109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09" s="54">
        <f>INDEX('Données_d''entrée'!$D$57:$F$70,MATCH(Tableau5[[#This Row],[Actions]],'Données_d''entrée'!$D$57:$D$70,0),3)</f>
        <v>0</v>
      </c>
      <c r="J109" s="54">
        <f ca="1">IF(Tableau5[[#This Row],[Part_déjà_bénéficiaires]]=1,0,INDEX($C$214:$AA$227,MATCH(D109,$C$214:$C$227,0),MATCH(J$99,$C$213:$AA$213,0)))</f>
        <v>0</v>
      </c>
      <c r="K109" s="54">
        <f ca="1">IFERROR(IF(Tableau5[[#This Row],[Part_déjà_bénéficiaires]]=1,0,INDEX($C$214:$AA$227,MATCH(D109,$C$214:$C$227,0),MATCH(_xlfn.CONCAT(K$99,$F$234),$C$213:$AA$213,0))),0)</f>
        <v>0</v>
      </c>
      <c r="L109" s="54" t="str">
        <f>IF(Tableau5[[#This Row],[Part_déjà_bénéficiaires]]=1,"Déjà en place dans l'entreprise",INDEX($C$214:$AA$227,MATCH(D109,$C$214:$C$227,0),MATCH(L$99,$C$213:$AA$213,0)))</f>
        <v>Coût moyen du forfait mobilité durable : 400€ * Nombre de salariés convertis à l'APS * Part intéressée par l'offre (50%)</v>
      </c>
    </row>
    <row r="110" spans="3:12" x14ac:dyDescent="0.25">
      <c r="C110" t="s">
        <v>107</v>
      </c>
      <c r="D110" t="s">
        <v>182</v>
      </c>
      <c r="E110" t="e">
        <f t="shared" ca="1" si="1"/>
        <v>#NAME?</v>
      </c>
      <c r="F110" s="54" cm="1">
        <f t="array" ref="F110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0" s="54" cm="1">
        <f t="array" ref="G110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0" s="54" cm="1">
        <f t="array" ref="H110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0" s="54">
        <f>INDEX('Données_d''entrée'!$D$57:$F$70,MATCH(Tableau5[[#This Row],[Actions]],'Données_d''entrée'!$D$57:$D$70,0),3)</f>
        <v>0</v>
      </c>
      <c r="J110" s="54">
        <f ca="1">IF(Tableau5[[#This Row],[Part_déjà_bénéficiaires]]=1,0,INDEX($C$214:$AA$227,MATCH(D110,$C$214:$C$227,0),MATCH(J$99,$C$213:$AA$213,0)))</f>
        <v>0</v>
      </c>
      <c r="K110" s="54">
        <f ca="1">IFERROR(IF(Tableau5[[#This Row],[Part_déjà_bénéficiaires]]=1,0,INDEX($C$214:$AA$227,MATCH(D110,$C$214:$C$227,0),MATCH(_xlfn.CONCAT(K$99,$F$234),$C$213:$AA$213,0))),0)</f>
        <v>0</v>
      </c>
      <c r="L110" s="54" t="str">
        <f>IF(Tableau5[[#This Row],[Part_déjà_bénéficiaires]]=1,"Déjà en place dans l'entreprise",INDEX($C$214:$AA$227,MATCH(D110,$C$214:$C$227,0),MATCH(L$99,$C$213:$AA$213,0)))</f>
        <v>Salaire brut horaire moyen * (2h de recherches + 5h de prise de contact) * 1 personne mobilisée * Nombre de sites concernés</v>
      </c>
    </row>
    <row r="111" spans="3:12" x14ac:dyDescent="0.25">
      <c r="C111" t="s">
        <v>107</v>
      </c>
      <c r="D111" t="s">
        <v>173</v>
      </c>
      <c r="E111" t="e">
        <f t="shared" ca="1" si="1"/>
        <v>#NAME?</v>
      </c>
      <c r="F111" s="54" cm="1">
        <f t="array" ref="F11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1" s="54" cm="1">
        <f t="array" ref="G11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1" s="54" cm="1">
        <f t="array" ref="H11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1" s="54">
        <f>INDEX('Données_d''entrée'!$D$57:$F$70,MATCH(Tableau5[[#This Row],[Actions]],'Données_d''entrée'!$D$57:$D$70,0),3)</f>
        <v>0</v>
      </c>
      <c r="J111" s="54">
        <f ca="1">IF(Tableau5[[#This Row],[Part_déjà_bénéficiaires]]=1,0,INDEX($C$214:$AA$227,MATCH(D111,$C$214:$C$227,0),MATCH(J$99,$C$213:$AA$213,0)))</f>
        <v>0</v>
      </c>
      <c r="K111" s="54">
        <f ca="1">IFERROR(IF(Tableau5[[#This Row],[Part_déjà_bénéficiaires]]=1,0,INDEX($C$214:$AA$227,MATCH(D111,$C$214:$C$227,0),MATCH(_xlfn.CONCAT(K$99,$F$234),$C$213:$AA$213,0))),0)</f>
        <v>0</v>
      </c>
      <c r="L111" s="54" t="str">
        <f>IF(Tableau5[[#This Row],[Part_déjà_bénéficiaires]]=1,"Déjà en place dans l'entreprise",INDEX($C$214:$AA$227,MATCH(D111,$C$214:$C$227,0),MATCH(L$99,$C$213:$AA$213,0)))</f>
        <v>Inscription à un marathon local : 80€ * Nombre de personnes converties * Part intéressée par le marathon (50%)</v>
      </c>
    </row>
    <row r="112" spans="3:12" x14ac:dyDescent="0.25">
      <c r="C112" t="s">
        <v>107</v>
      </c>
      <c r="D112" t="s">
        <v>184</v>
      </c>
      <c r="E112" t="e">
        <f t="shared" ca="1" si="1"/>
        <v>#NAME?</v>
      </c>
      <c r="F112" s="54" cm="1">
        <f t="array" ref="F112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2" s="54" cm="1">
        <f t="array" ref="G112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2" s="54" cm="1">
        <f t="array" ref="H112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2" s="54">
        <f>INDEX('Données_d''entrée'!$D$57:$F$70,MATCH(Tableau5[[#This Row],[Actions]],'Données_d''entrée'!$D$57:$D$70,0),3)</f>
        <v>0</v>
      </c>
      <c r="J112" s="54">
        <f>IF(Tableau5[[#This Row],[Part_déjà_bénéficiaires]]=1,0,INDEX($C$214:$AA$227,MATCH(D112,$C$214:$C$227,0),MATCH(J$99,$C$213:$AA$213,0)))</f>
        <v>1122.1978021978023</v>
      </c>
      <c r="K112" s="54">
        <f ca="1">IFERROR(IF(Tableau5[[#This Row],[Part_déjà_bénéficiaires]]=1,0,INDEX($C$214:$AA$227,MATCH(D112,$C$214:$C$227,0),MATCH(_xlfn.CONCAT(K$99,$F$234),$C$213:$AA$213,0))),0)</f>
        <v>0</v>
      </c>
      <c r="L112" s="54" t="str">
        <f>IF(Tableau5[[#This Row],[Part_déjà_bénéficiaires]]=1,"Déjà en place dans l'entreprise",INDEX($C$214:$AA$227,MATCH(D112,$C$214:$C$227,0),MATCH(L$99,$C$213:$AA$213,0)))</f>
        <v>Coût de rédaction des statuts par un professionnel (500€, la première année seulement) + Coût de l'assurance responsabilité civile (100€ / an) + Salaire brut horaire moyen * (2h par mois) * 1 personne mobilisée</v>
      </c>
    </row>
    <row r="113" spans="3:12" x14ac:dyDescent="0.25">
      <c r="C113" t="s">
        <v>108</v>
      </c>
      <c r="D113" t="s">
        <v>174</v>
      </c>
      <c r="E113" t="e">
        <f t="shared" ca="1" si="1"/>
        <v>#NAME?</v>
      </c>
      <c r="F113" s="54" cm="1">
        <f t="array" ref="F113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3" s="54" cm="1">
        <f t="array" ref="G113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3" s="54" cm="1">
        <f t="array" ref="H113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3" s="54">
        <f>INDEX('Données_d''entrée'!$D$57:$F$70,MATCH(Tableau5[[#This Row],[Actions]],'Données_d''entrée'!$D$57:$D$70,0),3)</f>
        <v>0</v>
      </c>
      <c r="J113" s="54">
        <f>IF(Tableau5[[#This Row],[Part_déjà_bénéficiaires]]=1,0,INDEX($C$214:$AA$227,MATCH(D113,$C$214:$C$227,0),MATCH(J$99,$C$213:$AA$213,0)))</f>
        <v>0</v>
      </c>
      <c r="K113" s="54">
        <f ca="1">IFERROR(IF(Tableau5[[#This Row],[Part_déjà_bénéficiaires]]=1,0,INDEX($C$214:$AA$227,MATCH(D113,$C$214:$C$227,0),MATCH(_xlfn.CONCAT(K$99,$F$234),$C$213:$AA$213,0))),0)</f>
        <v>0</v>
      </c>
      <c r="L113" s="54" t="str">
        <f>IF(Tableau5[[#This Row],[Part_déjà_bénéficiaires]]=1,"Déjà en place dans l'entreprise",INDEX($C$214:$AA$227,MATCH(D113,$C$214:$C$227,0),MATCH(L$99,$C$213:$AA$213,0)))</f>
        <v>Nous considérons que ces ateliers sont animés en interne, par un salarié volontaire</v>
      </c>
    </row>
    <row r="114" spans="3:12" x14ac:dyDescent="0.25">
      <c r="C114" t="s">
        <v>108</v>
      </c>
      <c r="D114" t="s">
        <v>175</v>
      </c>
      <c r="E114" t="e">
        <f t="shared" ca="1" si="1"/>
        <v>#NAME?</v>
      </c>
      <c r="F114" s="54" cm="1">
        <f t="array" ref="F114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4" s="54" cm="1">
        <f t="array" ref="G114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4" s="54" cm="1">
        <f t="array" ref="H114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4" s="54">
        <f>INDEX('Données_d''entrée'!$D$57:$F$70,MATCH(Tableau5[[#This Row],[Actions]],'Données_d''entrée'!$D$57:$D$70,0),3)</f>
        <v>0</v>
      </c>
      <c r="J114" s="54">
        <f ca="1">IF(Tableau5[[#This Row],[Part_déjà_bénéficiaires]]=1,0,INDEX($C$214:$AA$227,MATCH(D114,$C$214:$C$227,0),MATCH(J$99,$C$213:$AA$213,0)))</f>
        <v>0</v>
      </c>
      <c r="K114" s="54">
        <f ca="1">IFERROR(IF(Tableau5[[#This Row],[Part_déjà_bénéficiaires]]=1,0,INDEX($C$214:$AA$227,MATCH(D114,$C$214:$C$227,0),MATCH(_xlfn.CONCAT(K$99,$F$234),$C$213:$AA$213,0))),0)</f>
        <v>0</v>
      </c>
      <c r="L114" s="54" t="str">
        <f>IF(Tableau5[[#This Row],[Part_déjà_bénéficiaires]]=1,"Déjà en place dans l'entreprise",INDEX($C$214:$AA$227,MATCH(D114,$C$214:$C$227,0),MATCH(L$99,$C$213:$AA$213,0)))</f>
        <v>Salaire brut horaire moyen * [(4h de recherches d'informations) * 1 personne mobilisée + (1h d'affichage * 1 personne mobilisée * Nombre de sites)]</v>
      </c>
    </row>
    <row r="115" spans="3:12" x14ac:dyDescent="0.25">
      <c r="C115" t="s">
        <v>108</v>
      </c>
      <c r="D115" t="s">
        <v>176</v>
      </c>
      <c r="E115" t="e">
        <f t="shared" ca="1" si="1"/>
        <v>#NAME?</v>
      </c>
      <c r="F115" s="54" cm="1">
        <f t="array" ref="F115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5" s="54" cm="1">
        <f t="array" ref="G115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5" s="54" cm="1">
        <f t="array" ref="H115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5" s="54">
        <f>INDEX('Données_d''entrée'!$D$57:$F$70,MATCH(Tableau5[[#This Row],[Actions]],'Données_d''entrée'!$D$57:$D$70,0),3)</f>
        <v>0</v>
      </c>
      <c r="J115" s="54">
        <f ca="1">IF(Tableau5[[#This Row],[Part_déjà_bénéficiaires]]=1,0,INDEX($C$214:$AA$227,MATCH(D115,$C$214:$C$227,0),MATCH(J$99,$C$213:$AA$213,0)))</f>
        <v>0</v>
      </c>
      <c r="K115" s="54">
        <f ca="1">IFERROR(IF(Tableau5[[#This Row],[Part_déjà_bénéficiaires]]=1,0,INDEX($C$214:$AA$227,MATCH(D115,$C$214:$C$227,0),MATCH(_xlfn.CONCAT(K$99,$F$234),$C$213:$AA$213,0))),0)</f>
        <v>0</v>
      </c>
      <c r="L115" s="54" t="str">
        <f>IF(Tableau5[[#This Row],[Part_déjà_bénéficiaires]]=1,"Déjà en place dans l'entreprise",INDEX($C$214:$AA$227,MATCH(D115,$C$214:$C$227,0),MATCH(L$99,$C$213:$AA$213,0)))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116" spans="3:12" x14ac:dyDescent="0.25">
      <c r="C116" t="s">
        <v>108</v>
      </c>
      <c r="D116" t="s">
        <v>178</v>
      </c>
      <c r="E116" t="e">
        <f t="shared" ca="1" si="1"/>
        <v>#NAME?</v>
      </c>
      <c r="F116" s="54" cm="1">
        <f t="array" ref="F116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6" s="54" cm="1">
        <f t="array" ref="G116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6" s="54" cm="1">
        <f t="array" ref="H116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6" s="54">
        <f>INDEX('Données_d''entrée'!$D$57:$F$70,MATCH(Tableau5[[#This Row],[Actions]],'Données_d''entrée'!$D$57:$D$70,0),3)</f>
        <v>0</v>
      </c>
      <c r="J116" s="54">
        <f ca="1">IF(Tableau5[[#This Row],[Part_déjà_bénéficiaires]]=1,0,INDEX($C$214:$AA$227,MATCH(D116,$C$214:$C$227,0),MATCH(J$99,$C$213:$AA$213,0)))</f>
        <v>0</v>
      </c>
      <c r="K116" s="54">
        <f ca="1">IFERROR(IF(Tableau5[[#This Row],[Part_déjà_bénéficiaires]]=1,0,INDEX($C$214:$AA$227,MATCH(D116,$C$214:$C$227,0),MATCH(_xlfn.CONCAT(K$99,$F$234),$C$213:$AA$213,0))),0)</f>
        <v>0</v>
      </c>
      <c r="L116" s="54" t="str">
        <f>IF(Tableau5[[#This Row],[Part_déjà_bénéficiaires]]=1,"Déjà en place dans l'entreprise",INDEX($C$214:$AA$227,MATCH(D116,$C$214:$C$227,0),MATCH(L$99,$C$213:$AA$213,0)))</f>
        <v>Nombre de sites concernés * Coût d'un abri vélo collectif (2 500€) / 10 ans d'amortissement</v>
      </c>
    </row>
    <row r="117" spans="3:12" x14ac:dyDescent="0.25">
      <c r="C117" t="s">
        <v>108</v>
      </c>
      <c r="D117" t="s">
        <v>179</v>
      </c>
      <c r="E117" t="e">
        <f t="shared" ca="1" si="1"/>
        <v>#NAME?</v>
      </c>
      <c r="F117" s="54" cm="1">
        <f t="array" ref="F117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7" s="54" cm="1">
        <f t="array" ref="G117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7" s="54" cm="1">
        <f t="array" ref="H117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7" s="54">
        <f>INDEX('Données_d''entrée'!$D$57:$F$70,MATCH(Tableau5[[#This Row],[Actions]],'Données_d''entrée'!$D$57:$D$70,0),3)</f>
        <v>0</v>
      </c>
      <c r="J117" s="54">
        <f ca="1">IF(Tableau5[[#This Row],[Part_déjà_bénéficiaires]]=1,0,INDEX($C$214:$AA$227,MATCH(D117,$C$214:$C$227,0),MATCH(J$99,$C$213:$AA$213,0)))</f>
        <v>0</v>
      </c>
      <c r="K117" s="54">
        <f ca="1">IFERROR(IF(Tableau5[[#This Row],[Part_déjà_bénéficiaires]]=1,0,INDEX($C$214:$AA$227,MATCH(D117,$C$214:$C$227,0),MATCH(_xlfn.CONCAT(K$99,$F$234),$C$213:$AA$213,0))),0)</f>
        <v>0</v>
      </c>
      <c r="L117" s="54" t="str">
        <f>IF(Tableau5[[#This Row],[Part_déjà_bénéficiaires]]=1,"Déjà en place dans l'entreprise",INDEX($C$214:$AA$227,MATCH(D117,$C$214:$C$227,0),MATCH(L$99,$C$213:$AA$213,0)))</f>
        <v>Nombre de sites concernés * Coût moyen de pose d'une douche (2 310€) / 15 ans d'amortissement</v>
      </c>
    </row>
    <row r="118" spans="3:12" x14ac:dyDescent="0.25">
      <c r="C118" t="s">
        <v>108</v>
      </c>
      <c r="D118" t="s">
        <v>180</v>
      </c>
      <c r="E118" t="e">
        <f t="shared" ca="1" si="1"/>
        <v>#NAME?</v>
      </c>
      <c r="F118" s="54" cm="1">
        <f t="array" ref="F118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8" s="54" cm="1">
        <f t="array" ref="G118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8" s="54" cm="1">
        <f t="array" ref="H118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8" s="54">
        <f>INDEX('Données_d''entrée'!$D$57:$F$70,MATCH(Tableau5[[#This Row],[Actions]],'Données_d''entrée'!$D$57:$D$70,0),3)</f>
        <v>0</v>
      </c>
      <c r="J118" s="54">
        <f ca="1">IF(Tableau5[[#This Row],[Part_déjà_bénéficiaires]]=1,0,INDEX($C$214:$AA$227,MATCH(D118,$C$214:$C$227,0),MATCH(J$99,$C$213:$AA$213,0)))</f>
        <v>0</v>
      </c>
      <c r="K118" s="54">
        <f ca="1">IFERROR(IF(Tableau5[[#This Row],[Part_déjà_bénéficiaires]]=1,0,INDEX($C$214:$AA$227,MATCH(D118,$C$214:$C$227,0),MATCH(_xlfn.CONCAT(K$99,$F$234),$C$213:$AA$213,0))),0)</f>
        <v>0</v>
      </c>
      <c r="L118" s="54" t="str">
        <f>IF(Tableau5[[#This Row],[Part_déjà_bénéficiaires]]=1,"Déjà en place dans l'entreprise",INDEX($C$214:$AA$227,MATCH(D118,$C$214:$C$227,0),MATCH(L$99,$C$213:$AA$213,0)))</f>
        <v>Coût moyen du forfait mobilité durable : 400€ * Nombre de salariés convertis à l'APS * Part intéressée par l'offre (50%)</v>
      </c>
    </row>
    <row r="119" spans="3:12" x14ac:dyDescent="0.25">
      <c r="C119" t="s">
        <v>108</v>
      </c>
      <c r="D119" t="s">
        <v>181</v>
      </c>
      <c r="E119" t="e">
        <f t="shared" ca="1" si="1"/>
        <v>#NAME?</v>
      </c>
      <c r="F119" s="54" cm="1">
        <f t="array" ref="F119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19" s="54" cm="1">
        <f t="array" ref="G119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19" s="54" cm="1">
        <f t="array" ref="H119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19" s="54">
        <f>INDEX('Données_d''entrée'!$D$57:$F$70,MATCH(Tableau5[[#This Row],[Actions]],'Données_d''entrée'!$D$57:$D$70,0),3)</f>
        <v>0</v>
      </c>
      <c r="J119" s="54">
        <f ca="1">IF(Tableau5[[#This Row],[Part_déjà_bénéficiaires]]=1,0,INDEX($C$214:$AA$227,MATCH(D119,$C$214:$C$227,0),MATCH(J$99,$C$213:$AA$213,0)))</f>
        <v>0</v>
      </c>
      <c r="K119" s="54">
        <f ca="1">IFERROR(IF(Tableau5[[#This Row],[Part_déjà_bénéficiaires]]=1,0,INDEX($C$214:$AA$227,MATCH(D119,$C$214:$C$227,0),MATCH(_xlfn.CONCAT(K$99,$F$234),$C$213:$AA$213,0))),0)</f>
        <v>0</v>
      </c>
      <c r="L119" s="54" t="str">
        <f>IF(Tableau5[[#This Row],[Part_déjà_bénéficiaires]]=1,"Déjà en place dans l'entreprise",INDEX($C$214:$AA$227,MATCH(D119,$C$214:$C$227,0),MATCH(L$99,$C$213:$AA$213,0)))</f>
        <v>Coût d'un abonnement Gymlib * Part payée par l'employeur (50%) * Nombre de salariés concernés * 12 mois</v>
      </c>
    </row>
    <row r="120" spans="3:12" x14ac:dyDescent="0.25">
      <c r="C120" t="s">
        <v>108</v>
      </c>
      <c r="D120" t="s">
        <v>173</v>
      </c>
      <c r="E120" t="e">
        <f t="shared" ca="1" si="1"/>
        <v>#NAME?</v>
      </c>
      <c r="F120" s="54" cm="1">
        <f t="array" ref="F120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0" s="54" cm="1">
        <f t="array" ref="G120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0" s="54" cm="1">
        <f t="array" ref="H120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0" s="54">
        <f>INDEX('Données_d''entrée'!$D$57:$F$70,MATCH(Tableau5[[#This Row],[Actions]],'Données_d''entrée'!$D$57:$D$70,0),3)</f>
        <v>0</v>
      </c>
      <c r="J120" s="54">
        <f ca="1">IF(Tableau5[[#This Row],[Part_déjà_bénéficiaires]]=1,0,INDEX($C$214:$AA$227,MATCH(D120,$C$214:$C$227,0),MATCH(J$99,$C$213:$AA$213,0)))</f>
        <v>0</v>
      </c>
      <c r="K120" s="54">
        <f ca="1">IFERROR(IF(Tableau5[[#This Row],[Part_déjà_bénéficiaires]]=1,0,INDEX($C$214:$AA$227,MATCH(D120,$C$214:$C$227,0),MATCH(_xlfn.CONCAT(K$99,$F$234),$C$213:$AA$213,0))),0)</f>
        <v>0</v>
      </c>
      <c r="L120" s="54" t="str">
        <f>IF(Tableau5[[#This Row],[Part_déjà_bénéficiaires]]=1,"Déjà en place dans l'entreprise",INDEX($C$214:$AA$227,MATCH(D120,$C$214:$C$227,0),MATCH(L$99,$C$213:$AA$213,0)))</f>
        <v>Inscription à un marathon local : 80€ * Nombre de personnes converties * Part intéressée par le marathon (50%)</v>
      </c>
    </row>
    <row r="121" spans="3:12" x14ac:dyDescent="0.25">
      <c r="C121" t="s">
        <v>108</v>
      </c>
      <c r="D121" t="s">
        <v>184</v>
      </c>
      <c r="E121" t="e">
        <f t="shared" ca="1" si="1"/>
        <v>#NAME?</v>
      </c>
      <c r="F121" s="54" cm="1">
        <f t="array" ref="F12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1" s="54" cm="1">
        <f t="array" ref="G12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1" s="54" cm="1">
        <f t="array" ref="H12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1" s="54">
        <f>INDEX('Données_d''entrée'!$D$57:$F$70,MATCH(Tableau5[[#This Row],[Actions]],'Données_d''entrée'!$D$57:$D$70,0),3)</f>
        <v>0</v>
      </c>
      <c r="J121" s="54">
        <f>IF(Tableau5[[#This Row],[Part_déjà_bénéficiaires]]=1,0,INDEX($C$214:$AA$227,MATCH(D121,$C$214:$C$227,0),MATCH(J$99,$C$213:$AA$213,0)))</f>
        <v>1122.1978021978023</v>
      </c>
      <c r="K121" s="54">
        <f ca="1">IFERROR(IF(Tableau5[[#This Row],[Part_déjà_bénéficiaires]]=1,0,INDEX($C$214:$AA$227,MATCH(D121,$C$214:$C$227,0),MATCH(_xlfn.CONCAT(K$99,$F$234),$C$213:$AA$213,0))),0)</f>
        <v>0</v>
      </c>
      <c r="L121" s="54" t="str">
        <f>IF(Tableau5[[#This Row],[Part_déjà_bénéficiaires]]=1,"Déjà en place dans l'entreprise",INDEX($C$214:$AA$227,MATCH(D121,$C$214:$C$227,0),MATCH(L$99,$C$213:$AA$213,0)))</f>
        <v>Coût de rédaction des statuts par un professionnel (500€, la première année seulement) + Coût de l'assurance responsabilité civile (100€ / an) + Salaire brut horaire moyen * (2h par mois) * 1 personne mobilisée</v>
      </c>
    </row>
    <row r="122" spans="3:12" x14ac:dyDescent="0.25">
      <c r="C122" t="s">
        <v>108</v>
      </c>
      <c r="D122" t="s">
        <v>177</v>
      </c>
      <c r="E122" t="e">
        <f t="shared" ca="1" si="1"/>
        <v>#NAME?</v>
      </c>
      <c r="F122" s="54" cm="1">
        <f t="array" ref="F122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2" s="54" cm="1">
        <f t="array" ref="G122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2" s="54" cm="1">
        <f t="array" ref="H122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2" s="54">
        <f>INDEX('Données_d''entrée'!$D$57:$F$70,MATCH(Tableau5[[#This Row],[Actions]],'Données_d''entrée'!$D$57:$D$70,0),3)</f>
        <v>0</v>
      </c>
      <c r="J122" s="54">
        <f>IF(Tableau5[[#This Row],[Part_déjà_bénéficiaires]]=1,0,INDEX($C$214:$AA$227,MATCH(D122,$C$214:$C$227,0),MATCH(J$99,$C$213:$AA$213,0)))</f>
        <v>0</v>
      </c>
      <c r="K122" s="54">
        <f ca="1">IFERROR(IF(Tableau5[[#This Row],[Part_déjà_bénéficiaires]]=1,0,INDEX($C$214:$AA$227,MATCH(D122,$C$214:$C$227,0),MATCH(_xlfn.CONCAT(K$99,$F$234),$C$213:$AA$213,0))),0)</f>
        <v>0</v>
      </c>
      <c r="L122" s="54" t="str">
        <f>IF(Tableau5[[#This Row],[Part_déjà_bénéficiaires]]=1,"Déjà en place dans l'entreprise",INDEX($C$214:$AA$227,MATCH(D122,$C$214:$C$227,0),MATCH(L$99,$C$213:$AA$213,0)))</f>
        <v>Le salarié compense la flexibilité</v>
      </c>
    </row>
    <row r="123" spans="3:12" x14ac:dyDescent="0.25">
      <c r="C123" t="s">
        <v>108</v>
      </c>
      <c r="D123" t="s">
        <v>186</v>
      </c>
      <c r="E123" t="e">
        <f t="shared" ca="1" si="1"/>
        <v>#NAME?</v>
      </c>
      <c r="F123" s="54" cm="1">
        <f t="array" ref="F123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3" s="54" cm="1">
        <f t="array" ref="G123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3" s="54" cm="1">
        <f t="array" ref="H123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3" s="54">
        <f>INDEX('Données_d''entrée'!$D$57:$F$70,MATCH(Tableau5[[#This Row],[Actions]],'Données_d''entrée'!$D$57:$D$70,0),3)</f>
        <v>0</v>
      </c>
      <c r="J123" s="54">
        <f ca="1">IF(Tableau5[[#This Row],[Part_déjà_bénéficiaires]]=1,0,INDEX($C$214:$AA$227,MATCH(D123,$C$214:$C$227,0),MATCH(J$99,$C$213:$AA$213,0)))</f>
        <v>0</v>
      </c>
      <c r="K123" s="54">
        <f ca="1">IFERROR(IF(Tableau5[[#This Row],[Part_déjà_bénéficiaires]]=1,0,INDEX($C$214:$AA$227,MATCH(D123,$C$214:$C$227,0),MATCH(_xlfn.CONCAT(K$99,$F$234),$C$213:$AA$213,0))),0)</f>
        <v>0</v>
      </c>
      <c r="L123" s="54" t="str">
        <f>IF(Tableau5[[#This Row],[Part_déjà_bénéficiaires]]=1,"Déjà en place dans l'entreprise",INDEX($C$214:$AA$227,MATCH(D123,$C$214:$C$227,0),MATCH(L$99,$C$213:$AA$213,0)))</f>
        <v>1h30 libérée par semaine * Nombre de semaines travaillées * Salaire horaire brut moyen * Nombre de salariés convertis à l'APS grâce au plan global * Part utilisant le créneau ainsi libéré (70%)</v>
      </c>
    </row>
    <row r="124" spans="3:12" x14ac:dyDescent="0.25">
      <c r="C124" t="s">
        <v>109</v>
      </c>
      <c r="D124" t="s">
        <v>174</v>
      </c>
      <c r="E124" t="e">
        <f t="shared" ca="1" si="1"/>
        <v>#NAME?</v>
      </c>
      <c r="F124" s="54" cm="1">
        <f t="array" ref="F124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4" s="54" cm="1">
        <f t="array" ref="G124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4" s="54" cm="1">
        <f t="array" ref="H124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4" s="54">
        <f>INDEX('Données_d''entrée'!$D$57:$F$70,MATCH(Tableau5[[#This Row],[Actions]],'Données_d''entrée'!$D$57:$D$70,0),3)</f>
        <v>0</v>
      </c>
      <c r="J124" s="54">
        <f>IF(Tableau5[[#This Row],[Part_déjà_bénéficiaires]]=1,0,INDEX($C$214:$AA$227,MATCH(D124,$C$214:$C$227,0),MATCH(J$99,$C$213:$AA$213,0)))</f>
        <v>0</v>
      </c>
      <c r="K124" s="54">
        <f ca="1">IFERROR(IF(Tableau5[[#This Row],[Part_déjà_bénéficiaires]]=1,0,INDEX($C$214:$AA$227,MATCH(D124,$C$214:$C$227,0),MATCH(_xlfn.CONCAT(K$99,$F$234),$C$213:$AA$213,0))),0)</f>
        <v>0</v>
      </c>
      <c r="L124" s="54" t="str">
        <f>IF(Tableau5[[#This Row],[Part_déjà_bénéficiaires]]=1,"Déjà en place dans l'entreprise",INDEX($C$214:$AA$227,MATCH(D124,$C$214:$C$227,0),MATCH(L$99,$C$213:$AA$213,0)))</f>
        <v>Nous considérons que ces ateliers sont animés en interne, par un salarié volontaire</v>
      </c>
    </row>
    <row r="125" spans="3:12" x14ac:dyDescent="0.25">
      <c r="C125" t="s">
        <v>109</v>
      </c>
      <c r="D125" t="s">
        <v>175</v>
      </c>
      <c r="E125" t="e">
        <f t="shared" ca="1" si="1"/>
        <v>#NAME?</v>
      </c>
      <c r="F125" s="54" cm="1">
        <f t="array" ref="F125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5" s="54" cm="1">
        <f t="array" ref="G125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5" s="54" cm="1">
        <f t="array" ref="H125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5" s="54">
        <f>INDEX('Données_d''entrée'!$D$57:$F$70,MATCH(Tableau5[[#This Row],[Actions]],'Données_d''entrée'!$D$57:$D$70,0),3)</f>
        <v>0</v>
      </c>
      <c r="J125" s="54">
        <f ca="1">IF(Tableau5[[#This Row],[Part_déjà_bénéficiaires]]=1,0,INDEX($C$214:$AA$227,MATCH(D125,$C$214:$C$227,0),MATCH(J$99,$C$213:$AA$213,0)))</f>
        <v>0</v>
      </c>
      <c r="K125" s="54">
        <f ca="1">IFERROR(IF(Tableau5[[#This Row],[Part_déjà_bénéficiaires]]=1,0,INDEX($C$214:$AA$227,MATCH(D125,$C$214:$C$227,0),MATCH(_xlfn.CONCAT(K$99,$F$234),$C$213:$AA$213,0))),0)</f>
        <v>0</v>
      </c>
      <c r="L125" s="54" t="str">
        <f>IF(Tableau5[[#This Row],[Part_déjà_bénéficiaires]]=1,"Déjà en place dans l'entreprise",INDEX($C$214:$AA$227,MATCH(D125,$C$214:$C$227,0),MATCH(L$99,$C$213:$AA$213,0)))</f>
        <v>Salaire brut horaire moyen * [(4h de recherches d'informations) * 1 personne mobilisée + (1h d'affichage * 1 personne mobilisée * Nombre de sites)]</v>
      </c>
    </row>
    <row r="126" spans="3:12" x14ac:dyDescent="0.25">
      <c r="C126" t="s">
        <v>109</v>
      </c>
      <c r="D126" t="s">
        <v>176</v>
      </c>
      <c r="E126" t="e">
        <f t="shared" ca="1" si="1"/>
        <v>#NAME?</v>
      </c>
      <c r="F126" s="54" cm="1">
        <f t="array" ref="F126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6" s="54" cm="1">
        <f t="array" ref="G126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6" s="54" cm="1">
        <f t="array" ref="H126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6" s="54">
        <f>INDEX('Données_d''entrée'!$D$57:$F$70,MATCH(Tableau5[[#This Row],[Actions]],'Données_d''entrée'!$D$57:$D$70,0),3)</f>
        <v>0</v>
      </c>
      <c r="J126" s="54">
        <f ca="1">IF(Tableau5[[#This Row],[Part_déjà_bénéficiaires]]=1,0,INDEX($C$214:$AA$227,MATCH(D126,$C$214:$C$227,0),MATCH(J$99,$C$213:$AA$213,0)))</f>
        <v>0</v>
      </c>
      <c r="K126" s="54">
        <f ca="1">IFERROR(IF(Tableau5[[#This Row],[Part_déjà_bénéficiaires]]=1,0,INDEX($C$214:$AA$227,MATCH(D126,$C$214:$C$227,0),MATCH(_xlfn.CONCAT(K$99,$F$234),$C$213:$AA$213,0))),0)</f>
        <v>0</v>
      </c>
      <c r="L126" s="54" t="str">
        <f>IF(Tableau5[[#This Row],[Part_déjà_bénéficiaires]]=1,"Déjà en place dans l'entreprise",INDEX($C$214:$AA$227,MATCH(D126,$C$214:$C$227,0),MATCH(L$99,$C$213:$AA$213,0)))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127" spans="3:12" x14ac:dyDescent="0.25">
      <c r="C127" t="s">
        <v>109</v>
      </c>
      <c r="D127" t="s">
        <v>178</v>
      </c>
      <c r="E127" t="e">
        <f t="shared" ca="1" si="1"/>
        <v>#NAME?</v>
      </c>
      <c r="F127" s="54" cm="1">
        <f t="array" ref="F127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7" s="54" cm="1">
        <f t="array" ref="G127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7" s="54" cm="1">
        <f t="array" ref="H127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7" s="54">
        <f>INDEX('Données_d''entrée'!$D$57:$F$70,MATCH(Tableau5[[#This Row],[Actions]],'Données_d''entrée'!$D$57:$D$70,0),3)</f>
        <v>0</v>
      </c>
      <c r="J127" s="54">
        <f ca="1">IF(Tableau5[[#This Row],[Part_déjà_bénéficiaires]]=1,0,INDEX($C$214:$AA$227,MATCH(D127,$C$214:$C$227,0),MATCH(J$99,$C$213:$AA$213,0)))</f>
        <v>0</v>
      </c>
      <c r="K127" s="54">
        <f ca="1">IFERROR(IF(Tableau5[[#This Row],[Part_déjà_bénéficiaires]]=1,0,INDEX($C$214:$AA$227,MATCH(D127,$C$214:$C$227,0),MATCH(_xlfn.CONCAT(K$99,$F$234),$C$213:$AA$213,0))),0)</f>
        <v>0</v>
      </c>
      <c r="L127" s="54" t="str">
        <f>IF(Tableau5[[#This Row],[Part_déjà_bénéficiaires]]=1,"Déjà en place dans l'entreprise",INDEX($C$214:$AA$227,MATCH(D127,$C$214:$C$227,0),MATCH(L$99,$C$213:$AA$213,0)))</f>
        <v>Nombre de sites concernés * Coût d'un abri vélo collectif (2 500€) / 10 ans d'amortissement</v>
      </c>
    </row>
    <row r="128" spans="3:12" x14ac:dyDescent="0.25">
      <c r="C128" t="s">
        <v>109</v>
      </c>
      <c r="D128" t="s">
        <v>179</v>
      </c>
      <c r="E128" t="e">
        <f t="shared" ca="1" si="1"/>
        <v>#NAME?</v>
      </c>
      <c r="F128" s="54" cm="1">
        <f t="array" ref="F128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8" s="54" cm="1">
        <f t="array" ref="G128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8" s="54" cm="1">
        <f t="array" ref="H128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8" s="54">
        <f>INDEX('Données_d''entrée'!$D$57:$F$70,MATCH(Tableau5[[#This Row],[Actions]],'Données_d''entrée'!$D$57:$D$70,0),3)</f>
        <v>0</v>
      </c>
      <c r="J128" s="54">
        <f ca="1">IF(Tableau5[[#This Row],[Part_déjà_bénéficiaires]]=1,0,INDEX($C$214:$AA$227,MATCH(D128,$C$214:$C$227,0),MATCH(J$99,$C$213:$AA$213,0)))</f>
        <v>0</v>
      </c>
      <c r="K128" s="54">
        <f ca="1">IFERROR(IF(Tableau5[[#This Row],[Part_déjà_bénéficiaires]]=1,0,INDEX($C$214:$AA$227,MATCH(D128,$C$214:$C$227,0),MATCH(_xlfn.CONCAT(K$99,$F$234),$C$213:$AA$213,0))),0)</f>
        <v>0</v>
      </c>
      <c r="L128" s="54" t="str">
        <f>IF(Tableau5[[#This Row],[Part_déjà_bénéficiaires]]=1,"Déjà en place dans l'entreprise",INDEX($C$214:$AA$227,MATCH(D128,$C$214:$C$227,0),MATCH(L$99,$C$213:$AA$213,0)))</f>
        <v>Nombre de sites concernés * Coût moyen de pose d'une douche (2 310€) / 15 ans d'amortissement</v>
      </c>
    </row>
    <row r="129" spans="3:12" x14ac:dyDescent="0.25">
      <c r="C129" t="s">
        <v>109</v>
      </c>
      <c r="D129" t="s">
        <v>180</v>
      </c>
      <c r="E129" t="e">
        <f t="shared" ca="1" si="1"/>
        <v>#NAME?</v>
      </c>
      <c r="F129" s="54" cm="1">
        <f t="array" ref="F129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29" s="54" cm="1">
        <f t="array" ref="G129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29" s="54" cm="1">
        <f t="array" ref="H129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29" s="54">
        <f>INDEX('Données_d''entrée'!$D$57:$F$70,MATCH(Tableau5[[#This Row],[Actions]],'Données_d''entrée'!$D$57:$D$70,0),3)</f>
        <v>0</v>
      </c>
      <c r="J129" s="54">
        <f ca="1">IF(Tableau5[[#This Row],[Part_déjà_bénéficiaires]]=1,0,INDEX($C$214:$AA$227,MATCH(D129,$C$214:$C$227,0),MATCH(J$99,$C$213:$AA$213,0)))</f>
        <v>0</v>
      </c>
      <c r="K129" s="54">
        <f ca="1">IFERROR(IF(Tableau5[[#This Row],[Part_déjà_bénéficiaires]]=1,0,INDEX($C$214:$AA$227,MATCH(D129,$C$214:$C$227,0),MATCH(_xlfn.CONCAT(K$99,$F$234),$C$213:$AA$213,0))),0)</f>
        <v>0</v>
      </c>
      <c r="L129" s="54" t="str">
        <f>IF(Tableau5[[#This Row],[Part_déjà_bénéficiaires]]=1,"Déjà en place dans l'entreprise",INDEX($C$214:$AA$227,MATCH(D129,$C$214:$C$227,0),MATCH(L$99,$C$213:$AA$213,0)))</f>
        <v>Coût moyen du forfait mobilité durable : 400€ * Nombre de salariés convertis à l'APS * Part intéressée par l'offre (50%)</v>
      </c>
    </row>
    <row r="130" spans="3:12" x14ac:dyDescent="0.25">
      <c r="C130" t="s">
        <v>109</v>
      </c>
      <c r="D130" t="s">
        <v>183</v>
      </c>
      <c r="E130" t="e">
        <f t="shared" ca="1" si="1"/>
        <v>#NAME?</v>
      </c>
      <c r="F130" s="54" cm="1">
        <f t="array" ref="F130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0" s="54" cm="1">
        <f t="array" ref="G130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0" s="54" cm="1">
        <f t="array" ref="H130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0" s="54">
        <f>INDEX('Données_d''entrée'!$D$57:$F$70,MATCH(Tableau5[[#This Row],[Actions]],'Données_d''entrée'!$D$57:$D$70,0),3)</f>
        <v>0</v>
      </c>
      <c r="J130" s="54">
        <f ca="1">IF(Tableau5[[#This Row],[Part_déjà_bénéficiaires]]=1,0,INDEX($C$214:$AA$227,MATCH(D130,$C$214:$C$227,0),MATCH(J$99,$C$213:$AA$213,0)))</f>
        <v>0</v>
      </c>
      <c r="K130" s="54">
        <f ca="1">IFERROR(IF(Tableau5[[#This Row],[Part_déjà_bénéficiaires]]=1,0,INDEX($C$214:$AA$227,MATCH(D130,$C$214:$C$227,0),MATCH(_xlfn.CONCAT(K$99,$F$234),$C$213:$AA$213,0))),0)</f>
        <v>0</v>
      </c>
      <c r="L130" s="54" t="str">
        <f>IF(Tableau5[[#This Row],[Part_déjà_bénéficiaires]]=1,"Déjà en place dans l'entreprise",INDEX($C$214:$AA$227,MATCH(D130,$C$214:$C$227,0),MATCH(L$99,$C$213:$AA$213,0)))</f>
        <v>Nombre de sites concernés * Coût minimum d'une salle de sport (100k€) / 15 ans d'amortissement</v>
      </c>
    </row>
    <row r="131" spans="3:12" x14ac:dyDescent="0.25">
      <c r="C131" t="s">
        <v>109</v>
      </c>
      <c r="D131" t="s">
        <v>173</v>
      </c>
      <c r="E131" t="e">
        <f t="shared" ca="1" si="1"/>
        <v>#NAME?</v>
      </c>
      <c r="F131" s="54" cm="1">
        <f t="array" ref="F13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1" s="54" cm="1">
        <f t="array" ref="G13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1" s="54" cm="1">
        <f t="array" ref="H13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1" s="54">
        <f>INDEX('Données_d''entrée'!$D$57:$F$70,MATCH(Tableau5[[#This Row],[Actions]],'Données_d''entrée'!$D$57:$D$70,0),3)</f>
        <v>0</v>
      </c>
      <c r="J131" s="54">
        <f ca="1">IF(Tableau5[[#This Row],[Part_déjà_bénéficiaires]]=1,0,INDEX($C$214:$AA$227,MATCH(D131,$C$214:$C$227,0),MATCH(J$99,$C$213:$AA$213,0)))</f>
        <v>0</v>
      </c>
      <c r="K131" s="54">
        <f ca="1">IFERROR(IF(Tableau5[[#This Row],[Part_déjà_bénéficiaires]]=1,0,INDEX($C$214:$AA$227,MATCH(D131,$C$214:$C$227,0),MATCH(_xlfn.CONCAT(K$99,$F$234),$C$213:$AA$213,0))),0)</f>
        <v>0</v>
      </c>
      <c r="L131" s="54" t="str">
        <f>IF(Tableau5[[#This Row],[Part_déjà_bénéficiaires]]=1,"Déjà en place dans l'entreprise",INDEX($C$214:$AA$227,MATCH(D131,$C$214:$C$227,0),MATCH(L$99,$C$213:$AA$213,0)))</f>
        <v>Inscription à un marathon local : 80€ * Nombre de personnes converties * Part intéressée par le marathon (50%)</v>
      </c>
    </row>
    <row r="132" spans="3:12" x14ac:dyDescent="0.25">
      <c r="C132" t="s">
        <v>109</v>
      </c>
      <c r="D132" t="s">
        <v>184</v>
      </c>
      <c r="E132" t="e">
        <f t="shared" ref="E132:E149" ca="1" si="2">$E$67</f>
        <v>#NAME?</v>
      </c>
      <c r="F132" s="54" cm="1">
        <f t="array" ref="F132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2" s="54" cm="1">
        <f t="array" ref="G132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2" s="54" cm="1">
        <f t="array" ref="H132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2" s="54">
        <f>INDEX('Données_d''entrée'!$D$57:$F$70,MATCH(Tableau5[[#This Row],[Actions]],'Données_d''entrée'!$D$57:$D$70,0),3)</f>
        <v>0</v>
      </c>
      <c r="J132" s="54">
        <f>IF(Tableau5[[#This Row],[Part_déjà_bénéficiaires]]=1,0,INDEX($C$214:$AA$227,MATCH(D132,$C$214:$C$227,0),MATCH(J$99,$C$213:$AA$213,0)))</f>
        <v>1122.1978021978023</v>
      </c>
      <c r="K132" s="54">
        <f ca="1">IFERROR(IF(Tableau5[[#This Row],[Part_déjà_bénéficiaires]]=1,0,INDEX($C$214:$AA$227,MATCH(D132,$C$214:$C$227,0),MATCH(_xlfn.CONCAT(K$99,$F$234),$C$213:$AA$213,0))),0)</f>
        <v>0</v>
      </c>
      <c r="L132" s="54" t="str">
        <f>IF(Tableau5[[#This Row],[Part_déjà_bénéficiaires]]=1,"Déjà en place dans l'entreprise",INDEX($C$214:$AA$227,MATCH(D132,$C$214:$C$227,0),MATCH(L$99,$C$213:$AA$213,0)))</f>
        <v>Coût de rédaction des statuts par un professionnel (500€, la première année seulement) + Coût de l'assurance responsabilité civile (100€ / an) + Salaire brut horaire moyen * (2h par mois) * 1 personne mobilisée</v>
      </c>
    </row>
    <row r="133" spans="3:12" x14ac:dyDescent="0.25">
      <c r="C133" t="s">
        <v>109</v>
      </c>
      <c r="D133" t="s">
        <v>177</v>
      </c>
      <c r="E133" t="e">
        <f t="shared" ca="1" si="2"/>
        <v>#NAME?</v>
      </c>
      <c r="F133" s="54" cm="1">
        <f t="array" ref="F133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3" s="54" cm="1">
        <f t="array" ref="G133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3" s="54" cm="1">
        <f t="array" ref="H133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3" s="54">
        <f>INDEX('Données_d''entrée'!$D$57:$F$70,MATCH(Tableau5[[#This Row],[Actions]],'Données_d''entrée'!$D$57:$D$70,0),3)</f>
        <v>0</v>
      </c>
      <c r="J133" s="54">
        <f>IF(Tableau5[[#This Row],[Part_déjà_bénéficiaires]]=1,0,INDEX($C$214:$AA$227,MATCH(D133,$C$214:$C$227,0),MATCH(J$99,$C$213:$AA$213,0)))</f>
        <v>0</v>
      </c>
      <c r="K133" s="54">
        <f ca="1">IFERROR(IF(Tableau5[[#This Row],[Part_déjà_bénéficiaires]]=1,0,INDEX($C$214:$AA$227,MATCH(D133,$C$214:$C$227,0),MATCH(_xlfn.CONCAT(K$99,$F$234),$C$213:$AA$213,0))),0)</f>
        <v>0</v>
      </c>
      <c r="L133" s="54" t="str">
        <f>IF(Tableau5[[#This Row],[Part_déjà_bénéficiaires]]=1,"Déjà en place dans l'entreprise",INDEX($C$214:$AA$227,MATCH(D133,$C$214:$C$227,0),MATCH(L$99,$C$213:$AA$213,0)))</f>
        <v>Le salarié compense la flexibilité</v>
      </c>
    </row>
    <row r="134" spans="3:12" x14ac:dyDescent="0.25">
      <c r="C134" t="s">
        <v>109</v>
      </c>
      <c r="D134" t="s">
        <v>186</v>
      </c>
      <c r="E134" t="e">
        <f t="shared" ca="1" si="2"/>
        <v>#NAME?</v>
      </c>
      <c r="F134" s="54" cm="1">
        <f t="array" ref="F134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4" s="54" cm="1">
        <f t="array" ref="G134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4" s="54" cm="1">
        <f t="array" ref="H134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4" s="54">
        <f>INDEX('Données_d''entrée'!$D$57:$F$70,MATCH(Tableau5[[#This Row],[Actions]],'Données_d''entrée'!$D$57:$D$70,0),3)</f>
        <v>0</v>
      </c>
      <c r="J134" s="54">
        <f ca="1">IF(Tableau5[[#This Row],[Part_déjà_bénéficiaires]]=1,0,INDEX($C$214:$AA$227,MATCH(D134,$C$214:$C$227,0),MATCH(J$99,$C$213:$AA$213,0)))</f>
        <v>0</v>
      </c>
      <c r="K134" s="54">
        <f ca="1">IFERROR(IF(Tableau5[[#This Row],[Part_déjà_bénéficiaires]]=1,0,INDEX($C$214:$AA$227,MATCH(D134,$C$214:$C$227,0),MATCH(_xlfn.CONCAT(K$99,$F$234),$C$213:$AA$213,0))),0)</f>
        <v>0</v>
      </c>
      <c r="L134" s="54" t="str">
        <f>IF(Tableau5[[#This Row],[Part_déjà_bénéficiaires]]=1,"Déjà en place dans l'entreprise",INDEX($C$214:$AA$227,MATCH(D134,$C$214:$C$227,0),MATCH(L$99,$C$213:$AA$213,0)))</f>
        <v>1h30 libérée par semaine * Nombre de semaines travaillées * Salaire horaire brut moyen * Nombre de salariés convertis à l'APS grâce au plan global * Part utilisant le créneau ainsi libéré (70%)</v>
      </c>
    </row>
    <row r="135" spans="3:12" x14ac:dyDescent="0.25">
      <c r="C135" t="s">
        <v>109</v>
      </c>
      <c r="D135" t="s">
        <v>185</v>
      </c>
      <c r="E135" t="e">
        <f t="shared" ca="1" si="2"/>
        <v>#NAME?</v>
      </c>
      <c r="F135" s="54" cm="1">
        <f t="array" ref="F135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5" s="54" cm="1">
        <f t="array" ref="G135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5" s="54" cm="1">
        <f t="array" ref="H135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5" s="54">
        <f>INDEX('Données_d''entrée'!$D$57:$F$70,MATCH(Tableau5[[#This Row],[Actions]],'Données_d''entrée'!$D$57:$D$70,0),3)</f>
        <v>0</v>
      </c>
      <c r="J135" s="54">
        <f ca="1">IF(Tableau5[[#This Row],[Part_déjà_bénéficiaires]]=1,0,INDEX($C$214:$AA$227,MATCH(D135,$C$214:$C$227,0),MATCH(J$99,$C$213:$AA$213,0)))</f>
        <v>0</v>
      </c>
      <c r="K135" s="54">
        <f ca="1">IFERROR(IF(Tableau5[[#This Row],[Part_déjà_bénéficiaires]]=1,0,INDEX($C$214:$AA$227,MATCH(D135,$C$214:$C$227,0),MATCH(_xlfn.CONCAT(K$99,$F$234),$C$213:$AA$213,0))),0)</f>
        <v>0</v>
      </c>
      <c r="L135" s="54" t="str">
        <f>IF(Tableau5[[#This Row],[Part_déjà_bénéficiaires]]=1,"Déjà en place dans l'entreprise",INDEX($C$214:$AA$227,MATCH(D135,$C$214:$C$227,0),MATCH(L$99,$C$213:$AA$213,0)))</f>
        <v>Coût d'un atelier sport dans l'entreprise : 60-90€ / h * 1 venue par semaine * 2h par séance * Nombre de semaines travaillées * Nombre de sites concernés</v>
      </c>
    </row>
    <row r="136" spans="3:12" x14ac:dyDescent="0.25">
      <c r="C136" t="s">
        <v>190</v>
      </c>
      <c r="D136" t="s">
        <v>173</v>
      </c>
      <c r="E136" t="e">
        <f t="shared" ca="1" si="2"/>
        <v>#NAME?</v>
      </c>
      <c r="F136" s="54" cm="1">
        <f t="array" ref="F136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6" s="54" cm="1">
        <f t="array" ref="G136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6" s="54" cm="1">
        <f t="array" ref="H136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6" s="54">
        <f>INDEX('Données_d''entrée'!$D$57:$F$70,MATCH(Tableau5[[#This Row],[Actions]],'Données_d''entrée'!$D$57:$D$70,0),3)</f>
        <v>0</v>
      </c>
      <c r="J136" s="54">
        <f ca="1">IF(Tableau5[[#This Row],[Part_déjà_bénéficiaires]]=1,0,INDEX($C$214:$AA$227,MATCH(D136,$C$214:$C$227,0),MATCH(J$99,$C$213:$AA$213,0)))</f>
        <v>0</v>
      </c>
      <c r="K136" s="54">
        <f ca="1">IFERROR(IF(Tableau5[[#This Row],[Part_déjà_bénéficiaires]]=1,0,INDEX($C$214:$AA$227,MATCH(D136,$C$214:$C$227,0),MATCH(_xlfn.CONCAT(K$99,$F$234),$C$213:$AA$213,0))),0)</f>
        <v>0</v>
      </c>
      <c r="L136" s="54" t="str">
        <f>IF(Tableau5[[#This Row],[Part_déjà_bénéficiaires]]=1,"Déjà en place dans l'entreprise",INDEX($C$214:$AA$227,MATCH(D136,$C$214:$C$227,0),MATCH(L$99,$C$213:$AA$213,0)))</f>
        <v>Inscription à un marathon local : 80€ * Nombre de personnes converties * Part intéressée par le marathon (50%)</v>
      </c>
    </row>
    <row r="137" spans="3:12" x14ac:dyDescent="0.25">
      <c r="C137" t="s">
        <v>190</v>
      </c>
      <c r="D137" t="s">
        <v>174</v>
      </c>
      <c r="E137" t="e">
        <f t="shared" ca="1" si="2"/>
        <v>#NAME?</v>
      </c>
      <c r="F137" s="54" cm="1">
        <f t="array" ref="F137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7" s="54" cm="1">
        <f t="array" ref="G137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7" s="54" cm="1">
        <f t="array" ref="H137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7" s="54">
        <f>INDEX('Données_d''entrée'!$D$57:$F$70,MATCH(Tableau5[[#This Row],[Actions]],'Données_d''entrée'!$D$57:$D$70,0),3)</f>
        <v>0</v>
      </c>
      <c r="J137" s="54">
        <f>IF(Tableau5[[#This Row],[Part_déjà_bénéficiaires]]=1,0,INDEX($C$214:$AA$227,MATCH(D137,$C$214:$C$227,0),MATCH(J$99,$C$213:$AA$213,0)))</f>
        <v>0</v>
      </c>
      <c r="K137" s="54">
        <f ca="1">IFERROR(IF(Tableau5[[#This Row],[Part_déjà_bénéficiaires]]=1,0,INDEX($C$214:$AA$227,MATCH(D137,$C$214:$C$227,0),MATCH(_xlfn.CONCAT(K$99,$F$234),$C$213:$AA$213,0))),0)</f>
        <v>0</v>
      </c>
      <c r="L137" s="54" t="str">
        <f>IF(Tableau5[[#This Row],[Part_déjà_bénéficiaires]]=1,"Déjà en place dans l'entreprise",INDEX($C$214:$AA$227,MATCH(D137,$C$214:$C$227,0),MATCH(L$99,$C$213:$AA$213,0)))</f>
        <v>Nous considérons que ces ateliers sont animés en interne, par un salarié volontaire</v>
      </c>
    </row>
    <row r="138" spans="3:12" x14ac:dyDescent="0.25">
      <c r="C138" t="s">
        <v>190</v>
      </c>
      <c r="D138" t="s">
        <v>175</v>
      </c>
      <c r="E138" t="e">
        <f t="shared" ca="1" si="2"/>
        <v>#NAME?</v>
      </c>
      <c r="F138" s="54" cm="1">
        <f t="array" ref="F138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8" s="54" cm="1">
        <f t="array" ref="G138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8" s="54" cm="1">
        <f t="array" ref="H138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8" s="54">
        <f>INDEX('Données_d''entrée'!$D$57:$F$70,MATCH(Tableau5[[#This Row],[Actions]],'Données_d''entrée'!$D$57:$D$70,0),3)</f>
        <v>0</v>
      </c>
      <c r="J138" s="54">
        <f ca="1">IF(Tableau5[[#This Row],[Part_déjà_bénéficiaires]]=1,0,INDEX($C$214:$AA$227,MATCH(D138,$C$214:$C$227,0),MATCH(J$99,$C$213:$AA$213,0)))</f>
        <v>0</v>
      </c>
      <c r="K138" s="54">
        <f ca="1">IFERROR(IF(Tableau5[[#This Row],[Part_déjà_bénéficiaires]]=1,0,INDEX($C$214:$AA$227,MATCH(D138,$C$214:$C$227,0),MATCH(_xlfn.CONCAT(K$99,$F$234),$C$213:$AA$213,0))),0)</f>
        <v>0</v>
      </c>
      <c r="L138" s="54" t="str">
        <f>IF(Tableau5[[#This Row],[Part_déjà_bénéficiaires]]=1,"Déjà en place dans l'entreprise",INDEX($C$214:$AA$227,MATCH(D138,$C$214:$C$227,0),MATCH(L$99,$C$213:$AA$213,0)))</f>
        <v>Salaire brut horaire moyen * [(4h de recherches d'informations) * 1 personne mobilisée + (1h d'affichage * 1 personne mobilisée * Nombre de sites)]</v>
      </c>
    </row>
    <row r="139" spans="3:12" x14ac:dyDescent="0.25">
      <c r="C139" t="s">
        <v>190</v>
      </c>
      <c r="D139" t="s">
        <v>176</v>
      </c>
      <c r="E139" t="e">
        <f t="shared" ca="1" si="2"/>
        <v>#NAME?</v>
      </c>
      <c r="F139" s="54" cm="1">
        <f t="array" ref="F139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39" s="54" cm="1">
        <f t="array" ref="G139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39" s="54" cm="1">
        <f t="array" ref="H139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39" s="54">
        <f>INDEX('Données_d''entrée'!$D$57:$F$70,MATCH(Tableau5[[#This Row],[Actions]],'Données_d''entrée'!$D$57:$D$70,0),3)</f>
        <v>0</v>
      </c>
      <c r="J139" s="54">
        <f ca="1">IF(Tableau5[[#This Row],[Part_déjà_bénéficiaires]]=1,0,INDEX($C$214:$AA$227,MATCH(D139,$C$214:$C$227,0),MATCH(J$99,$C$213:$AA$213,0)))</f>
        <v>0</v>
      </c>
      <c r="K139" s="54">
        <f ca="1">IFERROR(IF(Tableau5[[#This Row],[Part_déjà_bénéficiaires]]=1,0,INDEX($C$214:$AA$227,MATCH(D139,$C$214:$C$227,0),MATCH(_xlfn.CONCAT(K$99,$F$234),$C$213:$AA$213,0))),0)</f>
        <v>0</v>
      </c>
      <c r="L139" s="54" t="str">
        <f>IF(Tableau5[[#This Row],[Part_déjà_bénéficiaires]]=1,"Déjà en place dans l'entreprise",INDEX($C$214:$AA$227,MATCH(D139,$C$214:$C$227,0),MATCH(L$99,$C$213:$AA$213,0)))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140" spans="3:12" x14ac:dyDescent="0.25">
      <c r="C140" t="s">
        <v>190</v>
      </c>
      <c r="D140" t="s">
        <v>177</v>
      </c>
      <c r="E140" t="e">
        <f t="shared" ca="1" si="2"/>
        <v>#NAME?</v>
      </c>
      <c r="F140" s="54" cm="1">
        <f t="array" ref="F140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0" s="54" cm="1">
        <f t="array" ref="G140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0" s="54" cm="1">
        <f t="array" ref="H140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0" s="54">
        <f>INDEX('Données_d''entrée'!$D$57:$F$70,MATCH(Tableau5[[#This Row],[Actions]],'Données_d''entrée'!$D$57:$D$70,0),3)</f>
        <v>0</v>
      </c>
      <c r="J140" s="54">
        <f>IF(Tableau5[[#This Row],[Part_déjà_bénéficiaires]]=1,0,INDEX($C$214:$AA$227,MATCH(D140,$C$214:$C$227,0),MATCH(J$99,$C$213:$AA$213,0)))</f>
        <v>0</v>
      </c>
      <c r="K140" s="54">
        <f ca="1">IFERROR(IF(Tableau5[[#This Row],[Part_déjà_bénéficiaires]]=1,0,INDEX($C$214:$AA$227,MATCH(D140,$C$214:$C$227,0),MATCH(_xlfn.CONCAT(K$99,$F$234),$C$213:$AA$213,0))),0)</f>
        <v>0</v>
      </c>
      <c r="L140" s="54" t="str">
        <f>IF(Tableau5[[#This Row],[Part_déjà_bénéficiaires]]=1,"Déjà en place dans l'entreprise",INDEX($C$214:$AA$227,MATCH(D140,$C$214:$C$227,0),MATCH(L$99,$C$213:$AA$213,0)))</f>
        <v>Le salarié compense la flexibilité</v>
      </c>
    </row>
    <row r="141" spans="3:12" x14ac:dyDescent="0.25">
      <c r="C141" t="s">
        <v>190</v>
      </c>
      <c r="D141" t="s">
        <v>178</v>
      </c>
      <c r="E141" t="e">
        <f t="shared" ca="1" si="2"/>
        <v>#NAME?</v>
      </c>
      <c r="F141" s="54" cm="1">
        <f t="array" ref="F141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1" s="54" cm="1">
        <f t="array" ref="G141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1" s="54" cm="1">
        <f t="array" ref="H141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1" s="54">
        <f>INDEX('Données_d''entrée'!$D$57:$F$70,MATCH(Tableau5[[#This Row],[Actions]],'Données_d''entrée'!$D$57:$D$70,0),3)</f>
        <v>0</v>
      </c>
      <c r="J141" s="54">
        <f ca="1">IF(Tableau5[[#This Row],[Part_déjà_bénéficiaires]]=1,0,INDEX($C$214:$AA$227,MATCH(D141,$C$214:$C$227,0),MATCH(J$99,$C$213:$AA$213,0)))</f>
        <v>0</v>
      </c>
      <c r="K141" s="54">
        <f ca="1">IFERROR(IF(Tableau5[[#This Row],[Part_déjà_bénéficiaires]]=1,0,INDEX($C$214:$AA$227,MATCH(D141,$C$214:$C$227,0),MATCH(_xlfn.CONCAT(K$99,$F$234),$C$213:$AA$213,0))),0)</f>
        <v>0</v>
      </c>
      <c r="L141" s="54" t="str">
        <f>IF(Tableau5[[#This Row],[Part_déjà_bénéficiaires]]=1,"Déjà en place dans l'entreprise",INDEX($C$214:$AA$227,MATCH(D141,$C$214:$C$227,0),MATCH(L$99,$C$213:$AA$213,0)))</f>
        <v>Nombre de sites concernés * Coût d'un abri vélo collectif (2 500€) / 10 ans d'amortissement</v>
      </c>
    </row>
    <row r="142" spans="3:12" x14ac:dyDescent="0.25">
      <c r="C142" t="s">
        <v>190</v>
      </c>
      <c r="D142" t="s">
        <v>179</v>
      </c>
      <c r="E142" t="e">
        <f t="shared" ca="1" si="2"/>
        <v>#NAME?</v>
      </c>
      <c r="F142" s="54" cm="1">
        <f t="array" ref="F142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2" s="54" cm="1">
        <f t="array" ref="G142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2" s="54" cm="1">
        <f t="array" ref="H142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2" s="54">
        <f>INDEX('Données_d''entrée'!$D$57:$F$70,MATCH(Tableau5[[#This Row],[Actions]],'Données_d''entrée'!$D$57:$D$70,0),3)</f>
        <v>0</v>
      </c>
      <c r="J142" s="54">
        <f ca="1">IF(Tableau5[[#This Row],[Part_déjà_bénéficiaires]]=1,0,INDEX($C$214:$AA$227,MATCH(D142,$C$214:$C$227,0),MATCH(J$99,$C$213:$AA$213,0)))</f>
        <v>0</v>
      </c>
      <c r="K142" s="54">
        <f ca="1">IFERROR(IF(Tableau5[[#This Row],[Part_déjà_bénéficiaires]]=1,0,INDEX($C$214:$AA$227,MATCH(D142,$C$214:$C$227,0),MATCH(_xlfn.CONCAT(K$99,$F$234),$C$213:$AA$213,0))),0)</f>
        <v>0</v>
      </c>
      <c r="L142" s="54" t="str">
        <f>IF(Tableau5[[#This Row],[Part_déjà_bénéficiaires]]=1,"Déjà en place dans l'entreprise",INDEX($C$214:$AA$227,MATCH(D142,$C$214:$C$227,0),MATCH(L$99,$C$213:$AA$213,0)))</f>
        <v>Nombre de sites concernés * Coût moyen de pose d'une douche (2 310€) / 15 ans d'amortissement</v>
      </c>
    </row>
    <row r="143" spans="3:12" x14ac:dyDescent="0.25">
      <c r="C143" t="s">
        <v>190</v>
      </c>
      <c r="D143" t="s">
        <v>180</v>
      </c>
      <c r="E143" t="e">
        <f t="shared" ca="1" si="2"/>
        <v>#NAME?</v>
      </c>
      <c r="F143" s="54" cm="1">
        <f t="array" ref="F143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3" s="54" cm="1">
        <f t="array" ref="G143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3" s="54" cm="1">
        <f t="array" ref="H143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3" s="54">
        <f>INDEX('Données_d''entrée'!$D$57:$F$70,MATCH(Tableau5[[#This Row],[Actions]],'Données_d''entrée'!$D$57:$D$70,0),3)</f>
        <v>0</v>
      </c>
      <c r="J143" s="54">
        <f ca="1">IF(Tableau5[[#This Row],[Part_déjà_bénéficiaires]]=1,0,INDEX($C$214:$AA$227,MATCH(D143,$C$214:$C$227,0),MATCH(J$99,$C$213:$AA$213,0)))</f>
        <v>0</v>
      </c>
      <c r="K143" s="54">
        <f ca="1">IFERROR(IF(Tableau5[[#This Row],[Part_déjà_bénéficiaires]]=1,0,INDEX($C$214:$AA$227,MATCH(D143,$C$214:$C$227,0),MATCH(_xlfn.CONCAT(K$99,$F$234),$C$213:$AA$213,0))),0)</f>
        <v>0</v>
      </c>
      <c r="L143" s="54" t="str">
        <f>IF(Tableau5[[#This Row],[Part_déjà_bénéficiaires]]=1,"Déjà en place dans l'entreprise",INDEX($C$214:$AA$227,MATCH(D143,$C$214:$C$227,0),MATCH(L$99,$C$213:$AA$213,0)))</f>
        <v>Coût moyen du forfait mobilité durable : 400€ * Nombre de salariés convertis à l'APS * Part intéressée par l'offre (50%)</v>
      </c>
    </row>
    <row r="144" spans="3:12" x14ac:dyDescent="0.25">
      <c r="C144" t="s">
        <v>190</v>
      </c>
      <c r="D144" t="s">
        <v>181</v>
      </c>
      <c r="E144" t="e">
        <f t="shared" ca="1" si="2"/>
        <v>#NAME?</v>
      </c>
      <c r="F144" s="54" cm="1">
        <f t="array" ref="F144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4" s="54" cm="1">
        <f t="array" ref="G144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4" s="54" cm="1">
        <f t="array" ref="H144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4" s="54">
        <f>INDEX('Données_d''entrée'!$D$57:$F$70,MATCH(Tableau5[[#This Row],[Actions]],'Données_d''entrée'!$D$57:$D$70,0),3)</f>
        <v>0</v>
      </c>
      <c r="J144" s="54">
        <f ca="1">IF(Tableau5[[#This Row],[Part_déjà_bénéficiaires]]=1,0,INDEX($C$214:$AA$227,MATCH(D144,$C$214:$C$227,0),MATCH(J$99,$C$213:$AA$213,0)))</f>
        <v>0</v>
      </c>
      <c r="K144" s="54">
        <f ca="1">IFERROR(IF(Tableau5[[#This Row],[Part_déjà_bénéficiaires]]=1,0,INDEX($C$214:$AA$227,MATCH(D144,$C$214:$C$227,0),MATCH(_xlfn.CONCAT(K$99,$F$234),$C$213:$AA$213,0))),0)</f>
        <v>0</v>
      </c>
      <c r="L144" s="54" t="str">
        <f>IF(Tableau5[[#This Row],[Part_déjà_bénéficiaires]]=1,"Déjà en place dans l'entreprise",INDEX($C$214:$AA$227,MATCH(D144,$C$214:$C$227,0),MATCH(L$99,$C$213:$AA$213,0)))</f>
        <v>Coût d'un abonnement Gymlib * Part payée par l'employeur (50%) * Nombre de salariés concernés * 12 mois</v>
      </c>
    </row>
    <row r="145" spans="2:12" x14ac:dyDescent="0.25">
      <c r="C145" t="s">
        <v>190</v>
      </c>
      <c r="D145" t="s">
        <v>182</v>
      </c>
      <c r="E145" t="e">
        <f t="shared" ca="1" si="2"/>
        <v>#NAME?</v>
      </c>
      <c r="F145" s="54" cm="1">
        <f t="array" ref="F145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5" s="54" cm="1">
        <f t="array" ref="G145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5" s="54" cm="1">
        <f t="array" ref="H145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5" s="54">
        <f>INDEX('Données_d''entrée'!$D$57:$F$70,MATCH(Tableau5[[#This Row],[Actions]],'Données_d''entrée'!$D$57:$D$70,0),3)</f>
        <v>0</v>
      </c>
      <c r="J145" s="54">
        <f ca="1">IF(Tableau5[[#This Row],[Part_déjà_bénéficiaires]]=1,0,INDEX($C$214:$AA$227,MATCH(D145,$C$214:$C$227,0),MATCH(J$99,$C$213:$AA$213,0)))</f>
        <v>0</v>
      </c>
      <c r="K145" s="54">
        <f ca="1">IFERROR(IF(Tableau5[[#This Row],[Part_déjà_bénéficiaires]]=1,0,INDEX($C$214:$AA$227,MATCH(D145,$C$214:$C$227,0),MATCH(_xlfn.CONCAT(K$99,$F$234),$C$213:$AA$213,0))),0)</f>
        <v>0</v>
      </c>
      <c r="L145" s="54" t="str">
        <f>IF(Tableau5[[#This Row],[Part_déjà_bénéficiaires]]=1,"Déjà en place dans l'entreprise",INDEX($C$214:$AA$227,MATCH(D145,$C$214:$C$227,0),MATCH(L$99,$C$213:$AA$213,0)))</f>
        <v>Salaire brut horaire moyen * (2h de recherches + 5h de prise de contact) * 1 personne mobilisée * Nombre de sites concernés</v>
      </c>
    </row>
    <row r="146" spans="2:12" x14ac:dyDescent="0.25">
      <c r="C146" t="s">
        <v>190</v>
      </c>
      <c r="D146" t="s">
        <v>183</v>
      </c>
      <c r="E146" t="e">
        <f t="shared" ca="1" si="2"/>
        <v>#NAME?</v>
      </c>
      <c r="F146" s="54" cm="1">
        <f t="array" ref="F146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6" s="54" cm="1">
        <f t="array" ref="G146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6" s="54" cm="1">
        <f t="array" ref="H146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6" s="54">
        <f>INDEX('Données_d''entrée'!$D$57:$F$70,MATCH(Tableau5[[#This Row],[Actions]],'Données_d''entrée'!$D$57:$D$70,0),3)</f>
        <v>0</v>
      </c>
      <c r="J146" s="54">
        <f ca="1">IF(Tableau5[[#This Row],[Part_déjà_bénéficiaires]]=1,0,INDEX($C$214:$AA$227,MATCH(D146,$C$214:$C$227,0),MATCH(J$99,$C$213:$AA$213,0)))</f>
        <v>0</v>
      </c>
      <c r="K146" s="54">
        <f ca="1">IFERROR(IF(Tableau5[[#This Row],[Part_déjà_bénéficiaires]]=1,0,INDEX($C$214:$AA$227,MATCH(D146,$C$214:$C$227,0),MATCH(_xlfn.CONCAT(K$99,$F$234),$C$213:$AA$213,0))),0)</f>
        <v>0</v>
      </c>
      <c r="L146" s="54" t="str">
        <f>IF(Tableau5[[#This Row],[Part_déjà_bénéficiaires]]=1,"Déjà en place dans l'entreprise",INDEX($C$214:$AA$227,MATCH(D146,$C$214:$C$227,0),MATCH(L$99,$C$213:$AA$213,0)))</f>
        <v>Nombre de sites concernés * Coût minimum d'une salle de sport (100k€) / 15 ans d'amortissement</v>
      </c>
    </row>
    <row r="147" spans="2:12" x14ac:dyDescent="0.25">
      <c r="C147" t="s">
        <v>190</v>
      </c>
      <c r="D147" t="s">
        <v>184</v>
      </c>
      <c r="E147" t="e">
        <f t="shared" ca="1" si="2"/>
        <v>#NAME?</v>
      </c>
      <c r="F147" s="54" cm="1">
        <f t="array" ref="F147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7" s="54" cm="1">
        <f t="array" ref="G147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7" s="54" cm="1">
        <f t="array" ref="H147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7" s="54">
        <f>INDEX('Données_d''entrée'!$D$57:$F$70,MATCH(Tableau5[[#This Row],[Actions]],'Données_d''entrée'!$D$57:$D$70,0),3)</f>
        <v>0</v>
      </c>
      <c r="J147" s="54">
        <f>IF(Tableau5[[#This Row],[Part_déjà_bénéficiaires]]=1,0,INDEX($C$214:$AA$227,MATCH(D147,$C$214:$C$227,0),MATCH(J$99,$C$213:$AA$213,0)))</f>
        <v>1122.1978021978023</v>
      </c>
      <c r="K147" s="54">
        <f ca="1">IFERROR(IF(Tableau5[[#This Row],[Part_déjà_bénéficiaires]]=1,0,INDEX($C$214:$AA$227,MATCH(D147,$C$214:$C$227,0),MATCH(_xlfn.CONCAT(K$99,$F$234),$C$213:$AA$213,0))),0)</f>
        <v>0</v>
      </c>
      <c r="L147" s="54" t="str">
        <f>IF(Tableau5[[#This Row],[Part_déjà_bénéficiaires]]=1,"Déjà en place dans l'entreprise",INDEX($C$214:$AA$227,MATCH(D147,$C$214:$C$227,0),MATCH(L$99,$C$213:$AA$213,0)))</f>
        <v>Coût de rédaction des statuts par un professionnel (500€, la première année seulement) + Coût de l'assurance responsabilité civile (100€ / an) + Salaire brut horaire moyen * (2h par mois) * 1 personne mobilisée</v>
      </c>
    </row>
    <row r="148" spans="2:12" x14ac:dyDescent="0.25">
      <c r="C148" t="s">
        <v>190</v>
      </c>
      <c r="D148" t="s">
        <v>185</v>
      </c>
      <c r="E148" t="e">
        <f t="shared" ca="1" si="2"/>
        <v>#NAME?</v>
      </c>
      <c r="F148" s="54" cm="1">
        <f t="array" ref="F148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8" s="54" cm="1">
        <f t="array" ref="G148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8" s="54" cm="1">
        <f t="array" ref="H148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8" s="54">
        <f>INDEX('Données_d''entrée'!$D$57:$F$70,MATCH(Tableau5[[#This Row],[Actions]],'Données_d''entrée'!$D$57:$D$70,0),3)</f>
        <v>0</v>
      </c>
      <c r="J148" s="54">
        <f ca="1">IF(Tableau5[[#This Row],[Part_déjà_bénéficiaires]]=1,0,INDEX($C$214:$AA$227,MATCH(D148,$C$214:$C$227,0),MATCH(J$99,$C$213:$AA$213,0)))</f>
        <v>0</v>
      </c>
      <c r="K148" s="54">
        <f ca="1">IFERROR(IF(Tableau5[[#This Row],[Part_déjà_bénéficiaires]]=1,0,INDEX($C$214:$AA$227,MATCH(D148,$C$214:$C$227,0),MATCH(_xlfn.CONCAT(K$99,$F$234),$C$213:$AA$213,0))),0)</f>
        <v>0</v>
      </c>
      <c r="L148" s="54" t="str">
        <f>IF(Tableau5[[#This Row],[Part_déjà_bénéficiaires]]=1,"Déjà en place dans l'entreprise",INDEX($C$214:$AA$227,MATCH(D148,$C$214:$C$227,0),MATCH(L$99,$C$213:$AA$213,0)))</f>
        <v>Coût d'un atelier sport dans l'entreprise : 60-90€ / h * 1 venue par semaine * 2h par séance * Nombre de semaines travaillées * Nombre de sites concernés</v>
      </c>
    </row>
    <row r="149" spans="2:12" x14ac:dyDescent="0.25">
      <c r="C149" t="s">
        <v>190</v>
      </c>
      <c r="D149" t="s">
        <v>186</v>
      </c>
      <c r="E149" t="e">
        <f t="shared" ca="1" si="2"/>
        <v>#NAME?</v>
      </c>
      <c r="F149" s="54" cm="1">
        <f t="array" ref="F149">SUMPRODUCT((D$83:D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G149" s="54" cm="1">
        <f t="array" ref="G149">SUMPRODUCT((E$83:E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0.42857142857142855</v>
      </c>
      <c r="H149" s="54" cm="1">
        <f t="array" ref="H149">SUMPRODUCT((F$83:F$96="Oui")*((C$83:C$96=$C$67)+(C$83:C$96=$C$68)+(C$83:C$96=$C$69)+(C$83:C$96=$C$70)+(C$83:C$96=$C$71)+(C$83:C$96=$C$72)+(C$83:C$96=$C$73)+(C$83:C$96=$C$74)+(C$83:C$96=$C$75)+(C$83:C$96=$C$76)+(C$83:C$96=$C$77)+(C$83:C$96=$C$78)+(C$83:C$96=$C$79)+(C$83:C$96=$C$80)))/
SUMPRODUCT(((D$83:D$96="Oui")+(E$83:E$96="Oui")+(F$83:F$96="Oui"))*((C$83:C$96=$C$67)+(C$83:C$96=$C$68)+(C$83:C$96=$C$69)+(C$83:C$96=$C$70)+(C$83:C$96=$C$71)+(C$83:C$96=$C$72)+(C$83:C$96=$C$73)+(C$83:C$96=$C$74)+(C$83:C$96=$C$75)+(C$83:C$96=$C$76)+(C$83:C$96=$C$77)+(C$83:C$96=$C$78)+(C$83:C$96=$C$79)+(C$83:C$96=$C$80)))</f>
        <v>0.14285714285714285</v>
      </c>
      <c r="I149" s="54">
        <f>INDEX('Données_d''entrée'!$D$57:$F$70,MATCH(Tableau5[[#This Row],[Actions]],'Données_d''entrée'!$D$57:$D$70,0),3)</f>
        <v>0</v>
      </c>
      <c r="J149" s="54">
        <f ca="1">IF(Tableau5[[#This Row],[Part_déjà_bénéficiaires]]=1,0,INDEX($C$214:$AA$227,MATCH(D149,$C$214:$C$227,0),MATCH(J$99,$C$213:$AA$213,0)))</f>
        <v>0</v>
      </c>
      <c r="K149" s="54">
        <f ca="1">IFERROR(IF(Tableau5[[#This Row],[Part_déjà_bénéficiaires]]=1,0,INDEX($C$214:$AA$227,MATCH(D149,$C$214:$C$227,0),MATCH(_xlfn.CONCAT(K$99,$F$234),$C$213:$AA$213,0))),0)</f>
        <v>0</v>
      </c>
      <c r="L149" s="54" t="str">
        <f>IF(Tableau5[[#This Row],[Part_déjà_bénéficiaires]]=1,"Déjà en place dans l'entreprise",INDEX($C$214:$AA$227,MATCH(D149,$C$214:$C$227,0),MATCH(L$99,$C$213:$AA$213,0)))</f>
        <v>1h30 libérée par semaine * Nombre de semaines travaillées * Salaire horaire brut moyen * Nombre de salariés convertis à l'APS grâce au plan global * Part utilisant le créneau ainsi libéré (70%)</v>
      </c>
    </row>
    <row r="151" spans="2:12" x14ac:dyDescent="0.25">
      <c r="F151" t="s">
        <v>160</v>
      </c>
      <c r="G151" t="s">
        <v>161</v>
      </c>
      <c r="H151" t="s">
        <v>166</v>
      </c>
    </row>
    <row r="153" spans="2:12" x14ac:dyDescent="0.25">
      <c r="C153" s="36" t="s">
        <v>223</v>
      </c>
    </row>
    <row r="154" spans="2:12" x14ac:dyDescent="0.25">
      <c r="C154" s="43"/>
      <c r="D154" s="43"/>
      <c r="E154" s="43" t="s">
        <v>157</v>
      </c>
      <c r="F154" s="43" t="s">
        <v>158</v>
      </c>
      <c r="G154" s="43" t="s">
        <v>159</v>
      </c>
      <c r="H154" s="43"/>
      <c r="I154" s="43"/>
    </row>
    <row r="155" spans="2:12" x14ac:dyDescent="0.25">
      <c r="C155" s="43" t="s">
        <v>104</v>
      </c>
      <c r="D155" s="43" t="s">
        <v>117</v>
      </c>
      <c r="E155" s="43" t="s">
        <v>112</v>
      </c>
      <c r="F155" s="43" t="s">
        <v>113</v>
      </c>
      <c r="G155" s="43" t="s">
        <v>114</v>
      </c>
      <c r="H155" s="43" t="s">
        <v>110</v>
      </c>
      <c r="I155" s="43" t="s">
        <v>111</v>
      </c>
    </row>
    <row r="156" spans="2:12" x14ac:dyDescent="0.25">
      <c r="C156" s="43" t="e">
        <f ca="1">Bases_annexes!E67</f>
        <v>#NAME?</v>
      </c>
      <c r="D156" s="44" t="e">
        <f ca="1">C156*('Données_d''entrée'!$E$42-'Données_d''entrée'!$E$43)</f>
        <v>#NAME?</v>
      </c>
      <c r="E156" s="45" cm="1">
        <f t="array" ref="E156">SUMPRODUCT((Bases_annexes!D$83:D$96="Oui"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/
SUMPRODUCT(((Bases_annexes!D$83:D$96="Oui")+(Bases_annexes!E$83:E$96="Oui")+(Bases_annexes!F$83:F$96="Oui")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</f>
        <v>0.42857142857142855</v>
      </c>
      <c r="F156" s="45" cm="1">
        <f t="array" ref="F156">SUMPRODUCT((Bases_annexes!E$83:E$96="Oui"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/
SUMPRODUCT(((Bases_annexes!D$83:D$96="Oui")+(Bases_annexes!E$83:E$96="Oui")+(Bases_annexes!F$83:F$96="Oui")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</f>
        <v>0.42857142857142855</v>
      </c>
      <c r="G156" s="45" cm="1">
        <f t="array" ref="G156">SUMPRODUCT((Bases_annexes!F$83:F$96="Oui"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/
SUMPRODUCT(((Bases_annexes!D$83:D$96="Oui")+(Bases_annexes!E$83:E$96="Oui")+(Bases_annexes!F$83:F$96="Oui"))*((Bases_annexes!C$83:C$96=Bases_annexes!$C$67)+(Bases_annexes!C$83:C$96=Bases_annexes!$C$68)+(Bases_annexes!C$83:C$96=Bases_annexes!$C$69)+(Bases_annexes!C$83:C$96=Bases_annexes!$C$70)+(Bases_annexes!C$83:C$96=Bases_annexes!$C$71)+(Bases_annexes!C$83:C$96=Bases_annexes!$C$72)+(Bases_annexes!C$83:C$96=Bases_annexes!$C$73)+(Bases_annexes!C$83:C$96=Bases_annexes!$C$74)+(Bases_annexes!C$83:C$96=Bases_annexes!$C$75)+(Bases_annexes!C$83:C$96=Bases_annexes!$C$76)+(Bases_annexes!C$83:C$96=Bases_annexes!$C$77)+(Bases_annexes!C$83:C$96=Bases_annexes!$C$78)+(Bases_annexes!C$83:C$96=Bases_annexes!$C$79)+(Bases_annexes!C$83:C$96=Bases_annexes!$C$80)))</f>
        <v>0.14285714285714285</v>
      </c>
      <c r="H156" s="43">
        <v>0.17</v>
      </c>
      <c r="I156" s="46" t="e">
        <f ca="1">C156*H156</f>
        <v>#NAME?</v>
      </c>
    </row>
    <row r="158" spans="2:12" x14ac:dyDescent="0.25">
      <c r="D158" s="68"/>
      <c r="E158" t="s">
        <v>205</v>
      </c>
      <c r="F158" t="s">
        <v>206</v>
      </c>
      <c r="G158" t="s">
        <v>207</v>
      </c>
    </row>
    <row r="160" spans="2:12" x14ac:dyDescent="0.25">
      <c r="B160" s="43" t="s">
        <v>167</v>
      </c>
      <c r="C160" s="47" t="s">
        <v>131</v>
      </c>
      <c r="D160" s="43"/>
    </row>
    <row r="161" spans="2:4" x14ac:dyDescent="0.25">
      <c r="B161" s="43" t="s">
        <v>138</v>
      </c>
      <c r="C161" s="43" t="s">
        <v>132</v>
      </c>
      <c r="D161" s="48">
        <f>INDEX(TCD!$B$4:$AA$5,2,MATCH(B161,TCD!$B$4:$AA$4,0))</f>
        <v>5.8333039429220801E-2</v>
      </c>
    </row>
    <row r="162" spans="2:4" x14ac:dyDescent="0.25">
      <c r="B162" s="43" t="s">
        <v>103</v>
      </c>
      <c r="C162" s="43" t="s">
        <v>133</v>
      </c>
      <c r="D162" s="48">
        <f>INDEX(TCD!$B$4:$AA$5,2,MATCH(B162,TCD!$B$4:$AA$4,0))</f>
        <v>1.6268482572269653E-2</v>
      </c>
    </row>
    <row r="163" spans="2:4" x14ac:dyDescent="0.25">
      <c r="B163" s="43" t="s">
        <v>111</v>
      </c>
      <c r="C163" s="43" t="s">
        <v>118</v>
      </c>
      <c r="D163" s="48" t="e">
        <f ca="1">INDEX(Bases_annexes!$C$155:$I$156,2,MATCH(B163,Bases_annexes!$C$155:$I$155,0))</f>
        <v>#NAME?</v>
      </c>
    </row>
    <row r="164" spans="2:4" x14ac:dyDescent="0.25">
      <c r="B164" s="43" t="s">
        <v>203</v>
      </c>
      <c r="C164" s="43" t="s">
        <v>168</v>
      </c>
      <c r="D164" s="48">
        <f>INDEX(TCD!$B$4:$AA$5,2,MATCH(B164,TCD!$B$4:$AA$4,0))</f>
        <v>9.0909090909090912E-2</v>
      </c>
    </row>
    <row r="165" spans="2:4" x14ac:dyDescent="0.25">
      <c r="B165" s="43" t="s">
        <v>204</v>
      </c>
      <c r="C165" s="43" t="s">
        <v>169</v>
      </c>
      <c r="D165" s="48">
        <f>INDEX(TCD!$B$4:$AA$5,2,MATCH(B165,TCD!$B$4:$AA$4,0))</f>
        <v>9.001118487953523E-2</v>
      </c>
    </row>
    <row r="166" spans="2:4" x14ac:dyDescent="0.25">
      <c r="B166" s="43"/>
      <c r="C166" s="43" t="s">
        <v>134</v>
      </c>
      <c r="D166" s="48">
        <f>(1+D165)/(1+D164)</f>
        <v>0.99917691947290743</v>
      </c>
    </row>
    <row r="167" spans="2:4" x14ac:dyDescent="0.25">
      <c r="B167" s="43"/>
      <c r="C167" s="43"/>
      <c r="D167" s="49"/>
    </row>
    <row r="168" spans="2:4" x14ac:dyDescent="0.25">
      <c r="B168" s="43" t="s">
        <v>139</v>
      </c>
      <c r="C168" s="43" t="s">
        <v>170</v>
      </c>
      <c r="D168" s="50">
        <f>INDEX(TCD!$B$4:$AA$5,2,MATCH(B168,TCD!$B$4:$AA$4,0))</f>
        <v>6.1899999999999997E-2</v>
      </c>
    </row>
    <row r="169" spans="2:4" x14ac:dyDescent="0.25">
      <c r="B169" s="43" t="s">
        <v>95</v>
      </c>
      <c r="C169" s="43" t="s">
        <v>171</v>
      </c>
      <c r="D169" s="50">
        <f>INDEX(TCD!$B$4:$AA$5,2,MATCH(B169,TCD!$B$4:$AA$4,0))</f>
        <v>5.6538777917291061E-2</v>
      </c>
    </row>
    <row r="170" spans="2:4" x14ac:dyDescent="0.25">
      <c r="B170" s="43"/>
      <c r="C170" s="43" t="s">
        <v>135</v>
      </c>
      <c r="D170" s="46">
        <f>(1-D169)/(1-D168)</f>
        <v>1.0057149793014699</v>
      </c>
    </row>
    <row r="171" spans="2:4" x14ac:dyDescent="0.25">
      <c r="B171" s="43"/>
      <c r="C171" s="43"/>
      <c r="D171" s="43"/>
    </row>
    <row r="172" spans="2:4" x14ac:dyDescent="0.25">
      <c r="B172" s="43"/>
      <c r="C172" s="47" t="s">
        <v>136</v>
      </c>
      <c r="D172" s="51">
        <f>((1+AVERAGE(D161:D162))*D170/D166)-1</f>
        <v>4.4088282112835886E-2</v>
      </c>
    </row>
    <row r="173" spans="2:4" x14ac:dyDescent="0.25">
      <c r="B173" s="43"/>
      <c r="C173" s="47" t="s">
        <v>137</v>
      </c>
      <c r="D173" s="51" t="e">
        <f ca="1">((1+AVERAGE(D161:D162)*(1+D163))*D170/D166)-1</f>
        <v>#NAME?</v>
      </c>
    </row>
    <row r="174" spans="2:4" x14ac:dyDescent="0.25">
      <c r="B174" s="43"/>
      <c r="C174" s="43"/>
      <c r="D174" s="43"/>
    </row>
    <row r="175" spans="2:4" x14ac:dyDescent="0.25">
      <c r="B175" s="43"/>
      <c r="C175" s="47" t="s">
        <v>195</v>
      </c>
      <c r="D175" s="48">
        <f>1-D165/D164</f>
        <v>9.8769663251124795E-3</v>
      </c>
    </row>
    <row r="176" spans="2:4" x14ac:dyDescent="0.25">
      <c r="B176" s="43"/>
      <c r="C176" s="43"/>
      <c r="D176" s="43"/>
    </row>
    <row r="177" spans="2:5" x14ac:dyDescent="0.25">
      <c r="B177" s="43"/>
      <c r="C177" s="47" t="s">
        <v>141</v>
      </c>
      <c r="D177" s="43"/>
    </row>
    <row r="178" spans="2:5" x14ac:dyDescent="0.25">
      <c r="B178" s="43"/>
      <c r="C178" s="43" t="s">
        <v>226</v>
      </c>
      <c r="D178" s="43">
        <v>39600</v>
      </c>
    </row>
    <row r="179" spans="2:5" x14ac:dyDescent="0.25">
      <c r="B179" s="43"/>
      <c r="C179" s="43" t="s">
        <v>143</v>
      </c>
      <c r="D179" s="43">
        <f>IF(F5=0,D178,F5)</f>
        <v>39600</v>
      </c>
    </row>
    <row r="180" spans="2:5" x14ac:dyDescent="0.25">
      <c r="B180" s="43"/>
      <c r="C180" s="43" t="s">
        <v>142</v>
      </c>
      <c r="D180" s="43">
        <f>IF(OR(ISBLANK('Données_d''entrée'!$E$44),'Données_d''entrée'!$E$44=0),D179/(35*52),D179/('Données_d''entrée'!E44*52))</f>
        <v>21.758241758241759</v>
      </c>
    </row>
    <row r="181" spans="2:5" x14ac:dyDescent="0.25">
      <c r="B181" s="43"/>
      <c r="C181" s="43" t="s">
        <v>144</v>
      </c>
      <c r="D181" s="43">
        <v>1.5</v>
      </c>
    </row>
    <row r="182" spans="2:5" x14ac:dyDescent="0.25">
      <c r="B182" s="43"/>
      <c r="C182" s="43" t="s">
        <v>145</v>
      </c>
      <c r="D182" s="52">
        <f>IF(COUNTIF(C67:C80,"Aménagement de créneaux dédiés à l'APS")&lt;&gt;0,D181*D180,0)</f>
        <v>0</v>
      </c>
    </row>
    <row r="183" spans="2:5" x14ac:dyDescent="0.25">
      <c r="B183" s="43"/>
      <c r="C183" s="43" t="s">
        <v>146</v>
      </c>
      <c r="D183" s="43">
        <v>45.4</v>
      </c>
    </row>
    <row r="184" spans="2:5" x14ac:dyDescent="0.25">
      <c r="B184" s="43"/>
      <c r="C184" s="43" t="s">
        <v>147</v>
      </c>
      <c r="D184" s="43">
        <f>D182*D183</f>
        <v>0</v>
      </c>
    </row>
    <row r="185" spans="2:5" x14ac:dyDescent="0.25">
      <c r="B185" s="43"/>
      <c r="C185" s="43" t="s">
        <v>351</v>
      </c>
      <c r="D185" s="50">
        <v>0.7</v>
      </c>
    </row>
    <row r="186" spans="2:5" x14ac:dyDescent="0.25">
      <c r="B186" s="43"/>
      <c r="C186" s="43" t="s">
        <v>214</v>
      </c>
      <c r="D186" s="43" t="e">
        <f ca="1">D184*D156*D185</f>
        <v>#NAME?</v>
      </c>
    </row>
    <row r="187" spans="2:5" x14ac:dyDescent="0.25">
      <c r="B187" s="43"/>
      <c r="C187" s="43"/>
      <c r="D187" s="43"/>
    </row>
    <row r="188" spans="2:5" x14ac:dyDescent="0.25">
      <c r="B188" s="43"/>
      <c r="C188" s="47" t="s">
        <v>277</v>
      </c>
      <c r="D188" s="43"/>
    </row>
    <row r="189" spans="2:5" x14ac:dyDescent="0.25">
      <c r="B189" s="43"/>
      <c r="C189" s="43" t="s">
        <v>224</v>
      </c>
      <c r="D189" s="50">
        <v>0.22</v>
      </c>
      <c r="E189" s="53" t="s">
        <v>225</v>
      </c>
    </row>
    <row r="190" spans="2:5" x14ac:dyDescent="0.25">
      <c r="B190" s="43"/>
      <c r="C190" s="43" t="s">
        <v>212</v>
      </c>
      <c r="D190" s="92" t="e" cm="1">
        <f t="array" aca="1" ref="D190" ca="1">_xlfn.IFS(AND(F8&lt;&gt;"",F8&lt;&gt;0),F8,OR(ISBLANK(F8),F8=0),IF(IF(OR(ISBLANK(F5),F5=0),D178,F5)*(1+D189)*'Données_d''entrée'!E42&lt;20%*(F6-F7),20%*(F6-F7),IF(OR(ISBLANK(F5),F5=0),D178,F5)*(1+D189)*'Données_d''entrée'!E42))</f>
        <v>#NAME?</v>
      </c>
    </row>
    <row r="191" spans="2:5" x14ac:dyDescent="0.25">
      <c r="B191" s="43"/>
      <c r="C191" s="43"/>
      <c r="D191" s="43"/>
    </row>
    <row r="192" spans="2:5" x14ac:dyDescent="0.25">
      <c r="B192" s="43"/>
      <c r="C192" s="47" t="s">
        <v>121</v>
      </c>
      <c r="D192" s="43"/>
    </row>
    <row r="193" spans="2:12" x14ac:dyDescent="0.25">
      <c r="B193" s="43"/>
      <c r="C193" s="43" t="s">
        <v>118</v>
      </c>
      <c r="D193" s="50">
        <f>Bases_annexes!E156</f>
        <v>0.42857142857142855</v>
      </c>
    </row>
    <row r="194" spans="2:12" x14ac:dyDescent="0.25">
      <c r="B194" s="43"/>
      <c r="C194" s="43" t="s">
        <v>119</v>
      </c>
      <c r="D194" s="50">
        <f>Bases_annexes!F156</f>
        <v>0.42857142857142855</v>
      </c>
    </row>
    <row r="195" spans="2:12" x14ac:dyDescent="0.25">
      <c r="B195" s="43"/>
      <c r="C195" s="43" t="s">
        <v>120</v>
      </c>
      <c r="D195" s="50">
        <f>Bases_annexes!G156</f>
        <v>0.14285714285714285</v>
      </c>
    </row>
    <row r="197" spans="2:12" x14ac:dyDescent="0.25">
      <c r="C197" s="47" t="s">
        <v>148</v>
      </c>
    </row>
    <row r="198" spans="2:12" x14ac:dyDescent="0.25">
      <c r="C198" s="43" t="s">
        <v>162</v>
      </c>
    </row>
    <row r="199" spans="2:12" x14ac:dyDescent="0.25">
      <c r="C199" s="43" t="str">
        <f>IF(TCD!AR5="Personnalisé",_xlfn.CONCAT("En sélectionnant ces actions, votre entreprise agît sur :"),
_xlfn.CONCAT("En sélectionnant le niveau ",RIGHT(TCD!AR5,1),", votre entreprise agît sur :"))</f>
        <v>En sélectionnant le niveau 1, votre entreprise agît sur :</v>
      </c>
    </row>
    <row r="200" spans="2:12" x14ac:dyDescent="0.25">
      <c r="C200" s="43" t="s">
        <v>163</v>
      </c>
    </row>
    <row r="201" spans="2:12" x14ac:dyDescent="0.25">
      <c r="C201" s="43" t="str">
        <f>_xlfn.CONCAT("•  ",Bases_annexes!E154," (",ROUND(Bases_annexes!E156,2)*100,"%), ",Bases_annexes!E158)</f>
        <v>•  la Motivation (43%), qui désigne l'expression du désir d'un individu de pratiquer une activité ou de changer de comportement.</v>
      </c>
    </row>
    <row r="202" spans="2:12" x14ac:dyDescent="0.25">
      <c r="C202" s="43" t="s">
        <v>164</v>
      </c>
    </row>
    <row r="203" spans="2:12" x14ac:dyDescent="0.25">
      <c r="C203" s="43" t="str">
        <f>_xlfn.CONCAT("•  ",Bases_annexes!F154," (",ROUND(Bases_annexes!F156,2)*100,"%), ",Bases_annexes!F158)</f>
        <v>•  la Capacité (43%), qui désigne l'aptitude d'un individu à pratiquer une activité ou à changer de comportement, ce qui inclut les capacités physiques, les connaissances et les compétences nécessaires.</v>
      </c>
    </row>
    <row r="204" spans="2:12" x14ac:dyDescent="0.25">
      <c r="C204" s="43" t="s">
        <v>165</v>
      </c>
    </row>
    <row r="205" spans="2:12" x14ac:dyDescent="0.25">
      <c r="C205" s="43" t="str">
        <f>_xlfn.CONCAT("•  ",Bases_annexes!G154," (",ROUND(Bases_annexes!G156,2)*100,"%), ",Bases_annexes!G158)</f>
        <v>•  l'Opportunité (14%), qui recouvre les facteurs externes (environnementaux, sociaux) qui permettent ou motivent le comportement.</v>
      </c>
    </row>
    <row r="207" spans="2:12" x14ac:dyDescent="0.25">
      <c r="C207" s="36" t="s">
        <v>213</v>
      </c>
    </row>
    <row r="208" spans="2:12" x14ac:dyDescent="0.25">
      <c r="D208" s="43" t="s">
        <v>215</v>
      </c>
      <c r="E208" s="43" t="s">
        <v>209</v>
      </c>
      <c r="F208" s="43" t="s">
        <v>212</v>
      </c>
      <c r="G208" s="43" t="s">
        <v>216</v>
      </c>
      <c r="H208" s="43" t="s">
        <v>222</v>
      </c>
      <c r="I208" s="43" t="s">
        <v>218</v>
      </c>
      <c r="J208" s="43" t="s">
        <v>219</v>
      </c>
      <c r="K208" s="43" t="s">
        <v>220</v>
      </c>
      <c r="L208" s="43" t="s">
        <v>221</v>
      </c>
    </row>
    <row r="209" spans="3:27" x14ac:dyDescent="0.25">
      <c r="C209" s="43" t="s">
        <v>305</v>
      </c>
      <c r="D209" s="91">
        <f>F6</f>
        <v>0</v>
      </c>
      <c r="E209" s="91">
        <f>F7</f>
        <v>0</v>
      </c>
      <c r="F209" s="43" t="e">
        <f ca="1">Bases_annexes!D190</f>
        <v>#NAME?</v>
      </c>
      <c r="G209" s="45">
        <f ca="1">IFERROR((D156+'Données_d''entrée'!E43)/'Données_d''entrée'!E42,0)</f>
        <v>0</v>
      </c>
      <c r="H209" s="43">
        <f ca="1">Base_tbl_de_bord!BE33</f>
        <v>0</v>
      </c>
      <c r="I209" s="48">
        <f>Base_tbl_de_bord!$AH$6</f>
        <v>0</v>
      </c>
      <c r="J209" s="43" t="e">
        <f ca="1">I209/(1+I209)*G209*F209</f>
        <v>#NAME?</v>
      </c>
      <c r="K209" s="43" t="e">
        <f ca="1">J209-H209</f>
        <v>#NAME?</v>
      </c>
      <c r="L209" s="51">
        <f ca="1">IFERROR(K209/(E209*66.66%),0)</f>
        <v>0</v>
      </c>
    </row>
    <row r="210" spans="3:27" x14ac:dyDescent="0.25">
      <c r="C210" s="43" t="s">
        <v>306</v>
      </c>
      <c r="D210" s="43">
        <f>D209</f>
        <v>0</v>
      </c>
      <c r="E210" s="43">
        <f t="shared" ref="E210:G210" si="3">E209</f>
        <v>0</v>
      </c>
      <c r="F210" s="43" t="e">
        <f t="shared" ca="1" si="3"/>
        <v>#NAME?</v>
      </c>
      <c r="G210" s="45">
        <f t="shared" ca="1" si="3"/>
        <v>0</v>
      </c>
      <c r="H210" s="43">
        <f ca="1">Base_tbl_de_bord!BI33</f>
        <v>0</v>
      </c>
      <c r="I210" s="48">
        <f>I209</f>
        <v>0</v>
      </c>
      <c r="J210" s="43" t="e">
        <f ca="1">I210/(1+I210)*G210*F210</f>
        <v>#NAME?</v>
      </c>
      <c r="K210" s="43" t="e">
        <f ca="1">J210-H210</f>
        <v>#NAME?</v>
      </c>
      <c r="L210" s="51">
        <f ca="1">IFERROR(K210/(E210*66.66%),0)</f>
        <v>0</v>
      </c>
    </row>
    <row r="212" spans="3:27" x14ac:dyDescent="0.25">
      <c r="C212" s="36" t="s">
        <v>240</v>
      </c>
    </row>
    <row r="213" spans="3:27" x14ac:dyDescent="0.25">
      <c r="C213" s="43" t="s">
        <v>172</v>
      </c>
      <c r="D213" s="43" t="s">
        <v>254</v>
      </c>
      <c r="E213" s="43" t="s">
        <v>257</v>
      </c>
      <c r="F213" s="43" t="s">
        <v>278</v>
      </c>
      <c r="G213" s="43" t="s">
        <v>256</v>
      </c>
      <c r="H213" s="43" t="s">
        <v>273</v>
      </c>
      <c r="I213" s="43" t="s">
        <v>247</v>
      </c>
      <c r="J213" s="43" t="s">
        <v>248</v>
      </c>
      <c r="K213" s="43" t="s">
        <v>258</v>
      </c>
      <c r="L213" s="43" t="s">
        <v>259</v>
      </c>
      <c r="M213" s="43" t="s">
        <v>260</v>
      </c>
      <c r="N213" s="43" t="s">
        <v>261</v>
      </c>
      <c r="O213" s="43" t="s">
        <v>262</v>
      </c>
      <c r="P213" s="43" t="s">
        <v>263</v>
      </c>
      <c r="Q213" s="43" t="s">
        <v>264</v>
      </c>
      <c r="R213" s="43" t="s">
        <v>265</v>
      </c>
      <c r="S213" s="43" t="s">
        <v>266</v>
      </c>
      <c r="T213" s="43" t="s">
        <v>267</v>
      </c>
      <c r="U213" s="43" t="s">
        <v>268</v>
      </c>
      <c r="V213" s="43" t="s">
        <v>269</v>
      </c>
      <c r="W213" s="43" t="s">
        <v>270</v>
      </c>
      <c r="X213" s="43" t="s">
        <v>271</v>
      </c>
      <c r="Y213" s="43" t="s">
        <v>272</v>
      </c>
      <c r="Z213" s="43" t="s">
        <v>228</v>
      </c>
      <c r="AA213" s="43" t="s">
        <v>229</v>
      </c>
    </row>
    <row r="214" spans="3:27" x14ac:dyDescent="0.25">
      <c r="C214" s="43" t="s">
        <v>173</v>
      </c>
      <c r="D214" s="43" t="s">
        <v>255</v>
      </c>
      <c r="E214" s="43" t="s">
        <v>255</v>
      </c>
      <c r="F214" s="43">
        <f>IF(OR(ISBLANK('Données_d''entrée'!$E$45),'Données_d''entrée'!$E$45=0),1,'Données_d''entrée'!$E$45)</f>
        <v>1</v>
      </c>
      <c r="G214" s="43" t="e">
        <f ca="1">80*D156*50%</f>
        <v>#NAME?</v>
      </c>
      <c r="H214" s="43">
        <v>0</v>
      </c>
      <c r="I214" s="55" cm="1">
        <f t="array" aca="1" ref="I214" ca="1">IFERROR(_xlfn.IFS($D214="Oui",$G214,AND($D214="Non",$E214="Non",RIGHT(I$213,1)="n"),G214,AND($D214="Non",$E214="Non",RIGHT(I$213,1)&lt;&gt;"n"),0,AND($D214="Non",$E214="Oui",RIGHT(I$213,1)="n"),$G214/$H214,AND($D214="Non",$E214="Oui",_xlfn.NUMBERVALUE(RIGHT(I$213,LEN(I$213)-SEARCH("/",SUBSTITUTE(I$213,"+","/",LEN(I$213)-LEN(SUBSTITUTE(I$213,"+",""))))))&lt;$H214),$G214/$H214),0)</f>
        <v>0</v>
      </c>
      <c r="J214" s="55" cm="1">
        <f t="array" aca="1" ref="J214" ca="1">IFERROR(_xlfn.IFS($D214="Oui",$G214,AND($D214="Non",$E214="Non",RIGHT(J$213,1)="n"),H214,AND($D214="Non",$E214="Non",RIGHT(J$213,1)&lt;&gt;"n"),0,AND($D214="Non",$E214="Oui",RIGHT(J$213,1)="n"),$G214/$H214,AND($D214="Non",$E214="Oui",_xlfn.NUMBERVALUE(RIGHT(J$213,LEN(J$213)-SEARCH("/",SUBSTITUTE(J$213,"+","/",LEN(J$213)-LEN(SUBSTITUTE(J$213,"+",""))))))&lt;$H214),$G214/$H214),0)</f>
        <v>0</v>
      </c>
      <c r="K214" s="55" cm="1">
        <f t="array" aca="1" ref="K214" ca="1">IFERROR(_xlfn.IFS($D214="Oui",$G214,AND($D214="Non",$E214="Non",RIGHT(K$213,1)="n"),I214,AND($D214="Non",$E214="Non",RIGHT(K$213,1)&lt;&gt;"n"),0,AND($D214="Non",$E214="Oui",RIGHT(K$213,1)="n"),$G214/$H214,AND($D214="Non",$E214="Oui",_xlfn.NUMBERVALUE(RIGHT(K$213,LEN(K$213)-SEARCH("/",SUBSTITUTE(K$213,"+","/",LEN(K$213)-LEN(SUBSTITUTE(K$213,"+",""))))))&lt;$H214),$G214/$H214),0)</f>
        <v>0</v>
      </c>
      <c r="L214" s="55" cm="1">
        <f t="array" aca="1" ref="L214" ca="1">IFERROR(_xlfn.IFS($D214="Oui",$G214,AND($D214="Non",$E214="Non",RIGHT(L$213,1)="n"),J214,AND($D214="Non",$E214="Non",RIGHT(L$213,1)&lt;&gt;"n"),0,AND($D214="Non",$E214="Oui",RIGHT(L$213,1)="n"),$G214/$H214,AND($D214="Non",$E214="Oui",_xlfn.NUMBERVALUE(RIGHT(L$213,LEN(L$213)-SEARCH("/",SUBSTITUTE(L$213,"+","/",LEN(L$213)-LEN(SUBSTITUTE(L$213,"+",""))))))&lt;$H214),$G214/$H214),0)</f>
        <v>0</v>
      </c>
      <c r="M214" s="55" cm="1">
        <f t="array" aca="1" ref="M214" ca="1">IFERROR(_xlfn.IFS($D214="Oui",$G214,AND($D214="Non",$E214="Non",RIGHT(M$213,1)="n"),K214,AND($D214="Non",$E214="Non",RIGHT(M$213,1)&lt;&gt;"n"),0,AND($D214="Non",$E214="Oui",RIGHT(M$213,1)="n"),$G214/$H214,AND($D214="Non",$E214="Oui",_xlfn.NUMBERVALUE(RIGHT(M$213,LEN(M$213)-SEARCH("/",SUBSTITUTE(M$213,"+","/",LEN(M$213)-LEN(SUBSTITUTE(M$213,"+",""))))))&lt;$H214),$G214/$H214),0)</f>
        <v>0</v>
      </c>
      <c r="N214" s="55" cm="1">
        <f t="array" aca="1" ref="N214" ca="1">IFERROR(_xlfn.IFS($D214="Oui",$G214,AND($D214="Non",$E214="Non",RIGHT(N$213,1)="n"),L214,AND($D214="Non",$E214="Non",RIGHT(N$213,1)&lt;&gt;"n"),0,AND($D214="Non",$E214="Oui",RIGHT(N$213,1)="n"),$G214/$H214,AND($D214="Non",$E214="Oui",_xlfn.NUMBERVALUE(RIGHT(N$213,LEN(N$213)-SEARCH("/",SUBSTITUTE(N$213,"+","/",LEN(N$213)-LEN(SUBSTITUTE(N$213,"+",""))))))&lt;$H214),$G214/$H214),0)</f>
        <v>0</v>
      </c>
      <c r="O214" s="55" cm="1">
        <f t="array" aca="1" ref="O214" ca="1">IFERROR(_xlfn.IFS($D214="Oui",$G214,AND($D214="Non",$E214="Non",RIGHT(O$213,1)="n"),M214,AND($D214="Non",$E214="Non",RIGHT(O$213,1)&lt;&gt;"n"),0,AND($D214="Non",$E214="Oui",RIGHT(O$213,1)="n"),$G214/$H214,AND($D214="Non",$E214="Oui",_xlfn.NUMBERVALUE(RIGHT(O$213,LEN(O$213)-SEARCH("/",SUBSTITUTE(O$213,"+","/",LEN(O$213)-LEN(SUBSTITUTE(O$213,"+",""))))))&lt;$H214),$G214/$H214),0)</f>
        <v>0</v>
      </c>
      <c r="P214" s="55" cm="1">
        <f t="array" aca="1" ref="P214" ca="1">IFERROR(_xlfn.IFS($D214="Oui",$G214,AND($D214="Non",$E214="Non",RIGHT(P$213,1)="n"),N214,AND($D214="Non",$E214="Non",RIGHT(P$213,1)&lt;&gt;"n"),0,AND($D214="Non",$E214="Oui",RIGHT(P$213,1)="n"),$G214/$H214,AND($D214="Non",$E214="Oui",_xlfn.NUMBERVALUE(RIGHT(P$213,LEN(P$213)-SEARCH("/",SUBSTITUTE(P$213,"+","/",LEN(P$213)-LEN(SUBSTITUTE(P$213,"+",""))))))&lt;$H214),$G214/$H214),0)</f>
        <v>0</v>
      </c>
      <c r="Q214" s="55" cm="1">
        <f t="array" aca="1" ref="Q214" ca="1">IFERROR(_xlfn.IFS($D214="Oui",$G214,AND($D214="Non",$E214="Non",RIGHT(Q$213,1)="n"),O214,AND($D214="Non",$E214="Non",RIGHT(Q$213,1)&lt;&gt;"n"),0,AND($D214="Non",$E214="Oui",RIGHT(Q$213,1)="n"),$G214/$H214,AND($D214="Non",$E214="Oui",_xlfn.NUMBERVALUE(RIGHT(Q$213,LEN(Q$213)-SEARCH("/",SUBSTITUTE(Q$213,"+","/",LEN(Q$213)-LEN(SUBSTITUTE(Q$213,"+",""))))))&lt;$H214),$G214/$H214),0)</f>
        <v>0</v>
      </c>
      <c r="R214" s="55" cm="1">
        <f t="array" aca="1" ref="R214" ca="1">IFERROR(_xlfn.IFS($D214="Oui",$G214,AND($D214="Non",$E214="Non",RIGHT(R$213,1)="n"),P214,AND($D214="Non",$E214="Non",RIGHT(R$213,1)&lt;&gt;"n"),0,AND($D214="Non",$E214="Oui",RIGHT(R$213,1)="n"),$G214/$H214,AND($D214="Non",$E214="Oui",_xlfn.NUMBERVALUE(RIGHT(R$213,LEN(R$213)-SEARCH("/",SUBSTITUTE(R$213,"+","/",LEN(R$213)-LEN(SUBSTITUTE(R$213,"+",""))))))&lt;$H214),$G214/$H214),0)</f>
        <v>0</v>
      </c>
      <c r="S214" s="55" cm="1">
        <f t="array" aca="1" ref="S214" ca="1">IFERROR(_xlfn.IFS($D214="Oui",$G214,AND($D214="Non",$E214="Non",RIGHT(S$213,1)="n"),Q214,AND($D214="Non",$E214="Non",RIGHT(S$213,1)&lt;&gt;"n"),0,AND($D214="Non",$E214="Oui",RIGHT(S$213,1)="n"),$G214/$H214,AND($D214="Non",$E214="Oui",_xlfn.NUMBERVALUE(RIGHT(S$213,LEN(S$213)-SEARCH("/",SUBSTITUTE(S$213,"+","/",LEN(S$213)-LEN(SUBSTITUTE(S$213,"+",""))))))&lt;$H214),$G214/$H214),0)</f>
        <v>0</v>
      </c>
      <c r="T214" s="55" cm="1">
        <f t="array" aca="1" ref="T214" ca="1">IFERROR(_xlfn.IFS($D214="Oui",$G214,AND($D214="Non",$E214="Non",RIGHT(T$213,1)="n"),R214,AND($D214="Non",$E214="Non",RIGHT(T$213,1)&lt;&gt;"n"),0,AND($D214="Non",$E214="Oui",RIGHT(T$213,1)="n"),$G214/$H214,AND($D214="Non",$E214="Oui",_xlfn.NUMBERVALUE(RIGHT(T$213,LEN(T$213)-SEARCH("/",SUBSTITUTE(T$213,"+","/",LEN(T$213)-LEN(SUBSTITUTE(T$213,"+",""))))))&lt;$H214),$G214/$H214),0)</f>
        <v>0</v>
      </c>
      <c r="U214" s="55" cm="1">
        <f t="array" aca="1" ref="U214" ca="1">IFERROR(_xlfn.IFS($D214="Oui",$G214,AND($D214="Non",$E214="Non",RIGHT(U$213,1)="n"),S214,AND($D214="Non",$E214="Non",RIGHT(U$213,1)&lt;&gt;"n"),0,AND($D214="Non",$E214="Oui",RIGHT(U$213,1)="n"),$G214/$H214,AND($D214="Non",$E214="Oui",_xlfn.NUMBERVALUE(RIGHT(U$213,LEN(U$213)-SEARCH("/",SUBSTITUTE(U$213,"+","/",LEN(U$213)-LEN(SUBSTITUTE(U$213,"+",""))))))&lt;$H214),$G214/$H214),0)</f>
        <v>0</v>
      </c>
      <c r="V214" s="55" cm="1">
        <f t="array" aca="1" ref="V214" ca="1">IFERROR(_xlfn.IFS($D214="Oui",$G214,AND($D214="Non",$E214="Non",RIGHT(V$213,1)="n"),T214,AND($D214="Non",$E214="Non",RIGHT(V$213,1)&lt;&gt;"n"),0,AND($D214="Non",$E214="Oui",RIGHT(V$213,1)="n"),$G214/$H214,AND($D214="Non",$E214="Oui",_xlfn.NUMBERVALUE(RIGHT(V$213,LEN(V$213)-SEARCH("/",SUBSTITUTE(V$213,"+","/",LEN(V$213)-LEN(SUBSTITUTE(V$213,"+",""))))))&lt;$H214),$G214/$H214),0)</f>
        <v>0</v>
      </c>
      <c r="W214" s="55" cm="1">
        <f t="array" aca="1" ref="W214" ca="1">IFERROR(_xlfn.IFS($D214="Oui",$G214,AND($D214="Non",$E214="Non",RIGHT(W$213,1)="n"),U214,AND($D214="Non",$E214="Non",RIGHT(W$213,1)&lt;&gt;"n"),0,AND($D214="Non",$E214="Oui",RIGHT(W$213,1)="n"),$G214/$H214,AND($D214="Non",$E214="Oui",_xlfn.NUMBERVALUE(RIGHT(W$213,LEN(W$213)-SEARCH("/",SUBSTITUTE(W$213,"+","/",LEN(W$213)-LEN(SUBSTITUTE(W$213,"+",""))))))&lt;$H214),$G214/$H214),0)</f>
        <v>0</v>
      </c>
      <c r="X214" s="55" cm="1">
        <f t="array" aca="1" ref="X214" ca="1">IFERROR(_xlfn.IFS($D214="Oui",$G214,AND($D214="Non",$E214="Non",RIGHT(X$213,1)="n"),V214,AND($D214="Non",$E214="Non",RIGHT(X$213,1)&lt;&gt;"n"),0,AND($D214="Non",$E214="Oui",RIGHT(X$213,1)="n"),$G214/$H214,AND($D214="Non",$E214="Oui",_xlfn.NUMBERVALUE(RIGHT(X$213,LEN(X$213)-SEARCH("/",SUBSTITUTE(X$213,"+","/",LEN(X$213)-LEN(SUBSTITUTE(X$213,"+",""))))))&lt;$H214),$G214/$H214),0)</f>
        <v>0</v>
      </c>
      <c r="Y214" s="55" cm="1">
        <f t="array" aca="1" ref="Y214" ca="1">IFERROR(_xlfn.IFS($D214="Oui",$G214,AND($D214="Non",$E214="Non",RIGHT(Y$213,1)="n"),W214,AND($D214="Non",$E214="Non",RIGHT(Y$213,1)&lt;&gt;"n"),0,AND($D214="Non",$E214="Oui",RIGHT(Y$213,1)="n"),$G214/$H214,AND($D214="Non",$E214="Oui",_xlfn.NUMBERVALUE(RIGHT(Y$213,LEN(Y$213)-SEARCH("/",SUBSTITUTE(Y$213,"+","/",LEN(Y$213)-LEN(SUBSTITUTE(Y$213,"+",""))))))&lt;$H214),$G214/$H214),0)</f>
        <v>0</v>
      </c>
      <c r="Z214" s="43" t="s">
        <v>249</v>
      </c>
      <c r="AA214" s="43"/>
    </row>
    <row r="215" spans="3:27" x14ac:dyDescent="0.25">
      <c r="C215" s="43" t="s">
        <v>174</v>
      </c>
      <c r="D215" s="43" t="s">
        <v>194</v>
      </c>
      <c r="E215" s="43" t="s">
        <v>255</v>
      </c>
      <c r="F215" s="43">
        <f>IF(OR(ISBLANK('Données_d''entrée'!$E$45),'Données_d''entrée'!$E$45=0),1,'Données_d''entrée'!$E$45)</f>
        <v>1</v>
      </c>
      <c r="G215" s="43">
        <v>0</v>
      </c>
      <c r="H215" s="43">
        <v>0</v>
      </c>
      <c r="I215" s="55" cm="1">
        <f t="array" ref="I215">IFERROR(_xlfn.IFS($D215="Oui",$G215,AND($D215="Non",$E215="Non",RIGHT(I$213,1)="n"),G215,AND($D215="Non",$E215="Non",RIGHT(I$213,1)&lt;&gt;"n"),0,AND($D215="Non",$E215="Oui",RIGHT(I$213,1)="n"),$G215/$H215,AND($D215="Non",$E215="Oui",_xlfn.NUMBERVALUE(RIGHT(I$213,LEN(I$213)-SEARCH("/",SUBSTITUTE(I$213,"+","/",LEN(I$213)-LEN(SUBSTITUTE(I$213,"+",""))))))&lt;$H215),$G215/$H215),0)</f>
        <v>0</v>
      </c>
      <c r="J215" s="55" cm="1">
        <f t="array" ref="J215">IFERROR(_xlfn.IFS($D215="Oui",$G215,AND($D215="Non",$E215="Non",RIGHT(J$213,1)="n"),H215,AND($D215="Non",$E215="Non",RIGHT(J$213,1)&lt;&gt;"n"),0,AND($D215="Non",$E215="Oui",RIGHT(J$213,1)="n"),$G215/$H215,AND($D215="Non",$E215="Oui",_xlfn.NUMBERVALUE(RIGHT(J$213,LEN(J$213)-SEARCH("/",SUBSTITUTE(J$213,"+","/",LEN(J$213)-LEN(SUBSTITUTE(J$213,"+",""))))))&lt;$H215),$G215/$H215),0)</f>
        <v>0</v>
      </c>
      <c r="K215" s="55" cm="1">
        <f t="array" ref="K215">IFERROR(_xlfn.IFS($D215="Oui",$G215,AND($D215="Non",$E215="Non",RIGHT(K$213,1)="n"),I215,AND($D215="Non",$E215="Non",RIGHT(K$213,1)&lt;&gt;"n"),0,AND($D215="Non",$E215="Oui",RIGHT(K$213,1)="n"),$G215/$H215,AND($D215="Non",$E215="Oui",_xlfn.NUMBERVALUE(RIGHT(K$213,LEN(K$213)-SEARCH("/",SUBSTITUTE(K$213,"+","/",LEN(K$213)-LEN(SUBSTITUTE(K$213,"+",""))))))&lt;$H215),$G215/$H215),0)</f>
        <v>0</v>
      </c>
      <c r="L215" s="55" cm="1">
        <f t="array" ref="L215">IFERROR(_xlfn.IFS($D215="Oui",$G215,AND($D215="Non",$E215="Non",RIGHT(L$213,1)="n"),J215,AND($D215="Non",$E215="Non",RIGHT(L$213,1)&lt;&gt;"n"),0,AND($D215="Non",$E215="Oui",RIGHT(L$213,1)="n"),$G215/$H215,AND($D215="Non",$E215="Oui",_xlfn.NUMBERVALUE(RIGHT(L$213,LEN(L$213)-SEARCH("/",SUBSTITUTE(L$213,"+","/",LEN(L$213)-LEN(SUBSTITUTE(L$213,"+",""))))))&lt;$H215),$G215/$H215),0)</f>
        <v>0</v>
      </c>
      <c r="M215" s="55" cm="1">
        <f t="array" ref="M215">IFERROR(_xlfn.IFS($D215="Oui",$G215,AND($D215="Non",$E215="Non",RIGHT(M$213,1)="n"),K215,AND($D215="Non",$E215="Non",RIGHT(M$213,1)&lt;&gt;"n"),0,AND($D215="Non",$E215="Oui",RIGHT(M$213,1)="n"),$G215/$H215,AND($D215="Non",$E215="Oui",_xlfn.NUMBERVALUE(RIGHT(M$213,LEN(M$213)-SEARCH("/",SUBSTITUTE(M$213,"+","/",LEN(M$213)-LEN(SUBSTITUTE(M$213,"+",""))))))&lt;$H215),$G215/$H215),0)</f>
        <v>0</v>
      </c>
      <c r="N215" s="55" cm="1">
        <f t="array" ref="N215">IFERROR(_xlfn.IFS($D215="Oui",$G215,AND($D215="Non",$E215="Non",RIGHT(N$213,1)="n"),L215,AND($D215="Non",$E215="Non",RIGHT(N$213,1)&lt;&gt;"n"),0,AND($D215="Non",$E215="Oui",RIGHT(N$213,1)="n"),$G215/$H215,AND($D215="Non",$E215="Oui",_xlfn.NUMBERVALUE(RIGHT(N$213,LEN(N$213)-SEARCH("/",SUBSTITUTE(N$213,"+","/",LEN(N$213)-LEN(SUBSTITUTE(N$213,"+",""))))))&lt;$H215),$G215/$H215),0)</f>
        <v>0</v>
      </c>
      <c r="O215" s="55" cm="1">
        <f t="array" ref="O215">IFERROR(_xlfn.IFS($D215="Oui",$G215,AND($D215="Non",$E215="Non",RIGHT(O$213,1)="n"),M215,AND($D215="Non",$E215="Non",RIGHT(O$213,1)&lt;&gt;"n"),0,AND($D215="Non",$E215="Oui",RIGHT(O$213,1)="n"),$G215/$H215,AND($D215="Non",$E215="Oui",_xlfn.NUMBERVALUE(RIGHT(O$213,LEN(O$213)-SEARCH("/",SUBSTITUTE(O$213,"+","/",LEN(O$213)-LEN(SUBSTITUTE(O$213,"+",""))))))&lt;$H215),$G215/$H215),0)</f>
        <v>0</v>
      </c>
      <c r="P215" s="55" cm="1">
        <f t="array" ref="P215">IFERROR(_xlfn.IFS($D215="Oui",$G215,AND($D215="Non",$E215="Non",RIGHT(P$213,1)="n"),N215,AND($D215="Non",$E215="Non",RIGHT(P$213,1)&lt;&gt;"n"),0,AND($D215="Non",$E215="Oui",RIGHT(P$213,1)="n"),$G215/$H215,AND($D215="Non",$E215="Oui",_xlfn.NUMBERVALUE(RIGHT(P$213,LEN(P$213)-SEARCH("/",SUBSTITUTE(P$213,"+","/",LEN(P$213)-LEN(SUBSTITUTE(P$213,"+",""))))))&lt;$H215),$G215/$H215),0)</f>
        <v>0</v>
      </c>
      <c r="Q215" s="55" cm="1">
        <f t="array" ref="Q215">IFERROR(_xlfn.IFS($D215="Oui",$G215,AND($D215="Non",$E215="Non",RIGHT(Q$213,1)="n"),O215,AND($D215="Non",$E215="Non",RIGHT(Q$213,1)&lt;&gt;"n"),0,AND($D215="Non",$E215="Oui",RIGHT(Q$213,1)="n"),$G215/$H215,AND($D215="Non",$E215="Oui",_xlfn.NUMBERVALUE(RIGHT(Q$213,LEN(Q$213)-SEARCH("/",SUBSTITUTE(Q$213,"+","/",LEN(Q$213)-LEN(SUBSTITUTE(Q$213,"+",""))))))&lt;$H215),$G215/$H215),0)</f>
        <v>0</v>
      </c>
      <c r="R215" s="55" cm="1">
        <f t="array" ref="R215">IFERROR(_xlfn.IFS($D215="Oui",$G215,AND($D215="Non",$E215="Non",RIGHT(R$213,1)="n"),P215,AND($D215="Non",$E215="Non",RIGHT(R$213,1)&lt;&gt;"n"),0,AND($D215="Non",$E215="Oui",RIGHT(R$213,1)="n"),$G215/$H215,AND($D215="Non",$E215="Oui",_xlfn.NUMBERVALUE(RIGHT(R$213,LEN(R$213)-SEARCH("/",SUBSTITUTE(R$213,"+","/",LEN(R$213)-LEN(SUBSTITUTE(R$213,"+",""))))))&lt;$H215),$G215/$H215),0)</f>
        <v>0</v>
      </c>
      <c r="S215" s="55" cm="1">
        <f t="array" ref="S215">IFERROR(_xlfn.IFS($D215="Oui",$G215,AND($D215="Non",$E215="Non",RIGHT(S$213,1)="n"),Q215,AND($D215="Non",$E215="Non",RIGHT(S$213,1)&lt;&gt;"n"),0,AND($D215="Non",$E215="Oui",RIGHT(S$213,1)="n"),$G215/$H215,AND($D215="Non",$E215="Oui",_xlfn.NUMBERVALUE(RIGHT(S$213,LEN(S$213)-SEARCH("/",SUBSTITUTE(S$213,"+","/",LEN(S$213)-LEN(SUBSTITUTE(S$213,"+",""))))))&lt;$H215),$G215/$H215),0)</f>
        <v>0</v>
      </c>
      <c r="T215" s="55" cm="1">
        <f t="array" ref="T215">IFERROR(_xlfn.IFS($D215="Oui",$G215,AND($D215="Non",$E215="Non",RIGHT(T$213,1)="n"),R215,AND($D215="Non",$E215="Non",RIGHT(T$213,1)&lt;&gt;"n"),0,AND($D215="Non",$E215="Oui",RIGHT(T$213,1)="n"),$G215/$H215,AND($D215="Non",$E215="Oui",_xlfn.NUMBERVALUE(RIGHT(T$213,LEN(T$213)-SEARCH("/",SUBSTITUTE(T$213,"+","/",LEN(T$213)-LEN(SUBSTITUTE(T$213,"+",""))))))&lt;$H215),$G215/$H215),0)</f>
        <v>0</v>
      </c>
      <c r="U215" s="55" cm="1">
        <f t="array" ref="U215">IFERROR(_xlfn.IFS($D215="Oui",$G215,AND($D215="Non",$E215="Non",RIGHT(U$213,1)="n"),S215,AND($D215="Non",$E215="Non",RIGHT(U$213,1)&lt;&gt;"n"),0,AND($D215="Non",$E215="Oui",RIGHT(U$213,1)="n"),$G215/$H215,AND($D215="Non",$E215="Oui",_xlfn.NUMBERVALUE(RIGHT(U$213,LEN(U$213)-SEARCH("/",SUBSTITUTE(U$213,"+","/",LEN(U$213)-LEN(SUBSTITUTE(U$213,"+",""))))))&lt;$H215),$G215/$H215),0)</f>
        <v>0</v>
      </c>
      <c r="V215" s="55" cm="1">
        <f t="array" ref="V215">IFERROR(_xlfn.IFS($D215="Oui",$G215,AND($D215="Non",$E215="Non",RIGHT(V$213,1)="n"),T215,AND($D215="Non",$E215="Non",RIGHT(V$213,1)&lt;&gt;"n"),0,AND($D215="Non",$E215="Oui",RIGHT(V$213,1)="n"),$G215/$H215,AND($D215="Non",$E215="Oui",_xlfn.NUMBERVALUE(RIGHT(V$213,LEN(V$213)-SEARCH("/",SUBSTITUTE(V$213,"+","/",LEN(V$213)-LEN(SUBSTITUTE(V$213,"+",""))))))&lt;$H215),$G215/$H215),0)</f>
        <v>0</v>
      </c>
      <c r="W215" s="55" cm="1">
        <f t="array" ref="W215">IFERROR(_xlfn.IFS($D215="Oui",$G215,AND($D215="Non",$E215="Non",RIGHT(W$213,1)="n"),U215,AND($D215="Non",$E215="Non",RIGHT(W$213,1)&lt;&gt;"n"),0,AND($D215="Non",$E215="Oui",RIGHT(W$213,1)="n"),$G215/$H215,AND($D215="Non",$E215="Oui",_xlfn.NUMBERVALUE(RIGHT(W$213,LEN(W$213)-SEARCH("/",SUBSTITUTE(W$213,"+","/",LEN(W$213)-LEN(SUBSTITUTE(W$213,"+",""))))))&lt;$H215),$G215/$H215),0)</f>
        <v>0</v>
      </c>
      <c r="X215" s="55" cm="1">
        <f t="array" ref="X215">IFERROR(_xlfn.IFS($D215="Oui",$G215,AND($D215="Non",$E215="Non",RIGHT(X$213,1)="n"),V215,AND($D215="Non",$E215="Non",RIGHT(X$213,1)&lt;&gt;"n"),0,AND($D215="Non",$E215="Oui",RIGHT(X$213,1)="n"),$G215/$H215,AND($D215="Non",$E215="Oui",_xlfn.NUMBERVALUE(RIGHT(X$213,LEN(X$213)-SEARCH("/",SUBSTITUTE(X$213,"+","/",LEN(X$213)-LEN(SUBSTITUTE(X$213,"+",""))))))&lt;$H215),$G215/$H215),0)</f>
        <v>0</v>
      </c>
      <c r="Y215" s="55" cm="1">
        <f t="array" ref="Y215">IFERROR(_xlfn.IFS($D215="Oui",$G215,AND($D215="Non",$E215="Non",RIGHT(Y$213,1)="n"),W215,AND($D215="Non",$E215="Non",RIGHT(Y$213,1)&lt;&gt;"n"),0,AND($D215="Non",$E215="Oui",RIGHT(Y$213,1)="n"),$G215/$H215,AND($D215="Non",$E215="Oui",_xlfn.NUMBERVALUE(RIGHT(Y$213,LEN(Y$213)-SEARCH("/",SUBSTITUTE(Y$213,"+","/",LEN(Y$213)-LEN(SUBSTITUTE(Y$213,"+",""))))))&lt;$H215),$G215/$H215),0)</f>
        <v>0</v>
      </c>
      <c r="Z215" s="43" t="s">
        <v>250</v>
      </c>
      <c r="AA215" s="43" t="s">
        <v>230</v>
      </c>
    </row>
    <row r="216" spans="3:27" x14ac:dyDescent="0.25">
      <c r="C216" s="43" t="s">
        <v>175</v>
      </c>
      <c r="D216" s="43" t="s">
        <v>255</v>
      </c>
      <c r="E216" s="43" t="s">
        <v>255</v>
      </c>
      <c r="F216" s="43">
        <f>IF(OR(ISBLANK('Données_d''entrée'!$E$45),'Données_d''entrée'!$E$45=0),1,'Données_d''entrée'!$E$45)</f>
        <v>1</v>
      </c>
      <c r="G216" s="43">
        <f>D180*(4+F216)</f>
        <v>108.79120879120879</v>
      </c>
      <c r="H216" s="43">
        <v>0</v>
      </c>
      <c r="I216" s="55" cm="1">
        <f t="array" aca="1" ref="I216" ca="1">IFERROR(_xlfn.IFS($D216="Oui",$G216,AND($D216="Non",$E216="Non",RIGHT(I$213,1)="n"),G216,AND($D216="Non",$E216="Non",RIGHT(I$213,1)&lt;&gt;"n"),0,AND($D216="Non",$E216="Oui",RIGHT(I$213,1)="n"),$G216/$H216,AND($D216="Non",$E216="Oui",_xlfn.NUMBERVALUE(RIGHT(I$213,LEN(I$213)-SEARCH("/",SUBSTITUTE(I$213,"+","/",LEN(I$213)-LEN(SUBSTITUTE(I$213,"+",""))))))&lt;$H216),$G216/$H216),0)</f>
        <v>0</v>
      </c>
      <c r="J216" s="55" cm="1">
        <f t="array" aca="1" ref="J216" ca="1">IFERROR(_xlfn.IFS($D216="Oui",$G216,AND($D216="Non",$E216="Non",RIGHT(J$213,1)="n"),H216,AND($D216="Non",$E216="Non",RIGHT(J$213,1)&lt;&gt;"n"),0,AND($D216="Non",$E216="Oui",RIGHT(J$213,1)="n"),$G216/$H216,AND($D216="Non",$E216="Oui",_xlfn.NUMBERVALUE(RIGHT(J$213,LEN(J$213)-SEARCH("/",SUBSTITUTE(J$213,"+","/",LEN(J$213)-LEN(SUBSTITUTE(J$213,"+",""))))))&lt;$H216),$G216/$H216),0)</f>
        <v>0</v>
      </c>
      <c r="K216" s="55" cm="1">
        <f t="array" aca="1" ref="K216" ca="1">IFERROR(_xlfn.IFS($D216="Oui",$G216,AND($D216="Non",$E216="Non",RIGHT(K$213,1)="n"),I216,AND($D216="Non",$E216="Non",RIGHT(K$213,1)&lt;&gt;"n"),0,AND($D216="Non",$E216="Oui",RIGHT(K$213,1)="n"),$G216/$H216,AND($D216="Non",$E216="Oui",_xlfn.NUMBERVALUE(RIGHT(K$213,LEN(K$213)-SEARCH("/",SUBSTITUTE(K$213,"+","/",LEN(K$213)-LEN(SUBSTITUTE(K$213,"+",""))))))&lt;$H216),$G216/$H216),0)</f>
        <v>0</v>
      </c>
      <c r="L216" s="55" cm="1">
        <f t="array" aca="1" ref="L216" ca="1">IFERROR(_xlfn.IFS($D216="Oui",$G216,AND($D216="Non",$E216="Non",RIGHT(L$213,1)="n"),J216,AND($D216="Non",$E216="Non",RIGHT(L$213,1)&lt;&gt;"n"),0,AND($D216="Non",$E216="Oui",RIGHT(L$213,1)="n"),$G216/$H216,AND($D216="Non",$E216="Oui",_xlfn.NUMBERVALUE(RIGHT(L$213,LEN(L$213)-SEARCH("/",SUBSTITUTE(L$213,"+","/",LEN(L$213)-LEN(SUBSTITUTE(L$213,"+",""))))))&lt;$H216),$G216/$H216),0)</f>
        <v>0</v>
      </c>
      <c r="M216" s="55" cm="1">
        <f t="array" aca="1" ref="M216" ca="1">IFERROR(_xlfn.IFS($D216="Oui",$G216,AND($D216="Non",$E216="Non",RIGHT(M$213,1)="n"),K216,AND($D216="Non",$E216="Non",RIGHT(M$213,1)&lt;&gt;"n"),0,AND($D216="Non",$E216="Oui",RIGHT(M$213,1)="n"),$G216/$H216,AND($D216="Non",$E216="Oui",_xlfn.NUMBERVALUE(RIGHT(M$213,LEN(M$213)-SEARCH("/",SUBSTITUTE(M$213,"+","/",LEN(M$213)-LEN(SUBSTITUTE(M$213,"+",""))))))&lt;$H216),$G216/$H216),0)</f>
        <v>0</v>
      </c>
      <c r="N216" s="55" cm="1">
        <f t="array" aca="1" ref="N216" ca="1">IFERROR(_xlfn.IFS($D216="Oui",$G216,AND($D216="Non",$E216="Non",RIGHT(N$213,1)="n"),L216,AND($D216="Non",$E216="Non",RIGHT(N$213,1)&lt;&gt;"n"),0,AND($D216="Non",$E216="Oui",RIGHT(N$213,1)="n"),$G216/$H216,AND($D216="Non",$E216="Oui",_xlfn.NUMBERVALUE(RIGHT(N$213,LEN(N$213)-SEARCH("/",SUBSTITUTE(N$213,"+","/",LEN(N$213)-LEN(SUBSTITUTE(N$213,"+",""))))))&lt;$H216),$G216/$H216),0)</f>
        <v>0</v>
      </c>
      <c r="O216" s="55" cm="1">
        <f t="array" aca="1" ref="O216" ca="1">IFERROR(_xlfn.IFS($D216="Oui",$G216,AND($D216="Non",$E216="Non",RIGHT(O$213,1)="n"),M216,AND($D216="Non",$E216="Non",RIGHT(O$213,1)&lt;&gt;"n"),0,AND($D216="Non",$E216="Oui",RIGHT(O$213,1)="n"),$G216/$H216,AND($D216="Non",$E216="Oui",_xlfn.NUMBERVALUE(RIGHT(O$213,LEN(O$213)-SEARCH("/",SUBSTITUTE(O$213,"+","/",LEN(O$213)-LEN(SUBSTITUTE(O$213,"+",""))))))&lt;$H216),$G216/$H216),0)</f>
        <v>0</v>
      </c>
      <c r="P216" s="55" cm="1">
        <f t="array" aca="1" ref="P216" ca="1">IFERROR(_xlfn.IFS($D216="Oui",$G216,AND($D216="Non",$E216="Non",RIGHT(P$213,1)="n"),N216,AND($D216="Non",$E216="Non",RIGHT(P$213,1)&lt;&gt;"n"),0,AND($D216="Non",$E216="Oui",RIGHT(P$213,1)="n"),$G216/$H216,AND($D216="Non",$E216="Oui",_xlfn.NUMBERVALUE(RIGHT(P$213,LEN(P$213)-SEARCH("/",SUBSTITUTE(P$213,"+","/",LEN(P$213)-LEN(SUBSTITUTE(P$213,"+",""))))))&lt;$H216),$G216/$H216),0)</f>
        <v>0</v>
      </c>
      <c r="Q216" s="55" cm="1">
        <f t="array" aca="1" ref="Q216" ca="1">IFERROR(_xlfn.IFS($D216="Oui",$G216,AND($D216="Non",$E216="Non",RIGHT(Q$213,1)="n"),O216,AND($D216="Non",$E216="Non",RIGHT(Q$213,1)&lt;&gt;"n"),0,AND($D216="Non",$E216="Oui",RIGHT(Q$213,1)="n"),$G216/$H216,AND($D216="Non",$E216="Oui",_xlfn.NUMBERVALUE(RIGHT(Q$213,LEN(Q$213)-SEARCH("/",SUBSTITUTE(Q$213,"+","/",LEN(Q$213)-LEN(SUBSTITUTE(Q$213,"+",""))))))&lt;$H216),$G216/$H216),0)</f>
        <v>0</v>
      </c>
      <c r="R216" s="55" cm="1">
        <f t="array" aca="1" ref="R216" ca="1">IFERROR(_xlfn.IFS($D216="Oui",$G216,AND($D216="Non",$E216="Non",RIGHT(R$213,1)="n"),P216,AND($D216="Non",$E216="Non",RIGHT(R$213,1)&lt;&gt;"n"),0,AND($D216="Non",$E216="Oui",RIGHT(R$213,1)="n"),$G216/$H216,AND($D216="Non",$E216="Oui",_xlfn.NUMBERVALUE(RIGHT(R$213,LEN(R$213)-SEARCH("/",SUBSTITUTE(R$213,"+","/",LEN(R$213)-LEN(SUBSTITUTE(R$213,"+",""))))))&lt;$H216),$G216/$H216),0)</f>
        <v>0</v>
      </c>
      <c r="S216" s="55" cm="1">
        <f t="array" aca="1" ref="S216" ca="1">IFERROR(_xlfn.IFS($D216="Oui",$G216,AND($D216="Non",$E216="Non",RIGHT(S$213,1)="n"),Q216,AND($D216="Non",$E216="Non",RIGHT(S$213,1)&lt;&gt;"n"),0,AND($D216="Non",$E216="Oui",RIGHT(S$213,1)="n"),$G216/$H216,AND($D216="Non",$E216="Oui",_xlfn.NUMBERVALUE(RIGHT(S$213,LEN(S$213)-SEARCH("/",SUBSTITUTE(S$213,"+","/",LEN(S$213)-LEN(SUBSTITUTE(S$213,"+",""))))))&lt;$H216),$G216/$H216),0)</f>
        <v>0</v>
      </c>
      <c r="T216" s="55" cm="1">
        <f t="array" aca="1" ref="T216" ca="1">IFERROR(_xlfn.IFS($D216="Oui",$G216,AND($D216="Non",$E216="Non",RIGHT(T$213,1)="n"),R216,AND($D216="Non",$E216="Non",RIGHT(T$213,1)&lt;&gt;"n"),0,AND($D216="Non",$E216="Oui",RIGHT(T$213,1)="n"),$G216/$H216,AND($D216="Non",$E216="Oui",_xlfn.NUMBERVALUE(RIGHT(T$213,LEN(T$213)-SEARCH("/",SUBSTITUTE(T$213,"+","/",LEN(T$213)-LEN(SUBSTITUTE(T$213,"+",""))))))&lt;$H216),$G216/$H216),0)</f>
        <v>0</v>
      </c>
      <c r="U216" s="55" cm="1">
        <f t="array" aca="1" ref="U216" ca="1">IFERROR(_xlfn.IFS($D216="Oui",$G216,AND($D216="Non",$E216="Non",RIGHT(U$213,1)="n"),S216,AND($D216="Non",$E216="Non",RIGHT(U$213,1)&lt;&gt;"n"),0,AND($D216="Non",$E216="Oui",RIGHT(U$213,1)="n"),$G216/$H216,AND($D216="Non",$E216="Oui",_xlfn.NUMBERVALUE(RIGHT(U$213,LEN(U$213)-SEARCH("/",SUBSTITUTE(U$213,"+","/",LEN(U$213)-LEN(SUBSTITUTE(U$213,"+",""))))))&lt;$H216),$G216/$H216),0)</f>
        <v>0</v>
      </c>
      <c r="V216" s="55" cm="1">
        <f t="array" aca="1" ref="V216" ca="1">IFERROR(_xlfn.IFS($D216="Oui",$G216,AND($D216="Non",$E216="Non",RIGHT(V$213,1)="n"),T216,AND($D216="Non",$E216="Non",RIGHT(V$213,1)&lt;&gt;"n"),0,AND($D216="Non",$E216="Oui",RIGHT(V$213,1)="n"),$G216/$H216,AND($D216="Non",$E216="Oui",_xlfn.NUMBERVALUE(RIGHT(V$213,LEN(V$213)-SEARCH("/",SUBSTITUTE(V$213,"+","/",LEN(V$213)-LEN(SUBSTITUTE(V$213,"+",""))))))&lt;$H216),$G216/$H216),0)</f>
        <v>0</v>
      </c>
      <c r="W216" s="55" cm="1">
        <f t="array" aca="1" ref="W216" ca="1">IFERROR(_xlfn.IFS($D216="Oui",$G216,AND($D216="Non",$E216="Non",RIGHT(W$213,1)="n"),U216,AND($D216="Non",$E216="Non",RIGHT(W$213,1)&lt;&gt;"n"),0,AND($D216="Non",$E216="Oui",RIGHT(W$213,1)="n"),$G216/$H216,AND($D216="Non",$E216="Oui",_xlfn.NUMBERVALUE(RIGHT(W$213,LEN(W$213)-SEARCH("/",SUBSTITUTE(W$213,"+","/",LEN(W$213)-LEN(SUBSTITUTE(W$213,"+",""))))))&lt;$H216),$G216/$H216),0)</f>
        <v>0</v>
      </c>
      <c r="X216" s="55" cm="1">
        <f t="array" aca="1" ref="X216" ca="1">IFERROR(_xlfn.IFS($D216="Oui",$G216,AND($D216="Non",$E216="Non",RIGHT(X$213,1)="n"),V216,AND($D216="Non",$E216="Non",RIGHT(X$213,1)&lt;&gt;"n"),0,AND($D216="Non",$E216="Oui",RIGHT(X$213,1)="n"),$G216/$H216,AND($D216="Non",$E216="Oui",_xlfn.NUMBERVALUE(RIGHT(X$213,LEN(X$213)-SEARCH("/",SUBSTITUTE(X$213,"+","/",LEN(X$213)-LEN(SUBSTITUTE(X$213,"+",""))))))&lt;$H216),$G216/$H216),0)</f>
        <v>0</v>
      </c>
      <c r="Y216" s="55" cm="1">
        <f t="array" aca="1" ref="Y216" ca="1">IFERROR(_xlfn.IFS($D216="Oui",$G216,AND($D216="Non",$E216="Non",RIGHT(Y$213,1)="n"),W216,AND($D216="Non",$E216="Non",RIGHT(Y$213,1)&lt;&gt;"n"),0,AND($D216="Non",$E216="Oui",RIGHT(Y$213,1)="n"),$G216/$H216,AND($D216="Non",$E216="Oui",_xlfn.NUMBERVALUE(RIGHT(Y$213,LEN(Y$213)-SEARCH("/",SUBSTITUTE(Y$213,"+","/",LEN(Y$213)-LEN(SUBSTITUTE(Y$213,"+",""))))))&lt;$H216),$G216/$H216),0)</f>
        <v>0</v>
      </c>
      <c r="Z216" s="43" t="s">
        <v>279</v>
      </c>
      <c r="AA216" s="43"/>
    </row>
    <row r="217" spans="3:27" x14ac:dyDescent="0.25">
      <c r="C217" s="43" t="s">
        <v>176</v>
      </c>
      <c r="D217" s="43" t="s">
        <v>255</v>
      </c>
      <c r="E217" s="43" t="s">
        <v>255</v>
      </c>
      <c r="F217" s="43">
        <f>IF(OR(ISBLANK('Données_d''entrée'!$E$45),'Données_d''entrée'!$E$45=0),1,'Données_d''entrée'!$E$45)</f>
        <v>1</v>
      </c>
      <c r="G217" s="43">
        <f>D180*(4+F217)+300*F217</f>
        <v>408.79120879120876</v>
      </c>
      <c r="H217" s="43">
        <v>0</v>
      </c>
      <c r="I217" s="55" cm="1">
        <f t="array" aca="1" ref="I217" ca="1">IFERROR(_xlfn.IFS($D217="Oui",$G217,AND($D217="Non",$E217="Non",RIGHT(I$213,1)="n"),G217,AND($D217="Non",$E217="Non",RIGHT(I$213,1)&lt;&gt;"n"),0,AND($D217="Non",$E217="Oui",RIGHT(I$213,1)="n"),$G217/$H217,AND($D217="Non",$E217="Oui",_xlfn.NUMBERVALUE(RIGHT(I$213,LEN(I$213)-SEARCH("/",SUBSTITUTE(I$213,"+","/",LEN(I$213)-LEN(SUBSTITUTE(I$213,"+",""))))))&lt;$H217),$G217/$H217),0)</f>
        <v>0</v>
      </c>
      <c r="J217" s="55" cm="1">
        <f t="array" aca="1" ref="J217" ca="1">IFERROR(_xlfn.IFS($D217="Oui",$G217,AND($D217="Non",$E217="Non",RIGHT(J$213,1)="n"),H217,AND($D217="Non",$E217="Non",RIGHT(J$213,1)&lt;&gt;"n"),0,AND($D217="Non",$E217="Oui",RIGHT(J$213,1)="n"),$G217/$H217,AND($D217="Non",$E217="Oui",_xlfn.NUMBERVALUE(RIGHT(J$213,LEN(J$213)-SEARCH("/",SUBSTITUTE(J$213,"+","/",LEN(J$213)-LEN(SUBSTITUTE(J$213,"+",""))))))&lt;$H217),$G217/$H217),0)</f>
        <v>0</v>
      </c>
      <c r="K217" s="55" cm="1">
        <f t="array" aca="1" ref="K217" ca="1">IFERROR(_xlfn.IFS($D217="Oui",$G217,AND($D217="Non",$E217="Non",RIGHT(K$213,1)="n"),I217,AND($D217="Non",$E217="Non",RIGHT(K$213,1)&lt;&gt;"n"),0,AND($D217="Non",$E217="Oui",RIGHT(K$213,1)="n"),$G217/$H217,AND($D217="Non",$E217="Oui",_xlfn.NUMBERVALUE(RIGHT(K$213,LEN(K$213)-SEARCH("/",SUBSTITUTE(K$213,"+","/",LEN(K$213)-LEN(SUBSTITUTE(K$213,"+",""))))))&lt;$H217),$G217/$H217),0)</f>
        <v>0</v>
      </c>
      <c r="L217" s="55" cm="1">
        <f t="array" aca="1" ref="L217" ca="1">IFERROR(_xlfn.IFS($D217="Oui",$G217,AND($D217="Non",$E217="Non",RIGHT(L$213,1)="n"),J217,AND($D217="Non",$E217="Non",RIGHT(L$213,1)&lt;&gt;"n"),0,AND($D217="Non",$E217="Oui",RIGHT(L$213,1)="n"),$G217/$H217,AND($D217="Non",$E217="Oui",_xlfn.NUMBERVALUE(RIGHT(L$213,LEN(L$213)-SEARCH("/",SUBSTITUTE(L$213,"+","/",LEN(L$213)-LEN(SUBSTITUTE(L$213,"+",""))))))&lt;$H217),$G217/$H217),0)</f>
        <v>0</v>
      </c>
      <c r="M217" s="55" cm="1">
        <f t="array" aca="1" ref="M217" ca="1">IFERROR(_xlfn.IFS($D217="Oui",$G217,AND($D217="Non",$E217="Non",RIGHT(M$213,1)="n"),K217,AND($D217="Non",$E217="Non",RIGHT(M$213,1)&lt;&gt;"n"),0,AND($D217="Non",$E217="Oui",RIGHT(M$213,1)="n"),$G217/$H217,AND($D217="Non",$E217="Oui",_xlfn.NUMBERVALUE(RIGHT(M$213,LEN(M$213)-SEARCH("/",SUBSTITUTE(M$213,"+","/",LEN(M$213)-LEN(SUBSTITUTE(M$213,"+",""))))))&lt;$H217),$G217/$H217),0)</f>
        <v>0</v>
      </c>
      <c r="N217" s="55" cm="1">
        <f t="array" aca="1" ref="N217" ca="1">IFERROR(_xlfn.IFS($D217="Oui",$G217,AND($D217="Non",$E217="Non",RIGHT(N$213,1)="n"),L217,AND($D217="Non",$E217="Non",RIGHT(N$213,1)&lt;&gt;"n"),0,AND($D217="Non",$E217="Oui",RIGHT(N$213,1)="n"),$G217/$H217,AND($D217="Non",$E217="Oui",_xlfn.NUMBERVALUE(RIGHT(N$213,LEN(N$213)-SEARCH("/",SUBSTITUTE(N$213,"+","/",LEN(N$213)-LEN(SUBSTITUTE(N$213,"+",""))))))&lt;$H217),$G217/$H217),0)</f>
        <v>0</v>
      </c>
      <c r="O217" s="55" cm="1">
        <f t="array" aca="1" ref="O217" ca="1">IFERROR(_xlfn.IFS($D217="Oui",$G217,AND($D217="Non",$E217="Non",RIGHT(O$213,1)="n"),M217,AND($D217="Non",$E217="Non",RIGHT(O$213,1)&lt;&gt;"n"),0,AND($D217="Non",$E217="Oui",RIGHT(O$213,1)="n"),$G217/$H217,AND($D217="Non",$E217="Oui",_xlfn.NUMBERVALUE(RIGHT(O$213,LEN(O$213)-SEARCH("/",SUBSTITUTE(O$213,"+","/",LEN(O$213)-LEN(SUBSTITUTE(O$213,"+",""))))))&lt;$H217),$G217/$H217),0)</f>
        <v>0</v>
      </c>
      <c r="P217" s="55" cm="1">
        <f t="array" aca="1" ref="P217" ca="1">IFERROR(_xlfn.IFS($D217="Oui",$G217,AND($D217="Non",$E217="Non",RIGHT(P$213,1)="n"),N217,AND($D217="Non",$E217="Non",RIGHT(P$213,1)&lt;&gt;"n"),0,AND($D217="Non",$E217="Oui",RIGHT(P$213,1)="n"),$G217/$H217,AND($D217="Non",$E217="Oui",_xlfn.NUMBERVALUE(RIGHT(P$213,LEN(P$213)-SEARCH("/",SUBSTITUTE(P$213,"+","/",LEN(P$213)-LEN(SUBSTITUTE(P$213,"+",""))))))&lt;$H217),$G217/$H217),0)</f>
        <v>0</v>
      </c>
      <c r="Q217" s="55" cm="1">
        <f t="array" aca="1" ref="Q217" ca="1">IFERROR(_xlfn.IFS($D217="Oui",$G217,AND($D217="Non",$E217="Non",RIGHT(Q$213,1)="n"),O217,AND($D217="Non",$E217="Non",RIGHT(Q$213,1)&lt;&gt;"n"),0,AND($D217="Non",$E217="Oui",RIGHT(Q$213,1)="n"),$G217/$H217,AND($D217="Non",$E217="Oui",_xlfn.NUMBERVALUE(RIGHT(Q$213,LEN(Q$213)-SEARCH("/",SUBSTITUTE(Q$213,"+","/",LEN(Q$213)-LEN(SUBSTITUTE(Q$213,"+",""))))))&lt;$H217),$G217/$H217),0)</f>
        <v>0</v>
      </c>
      <c r="R217" s="55" cm="1">
        <f t="array" aca="1" ref="R217" ca="1">IFERROR(_xlfn.IFS($D217="Oui",$G217,AND($D217="Non",$E217="Non",RIGHT(R$213,1)="n"),P217,AND($D217="Non",$E217="Non",RIGHT(R$213,1)&lt;&gt;"n"),0,AND($D217="Non",$E217="Oui",RIGHT(R$213,1)="n"),$G217/$H217,AND($D217="Non",$E217="Oui",_xlfn.NUMBERVALUE(RIGHT(R$213,LEN(R$213)-SEARCH("/",SUBSTITUTE(R$213,"+","/",LEN(R$213)-LEN(SUBSTITUTE(R$213,"+",""))))))&lt;$H217),$G217/$H217),0)</f>
        <v>0</v>
      </c>
      <c r="S217" s="55" cm="1">
        <f t="array" aca="1" ref="S217" ca="1">IFERROR(_xlfn.IFS($D217="Oui",$G217,AND($D217="Non",$E217="Non",RIGHT(S$213,1)="n"),Q217,AND($D217="Non",$E217="Non",RIGHT(S$213,1)&lt;&gt;"n"),0,AND($D217="Non",$E217="Oui",RIGHT(S$213,1)="n"),$G217/$H217,AND($D217="Non",$E217="Oui",_xlfn.NUMBERVALUE(RIGHT(S$213,LEN(S$213)-SEARCH("/",SUBSTITUTE(S$213,"+","/",LEN(S$213)-LEN(SUBSTITUTE(S$213,"+",""))))))&lt;$H217),$G217/$H217),0)</f>
        <v>0</v>
      </c>
      <c r="T217" s="55" cm="1">
        <f t="array" aca="1" ref="T217" ca="1">IFERROR(_xlfn.IFS($D217="Oui",$G217,AND($D217="Non",$E217="Non",RIGHT(T$213,1)="n"),R217,AND($D217="Non",$E217="Non",RIGHT(T$213,1)&lt;&gt;"n"),0,AND($D217="Non",$E217="Oui",RIGHT(T$213,1)="n"),$G217/$H217,AND($D217="Non",$E217="Oui",_xlfn.NUMBERVALUE(RIGHT(T$213,LEN(T$213)-SEARCH("/",SUBSTITUTE(T$213,"+","/",LEN(T$213)-LEN(SUBSTITUTE(T$213,"+",""))))))&lt;$H217),$G217/$H217),0)</f>
        <v>0</v>
      </c>
      <c r="U217" s="55" cm="1">
        <f t="array" aca="1" ref="U217" ca="1">IFERROR(_xlfn.IFS($D217="Oui",$G217,AND($D217="Non",$E217="Non",RIGHT(U$213,1)="n"),S217,AND($D217="Non",$E217="Non",RIGHT(U$213,1)&lt;&gt;"n"),0,AND($D217="Non",$E217="Oui",RIGHT(U$213,1)="n"),$G217/$H217,AND($D217="Non",$E217="Oui",_xlfn.NUMBERVALUE(RIGHT(U$213,LEN(U$213)-SEARCH("/",SUBSTITUTE(U$213,"+","/",LEN(U$213)-LEN(SUBSTITUTE(U$213,"+",""))))))&lt;$H217),$G217/$H217),0)</f>
        <v>0</v>
      </c>
      <c r="V217" s="55" cm="1">
        <f t="array" aca="1" ref="V217" ca="1">IFERROR(_xlfn.IFS($D217="Oui",$G217,AND($D217="Non",$E217="Non",RIGHT(V$213,1)="n"),T217,AND($D217="Non",$E217="Non",RIGHT(V$213,1)&lt;&gt;"n"),0,AND($D217="Non",$E217="Oui",RIGHT(V$213,1)="n"),$G217/$H217,AND($D217="Non",$E217="Oui",_xlfn.NUMBERVALUE(RIGHT(V$213,LEN(V$213)-SEARCH("/",SUBSTITUTE(V$213,"+","/",LEN(V$213)-LEN(SUBSTITUTE(V$213,"+",""))))))&lt;$H217),$G217/$H217),0)</f>
        <v>0</v>
      </c>
      <c r="W217" s="55" cm="1">
        <f t="array" aca="1" ref="W217" ca="1">IFERROR(_xlfn.IFS($D217="Oui",$G217,AND($D217="Non",$E217="Non",RIGHT(W$213,1)="n"),U217,AND($D217="Non",$E217="Non",RIGHT(W$213,1)&lt;&gt;"n"),0,AND($D217="Non",$E217="Oui",RIGHT(W$213,1)="n"),$G217/$H217,AND($D217="Non",$E217="Oui",_xlfn.NUMBERVALUE(RIGHT(W$213,LEN(W$213)-SEARCH("/",SUBSTITUTE(W$213,"+","/",LEN(W$213)-LEN(SUBSTITUTE(W$213,"+",""))))))&lt;$H217),$G217/$H217),0)</f>
        <v>0</v>
      </c>
      <c r="X217" s="55" cm="1">
        <f t="array" aca="1" ref="X217" ca="1">IFERROR(_xlfn.IFS($D217="Oui",$G217,AND($D217="Non",$E217="Non",RIGHT(X$213,1)="n"),V217,AND($D217="Non",$E217="Non",RIGHT(X$213,1)&lt;&gt;"n"),0,AND($D217="Non",$E217="Oui",RIGHT(X$213,1)="n"),$G217/$H217,AND($D217="Non",$E217="Oui",_xlfn.NUMBERVALUE(RIGHT(X$213,LEN(X$213)-SEARCH("/",SUBSTITUTE(X$213,"+","/",LEN(X$213)-LEN(SUBSTITUTE(X$213,"+",""))))))&lt;$H217),$G217/$H217),0)</f>
        <v>0</v>
      </c>
      <c r="Y217" s="55" cm="1">
        <f t="array" aca="1" ref="Y217" ca="1">IFERROR(_xlfn.IFS($D217="Oui",$G217,AND($D217="Non",$E217="Non",RIGHT(Y$213,1)="n"),W217,AND($D217="Non",$E217="Non",RIGHT(Y$213,1)&lt;&gt;"n"),0,AND($D217="Non",$E217="Oui",RIGHT(Y$213,1)="n"),$G217/$H217,AND($D217="Non",$E217="Oui",_xlfn.NUMBERVALUE(RIGHT(Y$213,LEN(Y$213)-SEARCH("/",SUBSTITUTE(Y$213,"+","/",LEN(Y$213)-LEN(SUBSTITUTE(Y$213,"+",""))))))&lt;$H217),$G217/$H217),0)</f>
        <v>0</v>
      </c>
      <c r="Z217" s="43" t="s">
        <v>280</v>
      </c>
      <c r="AA217" s="43"/>
    </row>
    <row r="218" spans="3:27" x14ac:dyDescent="0.25">
      <c r="C218" s="43" t="s">
        <v>177</v>
      </c>
      <c r="D218" s="43" t="s">
        <v>255</v>
      </c>
      <c r="E218" s="43" t="s">
        <v>255</v>
      </c>
      <c r="F218" s="43">
        <f>IF(OR(ISBLANK('Données_d''entrée'!$E$45),'Données_d''entrée'!$E$45=0),1,'Données_d''entrée'!$E$45)</f>
        <v>1</v>
      </c>
      <c r="G218" s="43">
        <v>0</v>
      </c>
      <c r="H218" s="43">
        <v>0</v>
      </c>
      <c r="I218" s="55" cm="1">
        <f t="array" ref="I218">IFERROR(_xlfn.IFS($D218="Oui",$G218,AND($D218="Non",$E218="Non",RIGHT(I$213,1)="n"),G218,AND($D218="Non",$E218="Non",RIGHT(I$213,1)&lt;&gt;"n"),0,AND($D218="Non",$E218="Oui",RIGHT(I$213,1)="n"),$G218/$H218,AND($D218="Non",$E218="Oui",_xlfn.NUMBERVALUE(RIGHT(I$213,LEN(I$213)-SEARCH("/",SUBSTITUTE(I$213,"+","/",LEN(I$213)-LEN(SUBSTITUTE(I$213,"+",""))))))&lt;$H218),$G218/$H218),0)</f>
        <v>0</v>
      </c>
      <c r="J218" s="55" cm="1">
        <f t="array" ref="J218">IFERROR(_xlfn.IFS($D218="Oui",$G218,AND($D218="Non",$E218="Non",RIGHT(J$213,1)="n"),H218,AND($D218="Non",$E218="Non",RIGHT(J$213,1)&lt;&gt;"n"),0,AND($D218="Non",$E218="Oui",RIGHT(J$213,1)="n"),$G218/$H218,AND($D218="Non",$E218="Oui",_xlfn.NUMBERVALUE(RIGHT(J$213,LEN(J$213)-SEARCH("/",SUBSTITUTE(J$213,"+","/",LEN(J$213)-LEN(SUBSTITUTE(J$213,"+",""))))))&lt;$H218),$G218/$H218),0)</f>
        <v>0</v>
      </c>
      <c r="K218" s="55" cm="1">
        <f t="array" ref="K218">IFERROR(_xlfn.IFS($D218="Oui",$G218,AND($D218="Non",$E218="Non",RIGHT(K$213,1)="n"),I218,AND($D218="Non",$E218="Non",RIGHT(K$213,1)&lt;&gt;"n"),0,AND($D218="Non",$E218="Oui",RIGHT(K$213,1)="n"),$G218/$H218,AND($D218="Non",$E218="Oui",_xlfn.NUMBERVALUE(RIGHT(K$213,LEN(K$213)-SEARCH("/",SUBSTITUTE(K$213,"+","/",LEN(K$213)-LEN(SUBSTITUTE(K$213,"+",""))))))&lt;$H218),$G218/$H218),0)</f>
        <v>0</v>
      </c>
      <c r="L218" s="55" cm="1">
        <f t="array" ref="L218">IFERROR(_xlfn.IFS($D218="Oui",$G218,AND($D218="Non",$E218="Non",RIGHT(L$213,1)="n"),J218,AND($D218="Non",$E218="Non",RIGHT(L$213,1)&lt;&gt;"n"),0,AND($D218="Non",$E218="Oui",RIGHT(L$213,1)="n"),$G218/$H218,AND($D218="Non",$E218="Oui",_xlfn.NUMBERVALUE(RIGHT(L$213,LEN(L$213)-SEARCH("/",SUBSTITUTE(L$213,"+","/",LEN(L$213)-LEN(SUBSTITUTE(L$213,"+",""))))))&lt;$H218),$G218/$H218),0)</f>
        <v>0</v>
      </c>
      <c r="M218" s="55" cm="1">
        <f t="array" ref="M218">IFERROR(_xlfn.IFS($D218="Oui",$G218,AND($D218="Non",$E218="Non",RIGHT(M$213,1)="n"),K218,AND($D218="Non",$E218="Non",RIGHT(M$213,1)&lt;&gt;"n"),0,AND($D218="Non",$E218="Oui",RIGHT(M$213,1)="n"),$G218/$H218,AND($D218="Non",$E218="Oui",_xlfn.NUMBERVALUE(RIGHT(M$213,LEN(M$213)-SEARCH("/",SUBSTITUTE(M$213,"+","/",LEN(M$213)-LEN(SUBSTITUTE(M$213,"+",""))))))&lt;$H218),$G218/$H218),0)</f>
        <v>0</v>
      </c>
      <c r="N218" s="55" cm="1">
        <f t="array" ref="N218">IFERROR(_xlfn.IFS($D218="Oui",$G218,AND($D218="Non",$E218="Non",RIGHT(N$213,1)="n"),L218,AND($D218="Non",$E218="Non",RIGHT(N$213,1)&lt;&gt;"n"),0,AND($D218="Non",$E218="Oui",RIGHT(N$213,1)="n"),$G218/$H218,AND($D218="Non",$E218="Oui",_xlfn.NUMBERVALUE(RIGHT(N$213,LEN(N$213)-SEARCH("/",SUBSTITUTE(N$213,"+","/",LEN(N$213)-LEN(SUBSTITUTE(N$213,"+",""))))))&lt;$H218),$G218/$H218),0)</f>
        <v>0</v>
      </c>
      <c r="O218" s="55" cm="1">
        <f t="array" ref="O218">IFERROR(_xlfn.IFS($D218="Oui",$G218,AND($D218="Non",$E218="Non",RIGHT(O$213,1)="n"),M218,AND($D218="Non",$E218="Non",RIGHT(O$213,1)&lt;&gt;"n"),0,AND($D218="Non",$E218="Oui",RIGHT(O$213,1)="n"),$G218/$H218,AND($D218="Non",$E218="Oui",_xlfn.NUMBERVALUE(RIGHT(O$213,LEN(O$213)-SEARCH("/",SUBSTITUTE(O$213,"+","/",LEN(O$213)-LEN(SUBSTITUTE(O$213,"+",""))))))&lt;$H218),$G218/$H218),0)</f>
        <v>0</v>
      </c>
      <c r="P218" s="55" cm="1">
        <f t="array" ref="P218">IFERROR(_xlfn.IFS($D218="Oui",$G218,AND($D218="Non",$E218="Non",RIGHT(P$213,1)="n"),N218,AND($D218="Non",$E218="Non",RIGHT(P$213,1)&lt;&gt;"n"),0,AND($D218="Non",$E218="Oui",RIGHT(P$213,1)="n"),$G218/$H218,AND($D218="Non",$E218="Oui",_xlfn.NUMBERVALUE(RIGHT(P$213,LEN(P$213)-SEARCH("/",SUBSTITUTE(P$213,"+","/",LEN(P$213)-LEN(SUBSTITUTE(P$213,"+",""))))))&lt;$H218),$G218/$H218),0)</f>
        <v>0</v>
      </c>
      <c r="Q218" s="55" cm="1">
        <f t="array" ref="Q218">IFERROR(_xlfn.IFS($D218="Oui",$G218,AND($D218="Non",$E218="Non",RIGHT(Q$213,1)="n"),O218,AND($D218="Non",$E218="Non",RIGHT(Q$213,1)&lt;&gt;"n"),0,AND($D218="Non",$E218="Oui",RIGHT(Q$213,1)="n"),$G218/$H218,AND($D218="Non",$E218="Oui",_xlfn.NUMBERVALUE(RIGHT(Q$213,LEN(Q$213)-SEARCH("/",SUBSTITUTE(Q$213,"+","/",LEN(Q$213)-LEN(SUBSTITUTE(Q$213,"+",""))))))&lt;$H218),$G218/$H218),0)</f>
        <v>0</v>
      </c>
      <c r="R218" s="55" cm="1">
        <f t="array" ref="R218">IFERROR(_xlfn.IFS($D218="Oui",$G218,AND($D218="Non",$E218="Non",RIGHT(R$213,1)="n"),P218,AND($D218="Non",$E218="Non",RIGHT(R$213,1)&lt;&gt;"n"),0,AND($D218="Non",$E218="Oui",RIGHT(R$213,1)="n"),$G218/$H218,AND($D218="Non",$E218="Oui",_xlfn.NUMBERVALUE(RIGHT(R$213,LEN(R$213)-SEARCH("/",SUBSTITUTE(R$213,"+","/",LEN(R$213)-LEN(SUBSTITUTE(R$213,"+",""))))))&lt;$H218),$G218/$H218),0)</f>
        <v>0</v>
      </c>
      <c r="S218" s="55" cm="1">
        <f t="array" ref="S218">IFERROR(_xlfn.IFS($D218="Oui",$G218,AND($D218="Non",$E218="Non",RIGHT(S$213,1)="n"),Q218,AND($D218="Non",$E218="Non",RIGHT(S$213,1)&lt;&gt;"n"),0,AND($D218="Non",$E218="Oui",RIGHT(S$213,1)="n"),$G218/$H218,AND($D218="Non",$E218="Oui",_xlfn.NUMBERVALUE(RIGHT(S$213,LEN(S$213)-SEARCH("/",SUBSTITUTE(S$213,"+","/",LEN(S$213)-LEN(SUBSTITUTE(S$213,"+",""))))))&lt;$H218),$G218/$H218),0)</f>
        <v>0</v>
      </c>
      <c r="T218" s="55" cm="1">
        <f t="array" ref="T218">IFERROR(_xlfn.IFS($D218="Oui",$G218,AND($D218="Non",$E218="Non",RIGHT(T$213,1)="n"),R218,AND($D218="Non",$E218="Non",RIGHT(T$213,1)&lt;&gt;"n"),0,AND($D218="Non",$E218="Oui",RIGHT(T$213,1)="n"),$G218/$H218,AND($D218="Non",$E218="Oui",_xlfn.NUMBERVALUE(RIGHT(T$213,LEN(T$213)-SEARCH("/",SUBSTITUTE(T$213,"+","/",LEN(T$213)-LEN(SUBSTITUTE(T$213,"+",""))))))&lt;$H218),$G218/$H218),0)</f>
        <v>0</v>
      </c>
      <c r="U218" s="55" cm="1">
        <f t="array" ref="U218">IFERROR(_xlfn.IFS($D218="Oui",$G218,AND($D218="Non",$E218="Non",RIGHT(U$213,1)="n"),S218,AND($D218="Non",$E218="Non",RIGHT(U$213,1)&lt;&gt;"n"),0,AND($D218="Non",$E218="Oui",RIGHT(U$213,1)="n"),$G218/$H218,AND($D218="Non",$E218="Oui",_xlfn.NUMBERVALUE(RIGHT(U$213,LEN(U$213)-SEARCH("/",SUBSTITUTE(U$213,"+","/",LEN(U$213)-LEN(SUBSTITUTE(U$213,"+",""))))))&lt;$H218),$G218/$H218),0)</f>
        <v>0</v>
      </c>
      <c r="V218" s="55" cm="1">
        <f t="array" ref="V218">IFERROR(_xlfn.IFS($D218="Oui",$G218,AND($D218="Non",$E218="Non",RIGHT(V$213,1)="n"),T218,AND($D218="Non",$E218="Non",RIGHT(V$213,1)&lt;&gt;"n"),0,AND($D218="Non",$E218="Oui",RIGHT(V$213,1)="n"),$G218/$H218,AND($D218="Non",$E218="Oui",_xlfn.NUMBERVALUE(RIGHT(V$213,LEN(V$213)-SEARCH("/",SUBSTITUTE(V$213,"+","/",LEN(V$213)-LEN(SUBSTITUTE(V$213,"+",""))))))&lt;$H218),$G218/$H218),0)</f>
        <v>0</v>
      </c>
      <c r="W218" s="55" cm="1">
        <f t="array" ref="W218">IFERROR(_xlfn.IFS($D218="Oui",$G218,AND($D218="Non",$E218="Non",RIGHT(W$213,1)="n"),U218,AND($D218="Non",$E218="Non",RIGHT(W$213,1)&lt;&gt;"n"),0,AND($D218="Non",$E218="Oui",RIGHT(W$213,1)="n"),$G218/$H218,AND($D218="Non",$E218="Oui",_xlfn.NUMBERVALUE(RIGHT(W$213,LEN(W$213)-SEARCH("/",SUBSTITUTE(W$213,"+","/",LEN(W$213)-LEN(SUBSTITUTE(W$213,"+",""))))))&lt;$H218),$G218/$H218),0)</f>
        <v>0</v>
      </c>
      <c r="X218" s="55" cm="1">
        <f t="array" ref="X218">IFERROR(_xlfn.IFS($D218="Oui",$G218,AND($D218="Non",$E218="Non",RIGHT(X$213,1)="n"),V218,AND($D218="Non",$E218="Non",RIGHT(X$213,1)&lt;&gt;"n"),0,AND($D218="Non",$E218="Oui",RIGHT(X$213,1)="n"),$G218/$H218,AND($D218="Non",$E218="Oui",_xlfn.NUMBERVALUE(RIGHT(X$213,LEN(X$213)-SEARCH("/",SUBSTITUTE(X$213,"+","/",LEN(X$213)-LEN(SUBSTITUTE(X$213,"+",""))))))&lt;$H218),$G218/$H218),0)</f>
        <v>0</v>
      </c>
      <c r="Y218" s="55" cm="1">
        <f t="array" ref="Y218">IFERROR(_xlfn.IFS($D218="Oui",$G218,AND($D218="Non",$E218="Non",RIGHT(Y$213,1)="n"),W218,AND($D218="Non",$E218="Non",RIGHT(Y$213,1)&lt;&gt;"n"),0,AND($D218="Non",$E218="Oui",RIGHT(Y$213,1)="n"),$G218/$H218,AND($D218="Non",$E218="Oui",_xlfn.NUMBERVALUE(RIGHT(Y$213,LEN(Y$213)-SEARCH("/",SUBSTITUTE(Y$213,"+","/",LEN(Y$213)-LEN(SUBSTITUTE(Y$213,"+",""))))))&lt;$H218),$G218/$H218),0)</f>
        <v>0</v>
      </c>
      <c r="Z218" s="43" t="s">
        <v>231</v>
      </c>
      <c r="AA218" s="43"/>
    </row>
    <row r="219" spans="3:27" x14ac:dyDescent="0.25">
      <c r="C219" s="43" t="s">
        <v>178</v>
      </c>
      <c r="D219" s="43" t="s">
        <v>255</v>
      </c>
      <c r="E219" s="43" t="s">
        <v>194</v>
      </c>
      <c r="F219" s="43">
        <f>IF(OR(ISBLANK('Données_d''entrée'!$E$45),'Données_d''entrée'!$E$45=0),1,'Données_d''entrée'!$E$45)</f>
        <v>1</v>
      </c>
      <c r="G219" s="43">
        <f>2500*F219</f>
        <v>2500</v>
      </c>
      <c r="H219" s="43">
        <v>10</v>
      </c>
      <c r="I219" s="55" cm="1">
        <f t="array" aca="1" ref="I219" ca="1">IFERROR(_xlfn.IFS($D219="Oui",$G219,AND($D219="Non",$E219="Non",RIGHT(I$213,1)="n"),G219,AND($D219="Non",$E219="Non",RIGHT(I$213,1)&lt;&gt;"n"),0,AND($D219="Non",$E219="Oui",RIGHT(I$213,1)="n"),$G219/$H219,AND($D219="Non",$E219="Oui",_xlfn.NUMBERVALUE(RIGHT(I$213,LEN(I$213)-SEARCH("/",SUBSTITUTE(I$213,"+","/",LEN(I$213)-LEN(SUBSTITUTE(I$213,"+",""))))))&lt;$H219),$G219/$H219),0)</f>
        <v>0</v>
      </c>
      <c r="J219" s="55" cm="1">
        <f t="array" aca="1" ref="J219" ca="1">IFERROR(_xlfn.IFS($D219="Oui",$G219,AND($D219="Non",$E219="Non",RIGHT(J$213,1)="n"),H219,AND($D219="Non",$E219="Non",RIGHT(J$213,1)&lt;&gt;"n"),0,AND($D219="Non",$E219="Oui",RIGHT(J$213,1)="n"),$G219/$H219,AND($D219="Non",$E219="Oui",_xlfn.NUMBERVALUE(RIGHT(J$213,LEN(J$213)-SEARCH("/",SUBSTITUTE(J$213,"+","/",LEN(J$213)-LEN(SUBSTITUTE(J$213,"+",""))))))&lt;$H219),$G219/$H219),0)</f>
        <v>0</v>
      </c>
      <c r="K219" s="55" cm="1">
        <f t="array" aca="1" ref="K219" ca="1">IFERROR(_xlfn.IFS($D219="Oui",$G219,AND($D219="Non",$E219="Non",RIGHT(K$213,1)="n"),I219,AND($D219="Non",$E219="Non",RIGHT(K$213,1)&lt;&gt;"n"),0,AND($D219="Non",$E219="Oui",RIGHT(K$213,1)="n"),$G219/$H219,AND($D219="Non",$E219="Oui",_xlfn.NUMBERVALUE(RIGHT(K$213,LEN(K$213)-SEARCH("/",SUBSTITUTE(K$213,"+","/",LEN(K$213)-LEN(SUBSTITUTE(K$213,"+",""))))))&lt;$H219),$G219/$H219),0)</f>
        <v>0</v>
      </c>
      <c r="L219" s="55" cm="1">
        <f t="array" aca="1" ref="L219" ca="1">IFERROR(_xlfn.IFS($D219="Oui",$G219,AND($D219="Non",$E219="Non",RIGHT(L$213,1)="n"),J219,AND($D219="Non",$E219="Non",RIGHT(L$213,1)&lt;&gt;"n"),0,AND($D219="Non",$E219="Oui",RIGHT(L$213,1)="n"),$G219/$H219,AND($D219="Non",$E219="Oui",_xlfn.NUMBERVALUE(RIGHT(L$213,LEN(L$213)-SEARCH("/",SUBSTITUTE(L$213,"+","/",LEN(L$213)-LEN(SUBSTITUTE(L$213,"+",""))))))&lt;$H219),$G219/$H219),0)</f>
        <v>0</v>
      </c>
      <c r="M219" s="55" cm="1">
        <f t="array" aca="1" ref="M219" ca="1">IFERROR(_xlfn.IFS($D219="Oui",$G219,AND($D219="Non",$E219="Non",RIGHT(M$213,1)="n"),K219,AND($D219="Non",$E219="Non",RIGHT(M$213,1)&lt;&gt;"n"),0,AND($D219="Non",$E219="Oui",RIGHT(M$213,1)="n"),$G219/$H219,AND($D219="Non",$E219="Oui",_xlfn.NUMBERVALUE(RIGHT(M$213,LEN(M$213)-SEARCH("/",SUBSTITUTE(M$213,"+","/",LEN(M$213)-LEN(SUBSTITUTE(M$213,"+",""))))))&lt;$H219),$G219/$H219),0)</f>
        <v>0</v>
      </c>
      <c r="N219" s="55" cm="1">
        <f t="array" aca="1" ref="N219" ca="1">IFERROR(_xlfn.IFS($D219="Oui",$G219,AND($D219="Non",$E219="Non",RIGHT(N$213,1)="n"),L219,AND($D219="Non",$E219="Non",RIGHT(N$213,1)&lt;&gt;"n"),0,AND($D219="Non",$E219="Oui",RIGHT(N$213,1)="n"),$G219/$H219,AND($D219="Non",$E219="Oui",_xlfn.NUMBERVALUE(RIGHT(N$213,LEN(N$213)-SEARCH("/",SUBSTITUTE(N$213,"+","/",LEN(N$213)-LEN(SUBSTITUTE(N$213,"+",""))))))&lt;$H219),$G219/$H219),0)</f>
        <v>0</v>
      </c>
      <c r="O219" s="55" cm="1">
        <f t="array" aca="1" ref="O219" ca="1">IFERROR(_xlfn.IFS($D219="Oui",$G219,AND($D219="Non",$E219="Non",RIGHT(O$213,1)="n"),M219,AND($D219="Non",$E219="Non",RIGHT(O$213,1)&lt;&gt;"n"),0,AND($D219="Non",$E219="Oui",RIGHT(O$213,1)="n"),$G219/$H219,AND($D219="Non",$E219="Oui",_xlfn.NUMBERVALUE(RIGHT(O$213,LEN(O$213)-SEARCH("/",SUBSTITUTE(O$213,"+","/",LEN(O$213)-LEN(SUBSTITUTE(O$213,"+",""))))))&lt;$H219),$G219/$H219),0)</f>
        <v>0</v>
      </c>
      <c r="P219" s="55" cm="1">
        <f t="array" aca="1" ref="P219" ca="1">IFERROR(_xlfn.IFS($D219="Oui",$G219,AND($D219="Non",$E219="Non",RIGHT(P$213,1)="n"),N219,AND($D219="Non",$E219="Non",RIGHT(P$213,1)&lt;&gt;"n"),0,AND($D219="Non",$E219="Oui",RIGHT(P$213,1)="n"),$G219/$H219,AND($D219="Non",$E219="Oui",_xlfn.NUMBERVALUE(RIGHT(P$213,LEN(P$213)-SEARCH("/",SUBSTITUTE(P$213,"+","/",LEN(P$213)-LEN(SUBSTITUTE(P$213,"+",""))))))&lt;$H219),$G219/$H219),0)</f>
        <v>0</v>
      </c>
      <c r="Q219" s="55" cm="1">
        <f t="array" aca="1" ref="Q219" ca="1">IFERROR(_xlfn.IFS($D219="Oui",$G219,AND($D219="Non",$E219="Non",RIGHT(Q$213,1)="n"),O219,AND($D219="Non",$E219="Non",RIGHT(Q$213,1)&lt;&gt;"n"),0,AND($D219="Non",$E219="Oui",RIGHT(Q$213,1)="n"),$G219/$H219,AND($D219="Non",$E219="Oui",_xlfn.NUMBERVALUE(RIGHT(Q$213,LEN(Q$213)-SEARCH("/",SUBSTITUTE(Q$213,"+","/",LEN(Q$213)-LEN(SUBSTITUTE(Q$213,"+",""))))))&lt;$H219),$G219/$H219),0)</f>
        <v>0</v>
      </c>
      <c r="R219" s="55" cm="1">
        <f t="array" aca="1" ref="R219" ca="1">IFERROR(_xlfn.IFS($D219="Oui",$G219,AND($D219="Non",$E219="Non",RIGHT(R$213,1)="n"),P219,AND($D219="Non",$E219="Non",RIGHT(R$213,1)&lt;&gt;"n"),0,AND($D219="Non",$E219="Oui",RIGHT(R$213,1)="n"),$G219/$H219,AND($D219="Non",$E219="Oui",_xlfn.NUMBERVALUE(RIGHT(R$213,LEN(R$213)-SEARCH("/",SUBSTITUTE(R$213,"+","/",LEN(R$213)-LEN(SUBSTITUTE(R$213,"+",""))))))&lt;$H219),$G219/$H219),0)</f>
        <v>0</v>
      </c>
      <c r="S219" s="55" cm="1">
        <f t="array" aca="1" ref="S219" ca="1">IFERROR(_xlfn.IFS($D219="Oui",$G219,AND($D219="Non",$E219="Non",RIGHT(S$213,1)="n"),Q219,AND($D219="Non",$E219="Non",RIGHT(S$213,1)&lt;&gt;"n"),0,AND($D219="Non",$E219="Oui",RIGHT(S$213,1)="n"),$G219/$H219,AND($D219="Non",$E219="Oui",_xlfn.NUMBERVALUE(RIGHT(S$213,LEN(S$213)-SEARCH("/",SUBSTITUTE(S$213,"+","/",LEN(S$213)-LEN(SUBSTITUTE(S$213,"+",""))))))&lt;$H219),$G219/$H219),0)</f>
        <v>0</v>
      </c>
      <c r="T219" s="55" cm="1">
        <f t="array" aca="1" ref="T219" ca="1">IFERROR(_xlfn.IFS($D219="Oui",$G219,AND($D219="Non",$E219="Non",RIGHT(T$213,1)="n"),R219,AND($D219="Non",$E219="Non",RIGHT(T$213,1)&lt;&gt;"n"),0,AND($D219="Non",$E219="Oui",RIGHT(T$213,1)="n"),$G219/$H219,AND($D219="Non",$E219="Oui",_xlfn.NUMBERVALUE(RIGHT(T$213,LEN(T$213)-SEARCH("/",SUBSTITUTE(T$213,"+","/",LEN(T$213)-LEN(SUBSTITUTE(T$213,"+",""))))))&lt;$H219),$G219/$H219),0)</f>
        <v>0</v>
      </c>
      <c r="U219" s="55" cm="1">
        <f t="array" aca="1" ref="U219" ca="1">IFERROR(_xlfn.IFS($D219="Oui",$G219,AND($D219="Non",$E219="Non",RIGHT(U$213,1)="n"),S219,AND($D219="Non",$E219="Non",RIGHT(U$213,1)&lt;&gt;"n"),0,AND($D219="Non",$E219="Oui",RIGHT(U$213,1)="n"),$G219/$H219,AND($D219="Non",$E219="Oui",_xlfn.NUMBERVALUE(RIGHT(U$213,LEN(U$213)-SEARCH("/",SUBSTITUTE(U$213,"+","/",LEN(U$213)-LEN(SUBSTITUTE(U$213,"+",""))))))&lt;$H219),$G219/$H219),0)</f>
        <v>0</v>
      </c>
      <c r="V219" s="55" cm="1">
        <f t="array" aca="1" ref="V219" ca="1">IFERROR(_xlfn.IFS($D219="Oui",$G219,AND($D219="Non",$E219="Non",RIGHT(V$213,1)="n"),T219,AND($D219="Non",$E219="Non",RIGHT(V$213,1)&lt;&gt;"n"),0,AND($D219="Non",$E219="Oui",RIGHT(V$213,1)="n"),$G219/$H219,AND($D219="Non",$E219="Oui",_xlfn.NUMBERVALUE(RIGHT(V$213,LEN(V$213)-SEARCH("/",SUBSTITUTE(V$213,"+","/",LEN(V$213)-LEN(SUBSTITUTE(V$213,"+",""))))))&lt;$H219),$G219/$H219),0)</f>
        <v>0</v>
      </c>
      <c r="W219" s="55" cm="1">
        <f t="array" aca="1" ref="W219" ca="1">IFERROR(_xlfn.IFS($D219="Oui",$G219,AND($D219="Non",$E219="Non",RIGHT(W$213,1)="n"),U219,AND($D219="Non",$E219="Non",RIGHT(W$213,1)&lt;&gt;"n"),0,AND($D219="Non",$E219="Oui",RIGHT(W$213,1)="n"),$G219/$H219,AND($D219="Non",$E219="Oui",_xlfn.NUMBERVALUE(RIGHT(W$213,LEN(W$213)-SEARCH("/",SUBSTITUTE(W$213,"+","/",LEN(W$213)-LEN(SUBSTITUTE(W$213,"+",""))))))&lt;$H219),$G219/$H219),0)</f>
        <v>0</v>
      </c>
      <c r="X219" s="55" cm="1">
        <f t="array" aca="1" ref="X219" ca="1">IFERROR(_xlfn.IFS($D219="Oui",$G219,AND($D219="Non",$E219="Non",RIGHT(X$213,1)="n"),V219,AND($D219="Non",$E219="Non",RIGHT(X$213,1)&lt;&gt;"n"),0,AND($D219="Non",$E219="Oui",RIGHT(X$213,1)="n"),$G219/$H219,AND($D219="Non",$E219="Oui",_xlfn.NUMBERVALUE(RIGHT(X$213,LEN(X$213)-SEARCH("/",SUBSTITUTE(X$213,"+","/",LEN(X$213)-LEN(SUBSTITUTE(X$213,"+",""))))))&lt;$H219),$G219/$H219),0)</f>
        <v>0</v>
      </c>
      <c r="Y219" s="55" cm="1">
        <f t="array" aca="1" ref="Y219" ca="1">IFERROR(_xlfn.IFS($D219="Oui",$G219,AND($D219="Non",$E219="Non",RIGHT(Y$213,1)="n"),W219,AND($D219="Non",$E219="Non",RIGHT(Y$213,1)&lt;&gt;"n"),0,AND($D219="Non",$E219="Oui",RIGHT(Y$213,1)="n"),$G219/$H219,AND($D219="Non",$E219="Oui",_xlfn.NUMBERVALUE(RIGHT(Y$213,LEN(Y$213)-SEARCH("/",SUBSTITUTE(Y$213,"+","/",LEN(Y$213)-LEN(SUBSTITUTE(Y$213,"+",""))))))&lt;$H219),$G219/$H219),0)</f>
        <v>0</v>
      </c>
      <c r="Z219" s="43" t="s">
        <v>281</v>
      </c>
      <c r="AA219" s="43" t="s">
        <v>232</v>
      </c>
    </row>
    <row r="220" spans="3:27" x14ac:dyDescent="0.25">
      <c r="C220" s="43" t="s">
        <v>179</v>
      </c>
      <c r="D220" s="43" t="s">
        <v>255</v>
      </c>
      <c r="E220" s="43" t="s">
        <v>194</v>
      </c>
      <c r="F220" s="43">
        <f>IF(OR(ISBLANK('Données_d''entrée'!$E$45),'Données_d''entrée'!$E$45=0),1,'Données_d''entrée'!$E$45)</f>
        <v>1</v>
      </c>
      <c r="G220" s="43">
        <f>2310*F220</f>
        <v>2310</v>
      </c>
      <c r="H220" s="43">
        <v>15</v>
      </c>
      <c r="I220" s="55" cm="1">
        <f t="array" aca="1" ref="I220" ca="1">IFERROR(_xlfn.IFS($D220="Oui",$G220,AND($D220="Non",$E220="Non",RIGHT(I$213,1)="n"),G220,AND($D220="Non",$E220="Non",RIGHT(I$213,1)&lt;&gt;"n"),0,AND($D220="Non",$E220="Oui",RIGHT(I$213,1)="n"),$G220/$H220,AND($D220="Non",$E220="Oui",_xlfn.NUMBERVALUE(RIGHT(I$213,LEN(I$213)-SEARCH("/",SUBSTITUTE(I$213,"+","/",LEN(I$213)-LEN(SUBSTITUTE(I$213,"+",""))))))&lt;$H220),$G220/$H220),0)</f>
        <v>0</v>
      </c>
      <c r="J220" s="55" cm="1">
        <f t="array" aca="1" ref="J220" ca="1">IFERROR(_xlfn.IFS($D220="Oui",$G220,AND($D220="Non",$E220="Non",RIGHT(J$213,1)="n"),H220,AND($D220="Non",$E220="Non",RIGHT(J$213,1)&lt;&gt;"n"),0,AND($D220="Non",$E220="Oui",RIGHT(J$213,1)="n"),$G220/$H220,AND($D220="Non",$E220="Oui",_xlfn.NUMBERVALUE(RIGHT(J$213,LEN(J$213)-SEARCH("/",SUBSTITUTE(J$213,"+","/",LEN(J$213)-LEN(SUBSTITUTE(J$213,"+",""))))))&lt;$H220),$G220/$H220),0)</f>
        <v>0</v>
      </c>
      <c r="K220" s="55" cm="1">
        <f t="array" aca="1" ref="K220" ca="1">IFERROR(_xlfn.IFS($D220="Oui",$G220,AND($D220="Non",$E220="Non",RIGHT(K$213,1)="n"),I220,AND($D220="Non",$E220="Non",RIGHT(K$213,1)&lt;&gt;"n"),0,AND($D220="Non",$E220="Oui",RIGHT(K$213,1)="n"),$G220/$H220,AND($D220="Non",$E220="Oui",_xlfn.NUMBERVALUE(RIGHT(K$213,LEN(K$213)-SEARCH("/",SUBSTITUTE(K$213,"+","/",LEN(K$213)-LEN(SUBSTITUTE(K$213,"+",""))))))&lt;$H220),$G220/$H220),0)</f>
        <v>0</v>
      </c>
      <c r="L220" s="55" cm="1">
        <f t="array" aca="1" ref="L220" ca="1">IFERROR(_xlfn.IFS($D220="Oui",$G220,AND($D220="Non",$E220="Non",RIGHT(L$213,1)="n"),J220,AND($D220="Non",$E220="Non",RIGHT(L$213,1)&lt;&gt;"n"),0,AND($D220="Non",$E220="Oui",RIGHT(L$213,1)="n"),$G220/$H220,AND($D220="Non",$E220="Oui",_xlfn.NUMBERVALUE(RIGHT(L$213,LEN(L$213)-SEARCH("/",SUBSTITUTE(L$213,"+","/",LEN(L$213)-LEN(SUBSTITUTE(L$213,"+",""))))))&lt;$H220),$G220/$H220),0)</f>
        <v>0</v>
      </c>
      <c r="M220" s="55" cm="1">
        <f t="array" aca="1" ref="M220" ca="1">IFERROR(_xlfn.IFS($D220="Oui",$G220,AND($D220="Non",$E220="Non",RIGHT(M$213,1)="n"),K220,AND($D220="Non",$E220="Non",RIGHT(M$213,1)&lt;&gt;"n"),0,AND($D220="Non",$E220="Oui",RIGHT(M$213,1)="n"),$G220/$H220,AND($D220="Non",$E220="Oui",_xlfn.NUMBERVALUE(RIGHT(M$213,LEN(M$213)-SEARCH("/",SUBSTITUTE(M$213,"+","/",LEN(M$213)-LEN(SUBSTITUTE(M$213,"+",""))))))&lt;$H220),$G220/$H220),0)</f>
        <v>0</v>
      </c>
      <c r="N220" s="55" cm="1">
        <f t="array" aca="1" ref="N220" ca="1">IFERROR(_xlfn.IFS($D220="Oui",$G220,AND($D220="Non",$E220="Non",RIGHT(N$213,1)="n"),L220,AND($D220="Non",$E220="Non",RIGHT(N$213,1)&lt;&gt;"n"),0,AND($D220="Non",$E220="Oui",RIGHT(N$213,1)="n"),$G220/$H220,AND($D220="Non",$E220="Oui",_xlfn.NUMBERVALUE(RIGHT(N$213,LEN(N$213)-SEARCH("/",SUBSTITUTE(N$213,"+","/",LEN(N$213)-LEN(SUBSTITUTE(N$213,"+",""))))))&lt;$H220),$G220/$H220),0)</f>
        <v>0</v>
      </c>
      <c r="O220" s="55" cm="1">
        <f t="array" aca="1" ref="O220" ca="1">IFERROR(_xlfn.IFS($D220="Oui",$G220,AND($D220="Non",$E220="Non",RIGHT(O$213,1)="n"),M220,AND($D220="Non",$E220="Non",RIGHT(O$213,1)&lt;&gt;"n"),0,AND($D220="Non",$E220="Oui",RIGHT(O$213,1)="n"),$G220/$H220,AND($D220="Non",$E220="Oui",_xlfn.NUMBERVALUE(RIGHT(O$213,LEN(O$213)-SEARCH("/",SUBSTITUTE(O$213,"+","/",LEN(O$213)-LEN(SUBSTITUTE(O$213,"+",""))))))&lt;$H220),$G220/$H220),0)</f>
        <v>0</v>
      </c>
      <c r="P220" s="55" cm="1">
        <f t="array" aca="1" ref="P220" ca="1">IFERROR(_xlfn.IFS($D220="Oui",$G220,AND($D220="Non",$E220="Non",RIGHT(P$213,1)="n"),N220,AND($D220="Non",$E220="Non",RIGHT(P$213,1)&lt;&gt;"n"),0,AND($D220="Non",$E220="Oui",RIGHT(P$213,1)="n"),$G220/$H220,AND($D220="Non",$E220="Oui",_xlfn.NUMBERVALUE(RIGHT(P$213,LEN(P$213)-SEARCH("/",SUBSTITUTE(P$213,"+","/",LEN(P$213)-LEN(SUBSTITUTE(P$213,"+",""))))))&lt;$H220),$G220/$H220),0)</f>
        <v>0</v>
      </c>
      <c r="Q220" s="55" cm="1">
        <f t="array" aca="1" ref="Q220" ca="1">IFERROR(_xlfn.IFS($D220="Oui",$G220,AND($D220="Non",$E220="Non",RIGHT(Q$213,1)="n"),O220,AND($D220="Non",$E220="Non",RIGHT(Q$213,1)&lt;&gt;"n"),0,AND($D220="Non",$E220="Oui",RIGHT(Q$213,1)="n"),$G220/$H220,AND($D220="Non",$E220="Oui",_xlfn.NUMBERVALUE(RIGHT(Q$213,LEN(Q$213)-SEARCH("/",SUBSTITUTE(Q$213,"+","/",LEN(Q$213)-LEN(SUBSTITUTE(Q$213,"+",""))))))&lt;$H220),$G220/$H220),0)</f>
        <v>0</v>
      </c>
      <c r="R220" s="55" cm="1">
        <f t="array" aca="1" ref="R220" ca="1">IFERROR(_xlfn.IFS($D220="Oui",$G220,AND($D220="Non",$E220="Non",RIGHT(R$213,1)="n"),P220,AND($D220="Non",$E220="Non",RIGHT(R$213,1)&lt;&gt;"n"),0,AND($D220="Non",$E220="Oui",RIGHT(R$213,1)="n"),$G220/$H220,AND($D220="Non",$E220="Oui",_xlfn.NUMBERVALUE(RIGHT(R$213,LEN(R$213)-SEARCH("/",SUBSTITUTE(R$213,"+","/",LEN(R$213)-LEN(SUBSTITUTE(R$213,"+",""))))))&lt;$H220),$G220/$H220),0)</f>
        <v>0</v>
      </c>
      <c r="S220" s="55" cm="1">
        <f t="array" aca="1" ref="S220" ca="1">IFERROR(_xlfn.IFS($D220="Oui",$G220,AND($D220="Non",$E220="Non",RIGHT(S$213,1)="n"),Q220,AND($D220="Non",$E220="Non",RIGHT(S$213,1)&lt;&gt;"n"),0,AND($D220="Non",$E220="Oui",RIGHT(S$213,1)="n"),$G220/$H220,AND($D220="Non",$E220="Oui",_xlfn.NUMBERVALUE(RIGHT(S$213,LEN(S$213)-SEARCH("/",SUBSTITUTE(S$213,"+","/",LEN(S$213)-LEN(SUBSTITUTE(S$213,"+",""))))))&lt;$H220),$G220/$H220),0)</f>
        <v>0</v>
      </c>
      <c r="T220" s="55" cm="1">
        <f t="array" aca="1" ref="T220" ca="1">IFERROR(_xlfn.IFS($D220="Oui",$G220,AND($D220="Non",$E220="Non",RIGHT(T$213,1)="n"),R220,AND($D220="Non",$E220="Non",RIGHT(T$213,1)&lt;&gt;"n"),0,AND($D220="Non",$E220="Oui",RIGHT(T$213,1)="n"),$G220/$H220,AND($D220="Non",$E220="Oui",_xlfn.NUMBERVALUE(RIGHT(T$213,LEN(T$213)-SEARCH("/",SUBSTITUTE(T$213,"+","/",LEN(T$213)-LEN(SUBSTITUTE(T$213,"+",""))))))&lt;$H220),$G220/$H220),0)</f>
        <v>0</v>
      </c>
      <c r="U220" s="55" cm="1">
        <f t="array" aca="1" ref="U220" ca="1">IFERROR(_xlfn.IFS($D220="Oui",$G220,AND($D220="Non",$E220="Non",RIGHT(U$213,1)="n"),S220,AND($D220="Non",$E220="Non",RIGHT(U$213,1)&lt;&gt;"n"),0,AND($D220="Non",$E220="Oui",RIGHT(U$213,1)="n"),$G220/$H220,AND($D220="Non",$E220="Oui",_xlfn.NUMBERVALUE(RIGHT(U$213,LEN(U$213)-SEARCH("/",SUBSTITUTE(U$213,"+","/",LEN(U$213)-LEN(SUBSTITUTE(U$213,"+",""))))))&lt;$H220),$G220/$H220),0)</f>
        <v>0</v>
      </c>
      <c r="V220" s="55" cm="1">
        <f t="array" aca="1" ref="V220" ca="1">IFERROR(_xlfn.IFS($D220="Oui",$G220,AND($D220="Non",$E220="Non",RIGHT(V$213,1)="n"),T220,AND($D220="Non",$E220="Non",RIGHT(V$213,1)&lt;&gt;"n"),0,AND($D220="Non",$E220="Oui",RIGHT(V$213,1)="n"),$G220/$H220,AND($D220="Non",$E220="Oui",_xlfn.NUMBERVALUE(RIGHT(V$213,LEN(V$213)-SEARCH("/",SUBSTITUTE(V$213,"+","/",LEN(V$213)-LEN(SUBSTITUTE(V$213,"+",""))))))&lt;$H220),$G220/$H220),0)</f>
        <v>0</v>
      </c>
      <c r="W220" s="55" cm="1">
        <f t="array" aca="1" ref="W220" ca="1">IFERROR(_xlfn.IFS($D220="Oui",$G220,AND($D220="Non",$E220="Non",RIGHT(W$213,1)="n"),U220,AND($D220="Non",$E220="Non",RIGHT(W$213,1)&lt;&gt;"n"),0,AND($D220="Non",$E220="Oui",RIGHT(W$213,1)="n"),$G220/$H220,AND($D220="Non",$E220="Oui",_xlfn.NUMBERVALUE(RIGHT(W$213,LEN(W$213)-SEARCH("/",SUBSTITUTE(W$213,"+","/",LEN(W$213)-LEN(SUBSTITUTE(W$213,"+",""))))))&lt;$H220),$G220/$H220),0)</f>
        <v>0</v>
      </c>
      <c r="X220" s="55" cm="1">
        <f t="array" aca="1" ref="X220" ca="1">IFERROR(_xlfn.IFS($D220="Oui",$G220,AND($D220="Non",$E220="Non",RIGHT(X$213,1)="n"),V220,AND($D220="Non",$E220="Non",RIGHT(X$213,1)&lt;&gt;"n"),0,AND($D220="Non",$E220="Oui",RIGHT(X$213,1)="n"),$G220/$H220,AND($D220="Non",$E220="Oui",_xlfn.NUMBERVALUE(RIGHT(X$213,LEN(X$213)-SEARCH("/",SUBSTITUTE(X$213,"+","/",LEN(X$213)-LEN(SUBSTITUTE(X$213,"+",""))))))&lt;$H220),$G220/$H220),0)</f>
        <v>0</v>
      </c>
      <c r="Y220" s="55" cm="1">
        <f t="array" aca="1" ref="Y220" ca="1">IFERROR(_xlfn.IFS($D220="Oui",$G220,AND($D220="Non",$E220="Non",RIGHT(Y$213,1)="n"),W220,AND($D220="Non",$E220="Non",RIGHT(Y$213,1)&lt;&gt;"n"),0,AND($D220="Non",$E220="Oui",RIGHT(Y$213,1)="n"),$G220/$H220,AND($D220="Non",$E220="Oui",_xlfn.NUMBERVALUE(RIGHT(Y$213,LEN(Y$213)-SEARCH("/",SUBSTITUTE(Y$213,"+","/",LEN(Y$213)-LEN(SUBSTITUTE(Y$213,"+",""))))))&lt;$H220),$G220/$H220),0)</f>
        <v>0</v>
      </c>
      <c r="Z220" s="43" t="s">
        <v>282</v>
      </c>
      <c r="AA220" s="43" t="s">
        <v>233</v>
      </c>
    </row>
    <row r="221" spans="3:27" x14ac:dyDescent="0.25">
      <c r="C221" s="43" t="s">
        <v>180</v>
      </c>
      <c r="D221" s="43" t="s">
        <v>194</v>
      </c>
      <c r="E221" s="43" t="s">
        <v>255</v>
      </c>
      <c r="F221" s="43">
        <f>IF(OR(ISBLANK('Données_d''entrée'!$E$45),'Données_d''entrée'!$E$45=0),1,'Données_d''entrée'!$E$45)</f>
        <v>1</v>
      </c>
      <c r="G221" s="43" t="e">
        <f ca="1">400*D156*50%</f>
        <v>#NAME?</v>
      </c>
      <c r="H221" s="43">
        <v>0</v>
      </c>
      <c r="I221" s="55" cm="1">
        <f t="array" aca="1" ref="I221" ca="1">IFERROR(_xlfn.IFS($D221="Oui",$G221,AND($D221="Non",$E221="Non",RIGHT(I$213,1)="n"),G221,AND($D221="Non",$E221="Non",RIGHT(I$213,1)&lt;&gt;"n"),0,AND($D221="Non",$E221="Oui",RIGHT(I$213,1)="n"),$G221/$H221,AND($D221="Non",$E221="Oui",_xlfn.NUMBERVALUE(RIGHT(I$213,LEN(I$213)-SEARCH("/",SUBSTITUTE(I$213,"+","/",LEN(I$213)-LEN(SUBSTITUTE(I$213,"+",""))))))&lt;$H221),$G221/$H221),0)</f>
        <v>0</v>
      </c>
      <c r="J221" s="55" cm="1">
        <f t="array" aca="1" ref="J221" ca="1">IFERROR(_xlfn.IFS($D221="Oui",$G221,AND($D221="Non",$E221="Non",RIGHT(J$213,1)="n"),H221,AND($D221="Non",$E221="Non",RIGHT(J$213,1)&lt;&gt;"n"),0,AND($D221="Non",$E221="Oui",RIGHT(J$213,1)="n"),$G221/$H221,AND($D221="Non",$E221="Oui",_xlfn.NUMBERVALUE(RIGHT(J$213,LEN(J$213)-SEARCH("/",SUBSTITUTE(J$213,"+","/",LEN(J$213)-LEN(SUBSTITUTE(J$213,"+",""))))))&lt;$H221),$G221/$H221),0)</f>
        <v>0</v>
      </c>
      <c r="K221" s="55" cm="1">
        <f t="array" aca="1" ref="K221" ca="1">IFERROR(_xlfn.IFS($D221="Oui",$G221,AND($D221="Non",$E221="Non",RIGHT(K$213,1)="n"),I221,AND($D221="Non",$E221="Non",RIGHT(K$213,1)&lt;&gt;"n"),0,AND($D221="Non",$E221="Oui",RIGHT(K$213,1)="n"),$G221/$H221,AND($D221="Non",$E221="Oui",_xlfn.NUMBERVALUE(RIGHT(K$213,LEN(K$213)-SEARCH("/",SUBSTITUTE(K$213,"+","/",LEN(K$213)-LEN(SUBSTITUTE(K$213,"+",""))))))&lt;$H221),$G221/$H221),0)</f>
        <v>0</v>
      </c>
      <c r="L221" s="55" cm="1">
        <f t="array" aca="1" ref="L221" ca="1">IFERROR(_xlfn.IFS($D221="Oui",$G221,AND($D221="Non",$E221="Non",RIGHT(L$213,1)="n"),J221,AND($D221="Non",$E221="Non",RIGHT(L$213,1)&lt;&gt;"n"),0,AND($D221="Non",$E221="Oui",RIGHT(L$213,1)="n"),$G221/$H221,AND($D221="Non",$E221="Oui",_xlfn.NUMBERVALUE(RIGHT(L$213,LEN(L$213)-SEARCH("/",SUBSTITUTE(L$213,"+","/",LEN(L$213)-LEN(SUBSTITUTE(L$213,"+",""))))))&lt;$H221),$G221/$H221),0)</f>
        <v>0</v>
      </c>
      <c r="M221" s="55" cm="1">
        <f t="array" aca="1" ref="M221" ca="1">IFERROR(_xlfn.IFS($D221="Oui",$G221,AND($D221="Non",$E221="Non",RIGHT(M$213,1)="n"),K221,AND($D221="Non",$E221="Non",RIGHT(M$213,1)&lt;&gt;"n"),0,AND($D221="Non",$E221="Oui",RIGHT(M$213,1)="n"),$G221/$H221,AND($D221="Non",$E221="Oui",_xlfn.NUMBERVALUE(RIGHT(M$213,LEN(M$213)-SEARCH("/",SUBSTITUTE(M$213,"+","/",LEN(M$213)-LEN(SUBSTITUTE(M$213,"+",""))))))&lt;$H221),$G221/$H221),0)</f>
        <v>0</v>
      </c>
      <c r="N221" s="55" cm="1">
        <f t="array" aca="1" ref="N221" ca="1">IFERROR(_xlfn.IFS($D221="Oui",$G221,AND($D221="Non",$E221="Non",RIGHT(N$213,1)="n"),L221,AND($D221="Non",$E221="Non",RIGHT(N$213,1)&lt;&gt;"n"),0,AND($D221="Non",$E221="Oui",RIGHT(N$213,1)="n"),$G221/$H221,AND($D221="Non",$E221="Oui",_xlfn.NUMBERVALUE(RIGHT(N$213,LEN(N$213)-SEARCH("/",SUBSTITUTE(N$213,"+","/",LEN(N$213)-LEN(SUBSTITUTE(N$213,"+",""))))))&lt;$H221),$G221/$H221),0)</f>
        <v>0</v>
      </c>
      <c r="O221" s="55" cm="1">
        <f t="array" aca="1" ref="O221" ca="1">IFERROR(_xlfn.IFS($D221="Oui",$G221,AND($D221="Non",$E221="Non",RIGHT(O$213,1)="n"),M221,AND($D221="Non",$E221="Non",RIGHT(O$213,1)&lt;&gt;"n"),0,AND($D221="Non",$E221="Oui",RIGHT(O$213,1)="n"),$G221/$H221,AND($D221="Non",$E221="Oui",_xlfn.NUMBERVALUE(RIGHT(O$213,LEN(O$213)-SEARCH("/",SUBSTITUTE(O$213,"+","/",LEN(O$213)-LEN(SUBSTITUTE(O$213,"+",""))))))&lt;$H221),$G221/$H221),0)</f>
        <v>0</v>
      </c>
      <c r="P221" s="55" cm="1">
        <f t="array" aca="1" ref="P221" ca="1">IFERROR(_xlfn.IFS($D221="Oui",$G221,AND($D221="Non",$E221="Non",RIGHT(P$213,1)="n"),N221,AND($D221="Non",$E221="Non",RIGHT(P$213,1)&lt;&gt;"n"),0,AND($D221="Non",$E221="Oui",RIGHT(P$213,1)="n"),$G221/$H221,AND($D221="Non",$E221="Oui",_xlfn.NUMBERVALUE(RIGHT(P$213,LEN(P$213)-SEARCH("/",SUBSTITUTE(P$213,"+","/",LEN(P$213)-LEN(SUBSTITUTE(P$213,"+",""))))))&lt;$H221),$G221/$H221),0)</f>
        <v>0</v>
      </c>
      <c r="Q221" s="55" cm="1">
        <f t="array" aca="1" ref="Q221" ca="1">IFERROR(_xlfn.IFS($D221="Oui",$G221,AND($D221="Non",$E221="Non",RIGHT(Q$213,1)="n"),O221,AND($D221="Non",$E221="Non",RIGHT(Q$213,1)&lt;&gt;"n"),0,AND($D221="Non",$E221="Oui",RIGHT(Q$213,1)="n"),$G221/$H221,AND($D221="Non",$E221="Oui",_xlfn.NUMBERVALUE(RIGHT(Q$213,LEN(Q$213)-SEARCH("/",SUBSTITUTE(Q$213,"+","/",LEN(Q$213)-LEN(SUBSTITUTE(Q$213,"+",""))))))&lt;$H221),$G221/$H221),0)</f>
        <v>0</v>
      </c>
      <c r="R221" s="55" cm="1">
        <f t="array" aca="1" ref="R221" ca="1">IFERROR(_xlfn.IFS($D221="Oui",$G221,AND($D221="Non",$E221="Non",RIGHT(R$213,1)="n"),P221,AND($D221="Non",$E221="Non",RIGHT(R$213,1)&lt;&gt;"n"),0,AND($D221="Non",$E221="Oui",RIGHT(R$213,1)="n"),$G221/$H221,AND($D221="Non",$E221="Oui",_xlfn.NUMBERVALUE(RIGHT(R$213,LEN(R$213)-SEARCH("/",SUBSTITUTE(R$213,"+","/",LEN(R$213)-LEN(SUBSTITUTE(R$213,"+",""))))))&lt;$H221),$G221/$H221),0)</f>
        <v>0</v>
      </c>
      <c r="S221" s="55" cm="1">
        <f t="array" aca="1" ref="S221" ca="1">IFERROR(_xlfn.IFS($D221="Oui",$G221,AND($D221="Non",$E221="Non",RIGHT(S$213,1)="n"),Q221,AND($D221="Non",$E221="Non",RIGHT(S$213,1)&lt;&gt;"n"),0,AND($D221="Non",$E221="Oui",RIGHT(S$213,1)="n"),$G221/$H221,AND($D221="Non",$E221="Oui",_xlfn.NUMBERVALUE(RIGHT(S$213,LEN(S$213)-SEARCH("/",SUBSTITUTE(S$213,"+","/",LEN(S$213)-LEN(SUBSTITUTE(S$213,"+",""))))))&lt;$H221),$G221/$H221),0)</f>
        <v>0</v>
      </c>
      <c r="T221" s="55" cm="1">
        <f t="array" aca="1" ref="T221" ca="1">IFERROR(_xlfn.IFS($D221="Oui",$G221,AND($D221="Non",$E221="Non",RIGHT(T$213,1)="n"),R221,AND($D221="Non",$E221="Non",RIGHT(T$213,1)&lt;&gt;"n"),0,AND($D221="Non",$E221="Oui",RIGHT(T$213,1)="n"),$G221/$H221,AND($D221="Non",$E221="Oui",_xlfn.NUMBERVALUE(RIGHT(T$213,LEN(T$213)-SEARCH("/",SUBSTITUTE(T$213,"+","/",LEN(T$213)-LEN(SUBSTITUTE(T$213,"+",""))))))&lt;$H221),$G221/$H221),0)</f>
        <v>0</v>
      </c>
      <c r="U221" s="55" cm="1">
        <f t="array" aca="1" ref="U221" ca="1">IFERROR(_xlfn.IFS($D221="Oui",$G221,AND($D221="Non",$E221="Non",RIGHT(U$213,1)="n"),S221,AND($D221="Non",$E221="Non",RIGHT(U$213,1)&lt;&gt;"n"),0,AND($D221="Non",$E221="Oui",RIGHT(U$213,1)="n"),$G221/$H221,AND($D221="Non",$E221="Oui",_xlfn.NUMBERVALUE(RIGHT(U$213,LEN(U$213)-SEARCH("/",SUBSTITUTE(U$213,"+","/",LEN(U$213)-LEN(SUBSTITUTE(U$213,"+",""))))))&lt;$H221),$G221/$H221),0)</f>
        <v>0</v>
      </c>
      <c r="V221" s="55" cm="1">
        <f t="array" aca="1" ref="V221" ca="1">IFERROR(_xlfn.IFS($D221="Oui",$G221,AND($D221="Non",$E221="Non",RIGHT(V$213,1)="n"),T221,AND($D221="Non",$E221="Non",RIGHT(V$213,1)&lt;&gt;"n"),0,AND($D221="Non",$E221="Oui",RIGHT(V$213,1)="n"),$G221/$H221,AND($D221="Non",$E221="Oui",_xlfn.NUMBERVALUE(RIGHT(V$213,LEN(V$213)-SEARCH("/",SUBSTITUTE(V$213,"+","/",LEN(V$213)-LEN(SUBSTITUTE(V$213,"+",""))))))&lt;$H221),$G221/$H221),0)</f>
        <v>0</v>
      </c>
      <c r="W221" s="55" cm="1">
        <f t="array" aca="1" ref="W221" ca="1">IFERROR(_xlfn.IFS($D221="Oui",$G221,AND($D221="Non",$E221="Non",RIGHT(W$213,1)="n"),U221,AND($D221="Non",$E221="Non",RIGHT(W$213,1)&lt;&gt;"n"),0,AND($D221="Non",$E221="Oui",RIGHT(W$213,1)="n"),$G221/$H221,AND($D221="Non",$E221="Oui",_xlfn.NUMBERVALUE(RIGHT(W$213,LEN(W$213)-SEARCH("/",SUBSTITUTE(W$213,"+","/",LEN(W$213)-LEN(SUBSTITUTE(W$213,"+",""))))))&lt;$H221),$G221/$H221),0)</f>
        <v>0</v>
      </c>
      <c r="X221" s="55" cm="1">
        <f t="array" aca="1" ref="X221" ca="1">IFERROR(_xlfn.IFS($D221="Oui",$G221,AND($D221="Non",$E221="Non",RIGHT(X$213,1)="n"),V221,AND($D221="Non",$E221="Non",RIGHT(X$213,1)&lt;&gt;"n"),0,AND($D221="Non",$E221="Oui",RIGHT(X$213,1)="n"),$G221/$H221,AND($D221="Non",$E221="Oui",_xlfn.NUMBERVALUE(RIGHT(X$213,LEN(X$213)-SEARCH("/",SUBSTITUTE(X$213,"+","/",LEN(X$213)-LEN(SUBSTITUTE(X$213,"+",""))))))&lt;$H221),$G221/$H221),0)</f>
        <v>0</v>
      </c>
      <c r="Y221" s="55" cm="1">
        <f t="array" aca="1" ref="Y221" ca="1">IFERROR(_xlfn.IFS($D221="Oui",$G221,AND($D221="Non",$E221="Non",RIGHT(Y$213,1)="n"),W221,AND($D221="Non",$E221="Non",RIGHT(Y$213,1)&lt;&gt;"n"),0,AND($D221="Non",$E221="Oui",RIGHT(Y$213,1)="n"),$G221/$H221,AND($D221="Non",$E221="Oui",_xlfn.NUMBERVALUE(RIGHT(Y$213,LEN(Y$213)-SEARCH("/",SUBSTITUTE(Y$213,"+","/",LEN(Y$213)-LEN(SUBSTITUTE(Y$213,"+",""))))))&lt;$H221),$G221/$H221),0)</f>
        <v>0</v>
      </c>
      <c r="Z221" s="43" t="s">
        <v>251</v>
      </c>
      <c r="AA221" s="43"/>
    </row>
    <row r="222" spans="3:27" x14ac:dyDescent="0.25">
      <c r="C222" s="43" t="s">
        <v>181</v>
      </c>
      <c r="D222" s="43" t="s">
        <v>194</v>
      </c>
      <c r="E222" s="43" t="s">
        <v>255</v>
      </c>
      <c r="F222" s="43">
        <f>IF(OR(ISBLANK('Données_d''entrée'!$E$45),'Données_d''entrée'!$E$45=0),1,'Données_d''entrée'!$E$45)</f>
        <v>1</v>
      </c>
      <c r="G222" s="43" t="e">
        <f ca="1">80*50%*12*D156</f>
        <v>#NAME?</v>
      </c>
      <c r="H222" s="43">
        <v>0</v>
      </c>
      <c r="I222" s="55" cm="1">
        <f t="array" aca="1" ref="I222" ca="1">IFERROR(_xlfn.IFS($D222="Oui",$G222,AND($D222="Non",$E222="Non",RIGHT(I$213,1)="n"),G222,AND($D222="Non",$E222="Non",RIGHT(I$213,1)&lt;&gt;"n"),0,AND($D222="Non",$E222="Oui",RIGHT(I$213,1)="n"),$G222/$H222,AND($D222="Non",$E222="Oui",_xlfn.NUMBERVALUE(RIGHT(I$213,LEN(I$213)-SEARCH("/",SUBSTITUTE(I$213,"+","/",LEN(I$213)-LEN(SUBSTITUTE(I$213,"+",""))))))&lt;$H222),$G222/$H222),0)</f>
        <v>0</v>
      </c>
      <c r="J222" s="55" cm="1">
        <f t="array" aca="1" ref="J222" ca="1">IFERROR(_xlfn.IFS($D222="Oui",$G222,AND($D222="Non",$E222="Non",RIGHT(J$213,1)="n"),H222,AND($D222="Non",$E222="Non",RIGHT(J$213,1)&lt;&gt;"n"),0,AND($D222="Non",$E222="Oui",RIGHT(J$213,1)="n"),$G222/$H222,AND($D222="Non",$E222="Oui",_xlfn.NUMBERVALUE(RIGHT(J$213,LEN(J$213)-SEARCH("/",SUBSTITUTE(J$213,"+","/",LEN(J$213)-LEN(SUBSTITUTE(J$213,"+",""))))))&lt;$H222),$G222/$H222),0)</f>
        <v>0</v>
      </c>
      <c r="K222" s="55" cm="1">
        <f t="array" aca="1" ref="K222" ca="1">IFERROR(_xlfn.IFS($D222="Oui",$G222,AND($D222="Non",$E222="Non",RIGHT(K$213,1)="n"),I222,AND($D222="Non",$E222="Non",RIGHT(K$213,1)&lt;&gt;"n"),0,AND($D222="Non",$E222="Oui",RIGHT(K$213,1)="n"),$G222/$H222,AND($D222="Non",$E222="Oui",_xlfn.NUMBERVALUE(RIGHT(K$213,LEN(K$213)-SEARCH("/",SUBSTITUTE(K$213,"+","/",LEN(K$213)-LEN(SUBSTITUTE(K$213,"+",""))))))&lt;$H222),$G222/$H222),0)</f>
        <v>0</v>
      </c>
      <c r="L222" s="55" cm="1">
        <f t="array" aca="1" ref="L222" ca="1">IFERROR(_xlfn.IFS($D222="Oui",$G222,AND($D222="Non",$E222="Non",RIGHT(L$213,1)="n"),J222,AND($D222="Non",$E222="Non",RIGHT(L$213,1)&lt;&gt;"n"),0,AND($D222="Non",$E222="Oui",RIGHT(L$213,1)="n"),$G222/$H222,AND($D222="Non",$E222="Oui",_xlfn.NUMBERVALUE(RIGHT(L$213,LEN(L$213)-SEARCH("/",SUBSTITUTE(L$213,"+","/",LEN(L$213)-LEN(SUBSTITUTE(L$213,"+",""))))))&lt;$H222),$G222/$H222),0)</f>
        <v>0</v>
      </c>
      <c r="M222" s="55" cm="1">
        <f t="array" aca="1" ref="M222" ca="1">IFERROR(_xlfn.IFS($D222="Oui",$G222,AND($D222="Non",$E222="Non",RIGHT(M$213,1)="n"),K222,AND($D222="Non",$E222="Non",RIGHT(M$213,1)&lt;&gt;"n"),0,AND($D222="Non",$E222="Oui",RIGHT(M$213,1)="n"),$G222/$H222,AND($D222="Non",$E222="Oui",_xlfn.NUMBERVALUE(RIGHT(M$213,LEN(M$213)-SEARCH("/",SUBSTITUTE(M$213,"+","/",LEN(M$213)-LEN(SUBSTITUTE(M$213,"+",""))))))&lt;$H222),$G222/$H222),0)</f>
        <v>0</v>
      </c>
      <c r="N222" s="55" cm="1">
        <f t="array" aca="1" ref="N222" ca="1">IFERROR(_xlfn.IFS($D222="Oui",$G222,AND($D222="Non",$E222="Non",RIGHT(N$213,1)="n"),L222,AND($D222="Non",$E222="Non",RIGHT(N$213,1)&lt;&gt;"n"),0,AND($D222="Non",$E222="Oui",RIGHT(N$213,1)="n"),$G222/$H222,AND($D222="Non",$E222="Oui",_xlfn.NUMBERVALUE(RIGHT(N$213,LEN(N$213)-SEARCH("/",SUBSTITUTE(N$213,"+","/",LEN(N$213)-LEN(SUBSTITUTE(N$213,"+",""))))))&lt;$H222),$G222/$H222),0)</f>
        <v>0</v>
      </c>
      <c r="O222" s="55" cm="1">
        <f t="array" aca="1" ref="O222" ca="1">IFERROR(_xlfn.IFS($D222="Oui",$G222,AND($D222="Non",$E222="Non",RIGHT(O$213,1)="n"),M222,AND($D222="Non",$E222="Non",RIGHT(O$213,1)&lt;&gt;"n"),0,AND($D222="Non",$E222="Oui",RIGHT(O$213,1)="n"),$G222/$H222,AND($D222="Non",$E222="Oui",_xlfn.NUMBERVALUE(RIGHT(O$213,LEN(O$213)-SEARCH("/",SUBSTITUTE(O$213,"+","/",LEN(O$213)-LEN(SUBSTITUTE(O$213,"+",""))))))&lt;$H222),$G222/$H222),0)</f>
        <v>0</v>
      </c>
      <c r="P222" s="55" cm="1">
        <f t="array" aca="1" ref="P222" ca="1">IFERROR(_xlfn.IFS($D222="Oui",$G222,AND($D222="Non",$E222="Non",RIGHT(P$213,1)="n"),N222,AND($D222="Non",$E222="Non",RIGHT(P$213,1)&lt;&gt;"n"),0,AND($D222="Non",$E222="Oui",RIGHT(P$213,1)="n"),$G222/$H222,AND($D222="Non",$E222="Oui",_xlfn.NUMBERVALUE(RIGHT(P$213,LEN(P$213)-SEARCH("/",SUBSTITUTE(P$213,"+","/",LEN(P$213)-LEN(SUBSTITUTE(P$213,"+",""))))))&lt;$H222),$G222/$H222),0)</f>
        <v>0</v>
      </c>
      <c r="Q222" s="55" cm="1">
        <f t="array" aca="1" ref="Q222" ca="1">IFERROR(_xlfn.IFS($D222="Oui",$G222,AND($D222="Non",$E222="Non",RIGHT(Q$213,1)="n"),O222,AND($D222="Non",$E222="Non",RIGHT(Q$213,1)&lt;&gt;"n"),0,AND($D222="Non",$E222="Oui",RIGHT(Q$213,1)="n"),$G222/$H222,AND($D222="Non",$E222="Oui",_xlfn.NUMBERVALUE(RIGHT(Q$213,LEN(Q$213)-SEARCH("/",SUBSTITUTE(Q$213,"+","/",LEN(Q$213)-LEN(SUBSTITUTE(Q$213,"+",""))))))&lt;$H222),$G222/$H222),0)</f>
        <v>0</v>
      </c>
      <c r="R222" s="55" cm="1">
        <f t="array" aca="1" ref="R222" ca="1">IFERROR(_xlfn.IFS($D222="Oui",$G222,AND($D222="Non",$E222="Non",RIGHT(R$213,1)="n"),P222,AND($D222="Non",$E222="Non",RIGHT(R$213,1)&lt;&gt;"n"),0,AND($D222="Non",$E222="Oui",RIGHT(R$213,1)="n"),$G222/$H222,AND($D222="Non",$E222="Oui",_xlfn.NUMBERVALUE(RIGHT(R$213,LEN(R$213)-SEARCH("/",SUBSTITUTE(R$213,"+","/",LEN(R$213)-LEN(SUBSTITUTE(R$213,"+",""))))))&lt;$H222),$G222/$H222),0)</f>
        <v>0</v>
      </c>
      <c r="S222" s="55" cm="1">
        <f t="array" aca="1" ref="S222" ca="1">IFERROR(_xlfn.IFS($D222="Oui",$G222,AND($D222="Non",$E222="Non",RIGHT(S$213,1)="n"),Q222,AND($D222="Non",$E222="Non",RIGHT(S$213,1)&lt;&gt;"n"),0,AND($D222="Non",$E222="Oui",RIGHT(S$213,1)="n"),$G222/$H222,AND($D222="Non",$E222="Oui",_xlfn.NUMBERVALUE(RIGHT(S$213,LEN(S$213)-SEARCH("/",SUBSTITUTE(S$213,"+","/",LEN(S$213)-LEN(SUBSTITUTE(S$213,"+",""))))))&lt;$H222),$G222/$H222),0)</f>
        <v>0</v>
      </c>
      <c r="T222" s="55" cm="1">
        <f t="array" aca="1" ref="T222" ca="1">IFERROR(_xlfn.IFS($D222="Oui",$G222,AND($D222="Non",$E222="Non",RIGHT(T$213,1)="n"),R222,AND($D222="Non",$E222="Non",RIGHT(T$213,1)&lt;&gt;"n"),0,AND($D222="Non",$E222="Oui",RIGHT(T$213,1)="n"),$G222/$H222,AND($D222="Non",$E222="Oui",_xlfn.NUMBERVALUE(RIGHT(T$213,LEN(T$213)-SEARCH("/",SUBSTITUTE(T$213,"+","/",LEN(T$213)-LEN(SUBSTITUTE(T$213,"+",""))))))&lt;$H222),$G222/$H222),0)</f>
        <v>0</v>
      </c>
      <c r="U222" s="55" cm="1">
        <f t="array" aca="1" ref="U222" ca="1">IFERROR(_xlfn.IFS($D222="Oui",$G222,AND($D222="Non",$E222="Non",RIGHT(U$213,1)="n"),S222,AND($D222="Non",$E222="Non",RIGHT(U$213,1)&lt;&gt;"n"),0,AND($D222="Non",$E222="Oui",RIGHT(U$213,1)="n"),$G222/$H222,AND($D222="Non",$E222="Oui",_xlfn.NUMBERVALUE(RIGHT(U$213,LEN(U$213)-SEARCH("/",SUBSTITUTE(U$213,"+","/",LEN(U$213)-LEN(SUBSTITUTE(U$213,"+",""))))))&lt;$H222),$G222/$H222),0)</f>
        <v>0</v>
      </c>
      <c r="V222" s="55" cm="1">
        <f t="array" aca="1" ref="V222" ca="1">IFERROR(_xlfn.IFS($D222="Oui",$G222,AND($D222="Non",$E222="Non",RIGHT(V$213,1)="n"),T222,AND($D222="Non",$E222="Non",RIGHT(V$213,1)&lt;&gt;"n"),0,AND($D222="Non",$E222="Oui",RIGHT(V$213,1)="n"),$G222/$H222,AND($D222="Non",$E222="Oui",_xlfn.NUMBERVALUE(RIGHT(V$213,LEN(V$213)-SEARCH("/",SUBSTITUTE(V$213,"+","/",LEN(V$213)-LEN(SUBSTITUTE(V$213,"+",""))))))&lt;$H222),$G222/$H222),0)</f>
        <v>0</v>
      </c>
      <c r="W222" s="55" cm="1">
        <f t="array" aca="1" ref="W222" ca="1">IFERROR(_xlfn.IFS($D222="Oui",$G222,AND($D222="Non",$E222="Non",RIGHT(W$213,1)="n"),U222,AND($D222="Non",$E222="Non",RIGHT(W$213,1)&lt;&gt;"n"),0,AND($D222="Non",$E222="Oui",RIGHT(W$213,1)="n"),$G222/$H222,AND($D222="Non",$E222="Oui",_xlfn.NUMBERVALUE(RIGHT(W$213,LEN(W$213)-SEARCH("/",SUBSTITUTE(W$213,"+","/",LEN(W$213)-LEN(SUBSTITUTE(W$213,"+",""))))))&lt;$H222),$G222/$H222),0)</f>
        <v>0</v>
      </c>
      <c r="X222" s="55" cm="1">
        <f t="array" aca="1" ref="X222" ca="1">IFERROR(_xlfn.IFS($D222="Oui",$G222,AND($D222="Non",$E222="Non",RIGHT(X$213,1)="n"),V222,AND($D222="Non",$E222="Non",RIGHT(X$213,1)&lt;&gt;"n"),0,AND($D222="Non",$E222="Oui",RIGHT(X$213,1)="n"),$G222/$H222,AND($D222="Non",$E222="Oui",_xlfn.NUMBERVALUE(RIGHT(X$213,LEN(X$213)-SEARCH("/",SUBSTITUTE(X$213,"+","/",LEN(X$213)-LEN(SUBSTITUTE(X$213,"+",""))))))&lt;$H222),$G222/$H222),0)</f>
        <v>0</v>
      </c>
      <c r="Y222" s="55" cm="1">
        <f t="array" aca="1" ref="Y222" ca="1">IFERROR(_xlfn.IFS($D222="Oui",$G222,AND($D222="Non",$E222="Non",RIGHT(Y$213,1)="n"),W222,AND($D222="Non",$E222="Non",RIGHT(Y$213,1)&lt;&gt;"n"),0,AND($D222="Non",$E222="Oui",RIGHT(Y$213,1)="n"),$G222/$H222,AND($D222="Non",$E222="Oui",_xlfn.NUMBERVALUE(RIGHT(Y$213,LEN(Y$213)-SEARCH("/",SUBSTITUTE(Y$213,"+","/",LEN(Y$213)-LEN(SUBSTITUTE(Y$213,"+",""))))))&lt;$H222),$G222/$H222),0)</f>
        <v>0</v>
      </c>
      <c r="Z222" s="43" t="s">
        <v>285</v>
      </c>
      <c r="AA222" s="43" t="s">
        <v>234</v>
      </c>
    </row>
    <row r="223" spans="3:27" x14ac:dyDescent="0.25">
      <c r="C223" s="43" t="s">
        <v>182</v>
      </c>
      <c r="D223" s="43" t="s">
        <v>255</v>
      </c>
      <c r="E223" s="43" t="s">
        <v>255</v>
      </c>
      <c r="F223" s="43">
        <f>IF(OR(ISBLANK('Données_d''entrée'!$E$45),'Données_d''entrée'!$E$45=0),1,'Données_d''entrée'!$E$45)</f>
        <v>1</v>
      </c>
      <c r="G223" s="43">
        <f>D180*(2+5)*F223</f>
        <v>152.30769230769232</v>
      </c>
      <c r="H223" s="43">
        <v>0</v>
      </c>
      <c r="I223" s="55" cm="1">
        <f t="array" aca="1" ref="I223" ca="1">IFERROR(_xlfn.IFS($D223="Oui",$G223,AND($D223="Non",$E223="Non",RIGHT(I$213,1)="n"),G223,AND($D223="Non",$E223="Non",RIGHT(I$213,1)&lt;&gt;"n"),0,AND($D223="Non",$E223="Oui",RIGHT(I$213,1)="n"),$G223/$H223,AND($D223="Non",$E223="Oui",_xlfn.NUMBERVALUE(RIGHT(I$213,LEN(I$213)-SEARCH("/",SUBSTITUTE(I$213,"+","/",LEN(I$213)-LEN(SUBSTITUTE(I$213,"+",""))))))&lt;$H223),$G223/$H223),0)</f>
        <v>0</v>
      </c>
      <c r="J223" s="55" cm="1">
        <f t="array" aca="1" ref="J223" ca="1">IFERROR(_xlfn.IFS($D223="Oui",$G223,AND($D223="Non",$E223="Non",RIGHT(J$213,1)="n"),H223,AND($D223="Non",$E223="Non",RIGHT(J$213,1)&lt;&gt;"n"),0,AND($D223="Non",$E223="Oui",RIGHT(J$213,1)="n"),$G223/$H223,AND($D223="Non",$E223="Oui",_xlfn.NUMBERVALUE(RIGHT(J$213,LEN(J$213)-SEARCH("/",SUBSTITUTE(J$213,"+","/",LEN(J$213)-LEN(SUBSTITUTE(J$213,"+",""))))))&lt;$H223),$G223/$H223),0)</f>
        <v>0</v>
      </c>
      <c r="K223" s="55" cm="1">
        <f t="array" aca="1" ref="K223" ca="1">IFERROR(_xlfn.IFS($D223="Oui",$G223,AND($D223="Non",$E223="Non",RIGHT(K$213,1)="n"),I223,AND($D223="Non",$E223="Non",RIGHT(K$213,1)&lt;&gt;"n"),0,AND($D223="Non",$E223="Oui",RIGHT(K$213,1)="n"),$G223/$H223,AND($D223="Non",$E223="Oui",_xlfn.NUMBERVALUE(RIGHT(K$213,LEN(K$213)-SEARCH("/",SUBSTITUTE(K$213,"+","/",LEN(K$213)-LEN(SUBSTITUTE(K$213,"+",""))))))&lt;$H223),$G223/$H223),0)</f>
        <v>0</v>
      </c>
      <c r="L223" s="55" cm="1">
        <f t="array" aca="1" ref="L223" ca="1">IFERROR(_xlfn.IFS($D223="Oui",$G223,AND($D223="Non",$E223="Non",RIGHT(L$213,1)="n"),J223,AND($D223="Non",$E223="Non",RIGHT(L$213,1)&lt;&gt;"n"),0,AND($D223="Non",$E223="Oui",RIGHT(L$213,1)="n"),$G223/$H223,AND($D223="Non",$E223="Oui",_xlfn.NUMBERVALUE(RIGHT(L$213,LEN(L$213)-SEARCH("/",SUBSTITUTE(L$213,"+","/",LEN(L$213)-LEN(SUBSTITUTE(L$213,"+",""))))))&lt;$H223),$G223/$H223),0)</f>
        <v>0</v>
      </c>
      <c r="M223" s="55" cm="1">
        <f t="array" aca="1" ref="M223" ca="1">IFERROR(_xlfn.IFS($D223="Oui",$G223,AND($D223="Non",$E223="Non",RIGHT(M$213,1)="n"),K223,AND($D223="Non",$E223="Non",RIGHT(M$213,1)&lt;&gt;"n"),0,AND($D223="Non",$E223="Oui",RIGHT(M$213,1)="n"),$G223/$H223,AND($D223="Non",$E223="Oui",_xlfn.NUMBERVALUE(RIGHT(M$213,LEN(M$213)-SEARCH("/",SUBSTITUTE(M$213,"+","/",LEN(M$213)-LEN(SUBSTITUTE(M$213,"+",""))))))&lt;$H223),$G223/$H223),0)</f>
        <v>0</v>
      </c>
      <c r="N223" s="55" cm="1">
        <f t="array" aca="1" ref="N223" ca="1">IFERROR(_xlfn.IFS($D223="Oui",$G223,AND($D223="Non",$E223="Non",RIGHT(N$213,1)="n"),L223,AND($D223="Non",$E223="Non",RIGHT(N$213,1)&lt;&gt;"n"),0,AND($D223="Non",$E223="Oui",RIGHT(N$213,1)="n"),$G223/$H223,AND($D223="Non",$E223="Oui",_xlfn.NUMBERVALUE(RIGHT(N$213,LEN(N$213)-SEARCH("/",SUBSTITUTE(N$213,"+","/",LEN(N$213)-LEN(SUBSTITUTE(N$213,"+",""))))))&lt;$H223),$G223/$H223),0)</f>
        <v>0</v>
      </c>
      <c r="O223" s="55" cm="1">
        <f t="array" aca="1" ref="O223" ca="1">IFERROR(_xlfn.IFS($D223="Oui",$G223,AND($D223="Non",$E223="Non",RIGHT(O$213,1)="n"),M223,AND($D223="Non",$E223="Non",RIGHT(O$213,1)&lt;&gt;"n"),0,AND($D223="Non",$E223="Oui",RIGHT(O$213,1)="n"),$G223/$H223,AND($D223="Non",$E223="Oui",_xlfn.NUMBERVALUE(RIGHT(O$213,LEN(O$213)-SEARCH("/",SUBSTITUTE(O$213,"+","/",LEN(O$213)-LEN(SUBSTITUTE(O$213,"+",""))))))&lt;$H223),$G223/$H223),0)</f>
        <v>0</v>
      </c>
      <c r="P223" s="55" cm="1">
        <f t="array" aca="1" ref="P223" ca="1">IFERROR(_xlfn.IFS($D223="Oui",$G223,AND($D223="Non",$E223="Non",RIGHT(P$213,1)="n"),N223,AND($D223="Non",$E223="Non",RIGHT(P$213,1)&lt;&gt;"n"),0,AND($D223="Non",$E223="Oui",RIGHT(P$213,1)="n"),$G223/$H223,AND($D223="Non",$E223="Oui",_xlfn.NUMBERVALUE(RIGHT(P$213,LEN(P$213)-SEARCH("/",SUBSTITUTE(P$213,"+","/",LEN(P$213)-LEN(SUBSTITUTE(P$213,"+",""))))))&lt;$H223),$G223/$H223),0)</f>
        <v>0</v>
      </c>
      <c r="Q223" s="55" cm="1">
        <f t="array" aca="1" ref="Q223" ca="1">IFERROR(_xlfn.IFS($D223="Oui",$G223,AND($D223="Non",$E223="Non",RIGHT(Q$213,1)="n"),O223,AND($D223="Non",$E223="Non",RIGHT(Q$213,1)&lt;&gt;"n"),0,AND($D223="Non",$E223="Oui",RIGHT(Q$213,1)="n"),$G223/$H223,AND($D223="Non",$E223="Oui",_xlfn.NUMBERVALUE(RIGHT(Q$213,LEN(Q$213)-SEARCH("/",SUBSTITUTE(Q$213,"+","/",LEN(Q$213)-LEN(SUBSTITUTE(Q$213,"+",""))))))&lt;$H223),$G223/$H223),0)</f>
        <v>0</v>
      </c>
      <c r="R223" s="55" cm="1">
        <f t="array" aca="1" ref="R223" ca="1">IFERROR(_xlfn.IFS($D223="Oui",$G223,AND($D223="Non",$E223="Non",RIGHT(R$213,1)="n"),P223,AND($D223="Non",$E223="Non",RIGHT(R$213,1)&lt;&gt;"n"),0,AND($D223="Non",$E223="Oui",RIGHT(R$213,1)="n"),$G223/$H223,AND($D223="Non",$E223="Oui",_xlfn.NUMBERVALUE(RIGHT(R$213,LEN(R$213)-SEARCH("/",SUBSTITUTE(R$213,"+","/",LEN(R$213)-LEN(SUBSTITUTE(R$213,"+",""))))))&lt;$H223),$G223/$H223),0)</f>
        <v>0</v>
      </c>
      <c r="S223" s="55" cm="1">
        <f t="array" aca="1" ref="S223" ca="1">IFERROR(_xlfn.IFS($D223="Oui",$G223,AND($D223="Non",$E223="Non",RIGHT(S$213,1)="n"),Q223,AND($D223="Non",$E223="Non",RIGHT(S$213,1)&lt;&gt;"n"),0,AND($D223="Non",$E223="Oui",RIGHT(S$213,1)="n"),$G223/$H223,AND($D223="Non",$E223="Oui",_xlfn.NUMBERVALUE(RIGHT(S$213,LEN(S$213)-SEARCH("/",SUBSTITUTE(S$213,"+","/",LEN(S$213)-LEN(SUBSTITUTE(S$213,"+",""))))))&lt;$H223),$G223/$H223),0)</f>
        <v>0</v>
      </c>
      <c r="T223" s="55" cm="1">
        <f t="array" aca="1" ref="T223" ca="1">IFERROR(_xlfn.IFS($D223="Oui",$G223,AND($D223="Non",$E223="Non",RIGHT(T$213,1)="n"),R223,AND($D223="Non",$E223="Non",RIGHT(T$213,1)&lt;&gt;"n"),0,AND($D223="Non",$E223="Oui",RIGHT(T$213,1)="n"),$G223/$H223,AND($D223="Non",$E223="Oui",_xlfn.NUMBERVALUE(RIGHT(T$213,LEN(T$213)-SEARCH("/",SUBSTITUTE(T$213,"+","/",LEN(T$213)-LEN(SUBSTITUTE(T$213,"+",""))))))&lt;$H223),$G223/$H223),0)</f>
        <v>0</v>
      </c>
      <c r="U223" s="55" cm="1">
        <f t="array" aca="1" ref="U223" ca="1">IFERROR(_xlfn.IFS($D223="Oui",$G223,AND($D223="Non",$E223="Non",RIGHT(U$213,1)="n"),S223,AND($D223="Non",$E223="Non",RIGHT(U$213,1)&lt;&gt;"n"),0,AND($D223="Non",$E223="Oui",RIGHT(U$213,1)="n"),$G223/$H223,AND($D223="Non",$E223="Oui",_xlfn.NUMBERVALUE(RIGHT(U$213,LEN(U$213)-SEARCH("/",SUBSTITUTE(U$213,"+","/",LEN(U$213)-LEN(SUBSTITUTE(U$213,"+",""))))))&lt;$H223),$G223/$H223),0)</f>
        <v>0</v>
      </c>
      <c r="V223" s="55" cm="1">
        <f t="array" aca="1" ref="V223" ca="1">IFERROR(_xlfn.IFS($D223="Oui",$G223,AND($D223="Non",$E223="Non",RIGHT(V$213,1)="n"),T223,AND($D223="Non",$E223="Non",RIGHT(V$213,1)&lt;&gt;"n"),0,AND($D223="Non",$E223="Oui",RIGHT(V$213,1)="n"),$G223/$H223,AND($D223="Non",$E223="Oui",_xlfn.NUMBERVALUE(RIGHT(V$213,LEN(V$213)-SEARCH("/",SUBSTITUTE(V$213,"+","/",LEN(V$213)-LEN(SUBSTITUTE(V$213,"+",""))))))&lt;$H223),$G223/$H223),0)</f>
        <v>0</v>
      </c>
      <c r="W223" s="55" cm="1">
        <f t="array" aca="1" ref="W223" ca="1">IFERROR(_xlfn.IFS($D223="Oui",$G223,AND($D223="Non",$E223="Non",RIGHT(W$213,1)="n"),U223,AND($D223="Non",$E223="Non",RIGHT(W$213,1)&lt;&gt;"n"),0,AND($D223="Non",$E223="Oui",RIGHT(W$213,1)="n"),$G223/$H223,AND($D223="Non",$E223="Oui",_xlfn.NUMBERVALUE(RIGHT(W$213,LEN(W$213)-SEARCH("/",SUBSTITUTE(W$213,"+","/",LEN(W$213)-LEN(SUBSTITUTE(W$213,"+",""))))))&lt;$H223),$G223/$H223),0)</f>
        <v>0</v>
      </c>
      <c r="X223" s="55" cm="1">
        <f t="array" aca="1" ref="X223" ca="1">IFERROR(_xlfn.IFS($D223="Oui",$G223,AND($D223="Non",$E223="Non",RIGHT(X$213,1)="n"),V223,AND($D223="Non",$E223="Non",RIGHT(X$213,1)&lt;&gt;"n"),0,AND($D223="Non",$E223="Oui",RIGHT(X$213,1)="n"),$G223/$H223,AND($D223="Non",$E223="Oui",_xlfn.NUMBERVALUE(RIGHT(X$213,LEN(X$213)-SEARCH("/",SUBSTITUTE(X$213,"+","/",LEN(X$213)-LEN(SUBSTITUTE(X$213,"+",""))))))&lt;$H223),$G223/$H223),0)</f>
        <v>0</v>
      </c>
      <c r="Y223" s="55" cm="1">
        <f t="array" aca="1" ref="Y223" ca="1">IFERROR(_xlfn.IFS($D223="Oui",$G223,AND($D223="Non",$E223="Non",RIGHT(Y$213,1)="n"),W223,AND($D223="Non",$E223="Non",RIGHT(Y$213,1)&lt;&gt;"n"),0,AND($D223="Non",$E223="Oui",RIGHT(Y$213,1)="n"),$G223/$H223,AND($D223="Non",$E223="Oui",_xlfn.NUMBERVALUE(RIGHT(Y$213,LEN(Y$213)-SEARCH("/",SUBSTITUTE(Y$213,"+","/",LEN(Y$213)-LEN(SUBSTITUTE(Y$213,"+",""))))))&lt;$H223),$G223/$H223),0)</f>
        <v>0</v>
      </c>
      <c r="Z223" s="43" t="s">
        <v>283</v>
      </c>
      <c r="AA223" s="43"/>
    </row>
    <row r="224" spans="3:27" x14ac:dyDescent="0.25">
      <c r="C224" s="43" t="s">
        <v>183</v>
      </c>
      <c r="D224" s="43" t="s">
        <v>255</v>
      </c>
      <c r="E224" s="43" t="s">
        <v>194</v>
      </c>
      <c r="F224" s="43">
        <f>IF(OR(ISBLANK('Données_d''entrée'!$E$45),'Données_d''entrée'!$E$45=0),1,'Données_d''entrée'!$E$45)</f>
        <v>1</v>
      </c>
      <c r="G224" s="43">
        <f>F224*100*10^3</f>
        <v>100000</v>
      </c>
      <c r="H224" s="43">
        <v>15</v>
      </c>
      <c r="I224" s="55" cm="1">
        <f t="array" aca="1" ref="I224" ca="1">IFERROR(_xlfn.IFS($D224="Oui",$G224,AND($D224="Non",$E224="Non",RIGHT(I$213,1)="n"),G224,AND($D224="Non",$E224="Non",RIGHT(I$213,1)&lt;&gt;"n"),0,AND($D224="Non",$E224="Oui",RIGHT(I$213,1)="n"),$G224/$H224,AND($D224="Non",$E224="Oui",_xlfn.NUMBERVALUE(RIGHT(I$213,LEN(I$213)-SEARCH("/",SUBSTITUTE(I$213,"+","/",LEN(I$213)-LEN(SUBSTITUTE(I$213,"+",""))))))&lt;$H224),$G224/$H224),0)</f>
        <v>0</v>
      </c>
      <c r="J224" s="55" cm="1">
        <f t="array" aca="1" ref="J224" ca="1">IFERROR(_xlfn.IFS($D224="Oui",$G224,AND($D224="Non",$E224="Non",RIGHT(J$213,1)="n"),H224,AND($D224="Non",$E224="Non",RIGHT(J$213,1)&lt;&gt;"n"),0,AND($D224="Non",$E224="Oui",RIGHT(J$213,1)="n"),$G224/$H224,AND($D224="Non",$E224="Oui",_xlfn.NUMBERVALUE(RIGHT(J$213,LEN(J$213)-SEARCH("/",SUBSTITUTE(J$213,"+","/",LEN(J$213)-LEN(SUBSTITUTE(J$213,"+",""))))))&lt;$H224),$G224/$H224),0)</f>
        <v>0</v>
      </c>
      <c r="K224" s="55" cm="1">
        <f t="array" aca="1" ref="K224" ca="1">IFERROR(_xlfn.IFS($D224="Oui",$G224,AND($D224="Non",$E224="Non",RIGHT(K$213,1)="n"),I224,AND($D224="Non",$E224="Non",RIGHT(K$213,1)&lt;&gt;"n"),0,AND($D224="Non",$E224="Oui",RIGHT(K$213,1)="n"),$G224/$H224,AND($D224="Non",$E224="Oui",_xlfn.NUMBERVALUE(RIGHT(K$213,LEN(K$213)-SEARCH("/",SUBSTITUTE(K$213,"+","/",LEN(K$213)-LEN(SUBSTITUTE(K$213,"+",""))))))&lt;$H224),$G224/$H224),0)</f>
        <v>0</v>
      </c>
      <c r="L224" s="55" cm="1">
        <f t="array" aca="1" ref="L224" ca="1">IFERROR(_xlfn.IFS($D224="Oui",$G224,AND($D224="Non",$E224="Non",RIGHT(L$213,1)="n"),J224,AND($D224="Non",$E224="Non",RIGHT(L$213,1)&lt;&gt;"n"),0,AND($D224="Non",$E224="Oui",RIGHT(L$213,1)="n"),$G224/$H224,AND($D224="Non",$E224="Oui",_xlfn.NUMBERVALUE(RIGHT(L$213,LEN(L$213)-SEARCH("/",SUBSTITUTE(L$213,"+","/",LEN(L$213)-LEN(SUBSTITUTE(L$213,"+",""))))))&lt;$H224),$G224/$H224),0)</f>
        <v>0</v>
      </c>
      <c r="M224" s="55" cm="1">
        <f t="array" aca="1" ref="M224" ca="1">IFERROR(_xlfn.IFS($D224="Oui",$G224,AND($D224="Non",$E224="Non",RIGHT(M$213,1)="n"),K224,AND($D224="Non",$E224="Non",RIGHT(M$213,1)&lt;&gt;"n"),0,AND($D224="Non",$E224="Oui",RIGHT(M$213,1)="n"),$G224/$H224,AND($D224="Non",$E224="Oui",_xlfn.NUMBERVALUE(RIGHT(M$213,LEN(M$213)-SEARCH("/",SUBSTITUTE(M$213,"+","/",LEN(M$213)-LEN(SUBSTITUTE(M$213,"+",""))))))&lt;$H224),$G224/$H224),0)</f>
        <v>0</v>
      </c>
      <c r="N224" s="55" cm="1">
        <f t="array" aca="1" ref="N224" ca="1">IFERROR(_xlfn.IFS($D224="Oui",$G224,AND($D224="Non",$E224="Non",RIGHT(N$213,1)="n"),L224,AND($D224="Non",$E224="Non",RIGHT(N$213,1)&lt;&gt;"n"),0,AND($D224="Non",$E224="Oui",RIGHT(N$213,1)="n"),$G224/$H224,AND($D224="Non",$E224="Oui",_xlfn.NUMBERVALUE(RIGHT(N$213,LEN(N$213)-SEARCH("/",SUBSTITUTE(N$213,"+","/",LEN(N$213)-LEN(SUBSTITUTE(N$213,"+",""))))))&lt;$H224),$G224/$H224),0)</f>
        <v>0</v>
      </c>
      <c r="O224" s="55" cm="1">
        <f t="array" aca="1" ref="O224" ca="1">IFERROR(_xlfn.IFS($D224="Oui",$G224,AND($D224="Non",$E224="Non",RIGHT(O$213,1)="n"),M224,AND($D224="Non",$E224="Non",RIGHT(O$213,1)&lt;&gt;"n"),0,AND($D224="Non",$E224="Oui",RIGHT(O$213,1)="n"),$G224/$H224,AND($D224="Non",$E224="Oui",_xlfn.NUMBERVALUE(RIGHT(O$213,LEN(O$213)-SEARCH("/",SUBSTITUTE(O$213,"+","/",LEN(O$213)-LEN(SUBSTITUTE(O$213,"+",""))))))&lt;$H224),$G224/$H224),0)</f>
        <v>0</v>
      </c>
      <c r="P224" s="55" cm="1">
        <f t="array" aca="1" ref="P224" ca="1">IFERROR(_xlfn.IFS($D224="Oui",$G224,AND($D224="Non",$E224="Non",RIGHT(P$213,1)="n"),N224,AND($D224="Non",$E224="Non",RIGHT(P$213,1)&lt;&gt;"n"),0,AND($D224="Non",$E224="Oui",RIGHT(P$213,1)="n"),$G224/$H224,AND($D224="Non",$E224="Oui",_xlfn.NUMBERVALUE(RIGHT(P$213,LEN(P$213)-SEARCH("/",SUBSTITUTE(P$213,"+","/",LEN(P$213)-LEN(SUBSTITUTE(P$213,"+",""))))))&lt;$H224),$G224/$H224),0)</f>
        <v>0</v>
      </c>
      <c r="Q224" s="55" cm="1">
        <f t="array" aca="1" ref="Q224" ca="1">IFERROR(_xlfn.IFS($D224="Oui",$G224,AND($D224="Non",$E224="Non",RIGHT(Q$213,1)="n"),O224,AND($D224="Non",$E224="Non",RIGHT(Q$213,1)&lt;&gt;"n"),0,AND($D224="Non",$E224="Oui",RIGHT(Q$213,1)="n"),$G224/$H224,AND($D224="Non",$E224="Oui",_xlfn.NUMBERVALUE(RIGHT(Q$213,LEN(Q$213)-SEARCH("/",SUBSTITUTE(Q$213,"+","/",LEN(Q$213)-LEN(SUBSTITUTE(Q$213,"+",""))))))&lt;$H224),$G224/$H224),0)</f>
        <v>0</v>
      </c>
      <c r="R224" s="55" cm="1">
        <f t="array" aca="1" ref="R224" ca="1">IFERROR(_xlfn.IFS($D224="Oui",$G224,AND($D224="Non",$E224="Non",RIGHT(R$213,1)="n"),P224,AND($D224="Non",$E224="Non",RIGHT(R$213,1)&lt;&gt;"n"),0,AND($D224="Non",$E224="Oui",RIGHT(R$213,1)="n"),$G224/$H224,AND($D224="Non",$E224="Oui",_xlfn.NUMBERVALUE(RIGHT(R$213,LEN(R$213)-SEARCH("/",SUBSTITUTE(R$213,"+","/",LEN(R$213)-LEN(SUBSTITUTE(R$213,"+",""))))))&lt;$H224),$G224/$H224),0)</f>
        <v>0</v>
      </c>
      <c r="S224" s="55" cm="1">
        <f t="array" aca="1" ref="S224" ca="1">IFERROR(_xlfn.IFS($D224="Oui",$G224,AND($D224="Non",$E224="Non",RIGHT(S$213,1)="n"),Q224,AND($D224="Non",$E224="Non",RIGHT(S$213,1)&lt;&gt;"n"),0,AND($D224="Non",$E224="Oui",RIGHT(S$213,1)="n"),$G224/$H224,AND($D224="Non",$E224="Oui",_xlfn.NUMBERVALUE(RIGHT(S$213,LEN(S$213)-SEARCH("/",SUBSTITUTE(S$213,"+","/",LEN(S$213)-LEN(SUBSTITUTE(S$213,"+",""))))))&lt;$H224),$G224/$H224),0)</f>
        <v>0</v>
      </c>
      <c r="T224" s="55" cm="1">
        <f t="array" aca="1" ref="T224" ca="1">IFERROR(_xlfn.IFS($D224="Oui",$G224,AND($D224="Non",$E224="Non",RIGHT(T$213,1)="n"),R224,AND($D224="Non",$E224="Non",RIGHT(T$213,1)&lt;&gt;"n"),0,AND($D224="Non",$E224="Oui",RIGHT(T$213,1)="n"),$G224/$H224,AND($D224="Non",$E224="Oui",_xlfn.NUMBERVALUE(RIGHT(T$213,LEN(T$213)-SEARCH("/",SUBSTITUTE(T$213,"+","/",LEN(T$213)-LEN(SUBSTITUTE(T$213,"+",""))))))&lt;$H224),$G224/$H224),0)</f>
        <v>0</v>
      </c>
      <c r="U224" s="55" cm="1">
        <f t="array" aca="1" ref="U224" ca="1">IFERROR(_xlfn.IFS($D224="Oui",$G224,AND($D224="Non",$E224="Non",RIGHT(U$213,1)="n"),S224,AND($D224="Non",$E224="Non",RIGHT(U$213,1)&lt;&gt;"n"),0,AND($D224="Non",$E224="Oui",RIGHT(U$213,1)="n"),$G224/$H224,AND($D224="Non",$E224="Oui",_xlfn.NUMBERVALUE(RIGHT(U$213,LEN(U$213)-SEARCH("/",SUBSTITUTE(U$213,"+","/",LEN(U$213)-LEN(SUBSTITUTE(U$213,"+",""))))))&lt;$H224),$G224/$H224),0)</f>
        <v>0</v>
      </c>
      <c r="V224" s="55" cm="1">
        <f t="array" aca="1" ref="V224" ca="1">IFERROR(_xlfn.IFS($D224="Oui",$G224,AND($D224="Non",$E224="Non",RIGHT(V$213,1)="n"),T224,AND($D224="Non",$E224="Non",RIGHT(V$213,1)&lt;&gt;"n"),0,AND($D224="Non",$E224="Oui",RIGHT(V$213,1)="n"),$G224/$H224,AND($D224="Non",$E224="Oui",_xlfn.NUMBERVALUE(RIGHT(V$213,LEN(V$213)-SEARCH("/",SUBSTITUTE(V$213,"+","/",LEN(V$213)-LEN(SUBSTITUTE(V$213,"+",""))))))&lt;$H224),$G224/$H224),0)</f>
        <v>0</v>
      </c>
      <c r="W224" s="55" cm="1">
        <f t="array" aca="1" ref="W224" ca="1">IFERROR(_xlfn.IFS($D224="Oui",$G224,AND($D224="Non",$E224="Non",RIGHT(W$213,1)="n"),U224,AND($D224="Non",$E224="Non",RIGHT(W$213,1)&lt;&gt;"n"),0,AND($D224="Non",$E224="Oui",RIGHT(W$213,1)="n"),$G224/$H224,AND($D224="Non",$E224="Oui",_xlfn.NUMBERVALUE(RIGHT(W$213,LEN(W$213)-SEARCH("/",SUBSTITUTE(W$213,"+","/",LEN(W$213)-LEN(SUBSTITUTE(W$213,"+",""))))))&lt;$H224),$G224/$H224),0)</f>
        <v>0</v>
      </c>
      <c r="X224" s="55" cm="1">
        <f t="array" aca="1" ref="X224" ca="1">IFERROR(_xlfn.IFS($D224="Oui",$G224,AND($D224="Non",$E224="Non",RIGHT(X$213,1)="n"),V224,AND($D224="Non",$E224="Non",RIGHT(X$213,1)&lt;&gt;"n"),0,AND($D224="Non",$E224="Oui",RIGHT(X$213,1)="n"),$G224/$H224,AND($D224="Non",$E224="Oui",_xlfn.NUMBERVALUE(RIGHT(X$213,LEN(X$213)-SEARCH("/",SUBSTITUTE(X$213,"+","/",LEN(X$213)-LEN(SUBSTITUTE(X$213,"+",""))))))&lt;$H224),$G224/$H224),0)</f>
        <v>0</v>
      </c>
      <c r="Y224" s="55" cm="1">
        <f t="array" aca="1" ref="Y224" ca="1">IFERROR(_xlfn.IFS($D224="Oui",$G224,AND($D224="Non",$E224="Non",RIGHT(Y$213,1)="n"),W224,AND($D224="Non",$E224="Non",RIGHT(Y$213,1)&lt;&gt;"n"),0,AND($D224="Non",$E224="Oui",RIGHT(Y$213,1)="n"),$G224/$H224,AND($D224="Non",$E224="Oui",_xlfn.NUMBERVALUE(RIGHT(Y$213,LEN(Y$213)-SEARCH("/",SUBSTITUTE(Y$213,"+","/",LEN(Y$213)-LEN(SUBSTITUTE(Y$213,"+",""))))))&lt;$H224),$G224/$H224),0)</f>
        <v>0</v>
      </c>
      <c r="Z224" s="43" t="s">
        <v>284</v>
      </c>
      <c r="AA224" s="43" t="s">
        <v>235</v>
      </c>
    </row>
    <row r="225" spans="3:27" x14ac:dyDescent="0.25">
      <c r="C225" s="43" t="s">
        <v>184</v>
      </c>
      <c r="D225" s="43" t="s">
        <v>194</v>
      </c>
      <c r="E225" s="43" t="s">
        <v>255</v>
      </c>
      <c r="F225" s="43">
        <f>IF(OR(ISBLANK('Données_d''entrée'!$E$45),'Données_d''entrée'!$E$45=0),1,'Données_d''entrée'!$E$45)</f>
        <v>1</v>
      </c>
      <c r="G225" s="43">
        <f>100+D180*2*12</f>
        <v>622.19780219780228</v>
      </c>
      <c r="H225" s="43">
        <v>0</v>
      </c>
      <c r="I225" s="55">
        <f>500+100+D180*2*12</f>
        <v>1122.1978021978023</v>
      </c>
      <c r="J225" s="55" cm="1">
        <f t="array" aca="1" ref="J225" ca="1">IFERROR(_xlfn.IFS($D225="Oui",$G225,AND($D225="Non",$E225="Non",RIGHT(J$213,1)="n"),H225,AND($D225="Non",$E225="Non",RIGHT(J$213,1)&lt;&gt;"n"),0,AND($D225="Non",$E225="Oui",RIGHT(J$213,1)="n"),$G225/$H225,AND($D225="Non",$E225="Oui",_xlfn.NUMBERVALUE(RIGHT(J$213,LEN(J$213)-SEARCH("/",SUBSTITUTE(J$213,"+","/",LEN(J$213)-LEN(SUBSTITUTE(J$213,"+",""))))))&lt;$H225),$G225/$H225),0)</f>
        <v>0</v>
      </c>
      <c r="K225" s="55" cm="1">
        <f t="array" aca="1" ref="K225" ca="1">IFERROR(_xlfn.IFS($D225="Oui",$G225,AND($D225="Non",$E225="Non",RIGHT(K$213,1)="n"),I225,AND($D225="Non",$E225="Non",RIGHT(K$213,1)&lt;&gt;"n"),0,AND($D225="Non",$E225="Oui",RIGHT(K$213,1)="n"),$G225/$H225,AND($D225="Non",$E225="Oui",_xlfn.NUMBERVALUE(RIGHT(K$213,LEN(K$213)-SEARCH("/",SUBSTITUTE(K$213,"+","/",LEN(K$213)-LEN(SUBSTITUTE(K$213,"+",""))))))&lt;$H225),$G225/$H225),0)</f>
        <v>0</v>
      </c>
      <c r="L225" s="55" cm="1">
        <f t="array" aca="1" ref="L225" ca="1">IFERROR(_xlfn.IFS($D225="Oui",$G225,AND($D225="Non",$E225="Non",RIGHT(L$213,1)="n"),J225,AND($D225="Non",$E225="Non",RIGHT(L$213,1)&lt;&gt;"n"),0,AND($D225="Non",$E225="Oui",RIGHT(L$213,1)="n"),$G225/$H225,AND($D225="Non",$E225="Oui",_xlfn.NUMBERVALUE(RIGHT(L$213,LEN(L$213)-SEARCH("/",SUBSTITUTE(L$213,"+","/",LEN(L$213)-LEN(SUBSTITUTE(L$213,"+",""))))))&lt;$H225),$G225/$H225),0)</f>
        <v>0</v>
      </c>
      <c r="M225" s="55" cm="1">
        <f t="array" aca="1" ref="M225" ca="1">IFERROR(_xlfn.IFS($D225="Oui",$G225,AND($D225="Non",$E225="Non",RIGHT(M$213,1)="n"),K225,AND($D225="Non",$E225="Non",RIGHT(M$213,1)&lt;&gt;"n"),0,AND($D225="Non",$E225="Oui",RIGHT(M$213,1)="n"),$G225/$H225,AND($D225="Non",$E225="Oui",_xlfn.NUMBERVALUE(RIGHT(M$213,LEN(M$213)-SEARCH("/",SUBSTITUTE(M$213,"+","/",LEN(M$213)-LEN(SUBSTITUTE(M$213,"+",""))))))&lt;$H225),$G225/$H225),0)</f>
        <v>0</v>
      </c>
      <c r="N225" s="55" cm="1">
        <f t="array" aca="1" ref="N225" ca="1">IFERROR(_xlfn.IFS($D225="Oui",$G225,AND($D225="Non",$E225="Non",RIGHT(N$213,1)="n"),L225,AND($D225="Non",$E225="Non",RIGHT(N$213,1)&lt;&gt;"n"),0,AND($D225="Non",$E225="Oui",RIGHT(N$213,1)="n"),$G225/$H225,AND($D225="Non",$E225="Oui",_xlfn.NUMBERVALUE(RIGHT(N$213,LEN(N$213)-SEARCH("/",SUBSTITUTE(N$213,"+","/",LEN(N$213)-LEN(SUBSTITUTE(N$213,"+",""))))))&lt;$H225),$G225/$H225),0)</f>
        <v>0</v>
      </c>
      <c r="O225" s="55" cm="1">
        <f t="array" aca="1" ref="O225" ca="1">IFERROR(_xlfn.IFS($D225="Oui",$G225,AND($D225="Non",$E225="Non",RIGHT(O$213,1)="n"),M225,AND($D225="Non",$E225="Non",RIGHT(O$213,1)&lt;&gt;"n"),0,AND($D225="Non",$E225="Oui",RIGHT(O$213,1)="n"),$G225/$H225,AND($D225="Non",$E225="Oui",_xlfn.NUMBERVALUE(RIGHT(O$213,LEN(O$213)-SEARCH("/",SUBSTITUTE(O$213,"+","/",LEN(O$213)-LEN(SUBSTITUTE(O$213,"+",""))))))&lt;$H225),$G225/$H225),0)</f>
        <v>0</v>
      </c>
      <c r="P225" s="55" cm="1">
        <f t="array" aca="1" ref="P225" ca="1">IFERROR(_xlfn.IFS($D225="Oui",$G225,AND($D225="Non",$E225="Non",RIGHT(P$213,1)="n"),N225,AND($D225="Non",$E225="Non",RIGHT(P$213,1)&lt;&gt;"n"),0,AND($D225="Non",$E225="Oui",RIGHT(P$213,1)="n"),$G225/$H225,AND($D225="Non",$E225="Oui",_xlfn.NUMBERVALUE(RIGHT(P$213,LEN(P$213)-SEARCH("/",SUBSTITUTE(P$213,"+","/",LEN(P$213)-LEN(SUBSTITUTE(P$213,"+",""))))))&lt;$H225),$G225/$H225),0)</f>
        <v>0</v>
      </c>
      <c r="Q225" s="55" cm="1">
        <f t="array" aca="1" ref="Q225" ca="1">IFERROR(_xlfn.IFS($D225="Oui",$G225,AND($D225="Non",$E225="Non",RIGHT(Q$213,1)="n"),O225,AND($D225="Non",$E225="Non",RIGHT(Q$213,1)&lt;&gt;"n"),0,AND($D225="Non",$E225="Oui",RIGHT(Q$213,1)="n"),$G225/$H225,AND($D225="Non",$E225="Oui",_xlfn.NUMBERVALUE(RIGHT(Q$213,LEN(Q$213)-SEARCH("/",SUBSTITUTE(Q$213,"+","/",LEN(Q$213)-LEN(SUBSTITUTE(Q$213,"+",""))))))&lt;$H225),$G225/$H225),0)</f>
        <v>0</v>
      </c>
      <c r="R225" s="55" cm="1">
        <f t="array" aca="1" ref="R225" ca="1">IFERROR(_xlfn.IFS($D225="Oui",$G225,AND($D225="Non",$E225="Non",RIGHT(R$213,1)="n"),P225,AND($D225="Non",$E225="Non",RIGHT(R$213,1)&lt;&gt;"n"),0,AND($D225="Non",$E225="Oui",RIGHT(R$213,1)="n"),$G225/$H225,AND($D225="Non",$E225="Oui",_xlfn.NUMBERVALUE(RIGHT(R$213,LEN(R$213)-SEARCH("/",SUBSTITUTE(R$213,"+","/",LEN(R$213)-LEN(SUBSTITUTE(R$213,"+",""))))))&lt;$H225),$G225/$H225),0)</f>
        <v>0</v>
      </c>
      <c r="S225" s="55" cm="1">
        <f t="array" aca="1" ref="S225" ca="1">IFERROR(_xlfn.IFS($D225="Oui",$G225,AND($D225="Non",$E225="Non",RIGHT(S$213,1)="n"),Q225,AND($D225="Non",$E225="Non",RIGHT(S$213,1)&lt;&gt;"n"),0,AND($D225="Non",$E225="Oui",RIGHT(S$213,1)="n"),$G225/$H225,AND($D225="Non",$E225="Oui",_xlfn.NUMBERVALUE(RIGHT(S$213,LEN(S$213)-SEARCH("/",SUBSTITUTE(S$213,"+","/",LEN(S$213)-LEN(SUBSTITUTE(S$213,"+",""))))))&lt;$H225),$G225/$H225),0)</f>
        <v>0</v>
      </c>
      <c r="T225" s="55" cm="1">
        <f t="array" aca="1" ref="T225" ca="1">IFERROR(_xlfn.IFS($D225="Oui",$G225,AND($D225="Non",$E225="Non",RIGHT(T$213,1)="n"),R225,AND($D225="Non",$E225="Non",RIGHT(T$213,1)&lt;&gt;"n"),0,AND($D225="Non",$E225="Oui",RIGHT(T$213,1)="n"),$G225/$H225,AND($D225="Non",$E225="Oui",_xlfn.NUMBERVALUE(RIGHT(T$213,LEN(T$213)-SEARCH("/",SUBSTITUTE(T$213,"+","/",LEN(T$213)-LEN(SUBSTITUTE(T$213,"+",""))))))&lt;$H225),$G225/$H225),0)</f>
        <v>0</v>
      </c>
      <c r="U225" s="55" cm="1">
        <f t="array" aca="1" ref="U225" ca="1">IFERROR(_xlfn.IFS($D225="Oui",$G225,AND($D225="Non",$E225="Non",RIGHT(U$213,1)="n"),S225,AND($D225="Non",$E225="Non",RIGHT(U$213,1)&lt;&gt;"n"),0,AND($D225="Non",$E225="Oui",RIGHT(U$213,1)="n"),$G225/$H225,AND($D225="Non",$E225="Oui",_xlfn.NUMBERVALUE(RIGHT(U$213,LEN(U$213)-SEARCH("/",SUBSTITUTE(U$213,"+","/",LEN(U$213)-LEN(SUBSTITUTE(U$213,"+",""))))))&lt;$H225),$G225/$H225),0)</f>
        <v>0</v>
      </c>
      <c r="V225" s="55" cm="1">
        <f t="array" aca="1" ref="V225" ca="1">IFERROR(_xlfn.IFS($D225="Oui",$G225,AND($D225="Non",$E225="Non",RIGHT(V$213,1)="n"),T225,AND($D225="Non",$E225="Non",RIGHT(V$213,1)&lt;&gt;"n"),0,AND($D225="Non",$E225="Oui",RIGHT(V$213,1)="n"),$G225/$H225,AND($D225="Non",$E225="Oui",_xlfn.NUMBERVALUE(RIGHT(V$213,LEN(V$213)-SEARCH("/",SUBSTITUTE(V$213,"+","/",LEN(V$213)-LEN(SUBSTITUTE(V$213,"+",""))))))&lt;$H225),$G225/$H225),0)</f>
        <v>0</v>
      </c>
      <c r="W225" s="55" cm="1">
        <f t="array" aca="1" ref="W225" ca="1">IFERROR(_xlfn.IFS($D225="Oui",$G225,AND($D225="Non",$E225="Non",RIGHT(W$213,1)="n"),U225,AND($D225="Non",$E225="Non",RIGHT(W$213,1)&lt;&gt;"n"),0,AND($D225="Non",$E225="Oui",RIGHT(W$213,1)="n"),$G225/$H225,AND($D225="Non",$E225="Oui",_xlfn.NUMBERVALUE(RIGHT(W$213,LEN(W$213)-SEARCH("/",SUBSTITUTE(W$213,"+","/",LEN(W$213)-LEN(SUBSTITUTE(W$213,"+",""))))))&lt;$H225),$G225/$H225),0)</f>
        <v>0</v>
      </c>
      <c r="X225" s="55" cm="1">
        <f t="array" aca="1" ref="X225" ca="1">IFERROR(_xlfn.IFS($D225="Oui",$G225,AND($D225="Non",$E225="Non",RIGHT(X$213,1)="n"),V225,AND($D225="Non",$E225="Non",RIGHT(X$213,1)&lt;&gt;"n"),0,AND($D225="Non",$E225="Oui",RIGHT(X$213,1)="n"),$G225/$H225,AND($D225="Non",$E225="Oui",_xlfn.NUMBERVALUE(RIGHT(X$213,LEN(X$213)-SEARCH("/",SUBSTITUTE(X$213,"+","/",LEN(X$213)-LEN(SUBSTITUTE(X$213,"+",""))))))&lt;$H225),$G225/$H225),0)</f>
        <v>0</v>
      </c>
      <c r="Y225" s="55" cm="1">
        <f t="array" aca="1" ref="Y225" ca="1">IFERROR(_xlfn.IFS($D225="Oui",$G225,AND($D225="Non",$E225="Non",RIGHT(Y$213,1)="n"),W225,AND($D225="Non",$E225="Non",RIGHT(Y$213,1)&lt;&gt;"n"),0,AND($D225="Non",$E225="Oui",RIGHT(Y$213,1)="n"),$G225/$H225,AND($D225="Non",$E225="Oui",_xlfn.NUMBERVALUE(RIGHT(Y$213,LEN(Y$213)-SEARCH("/",SUBSTITUTE(Y$213,"+","/",LEN(Y$213)-LEN(SUBSTITUTE(Y$213,"+",""))))))&lt;$H225),$G225/$H225),0)</f>
        <v>0</v>
      </c>
      <c r="Z225" s="43" t="s">
        <v>287</v>
      </c>
      <c r="AA225" s="43"/>
    </row>
    <row r="226" spans="3:27" x14ac:dyDescent="0.25">
      <c r="C226" s="43" t="s">
        <v>185</v>
      </c>
      <c r="D226" s="43" t="s">
        <v>194</v>
      </c>
      <c r="E226" s="43" t="s">
        <v>255</v>
      </c>
      <c r="F226" s="43">
        <f>IF(OR(ISBLANK('Données_d''entrée'!$E$45),'Données_d''entrée'!$E$45=0),1,'Données_d''entrée'!$E$45)</f>
        <v>1</v>
      </c>
      <c r="G226" s="43">
        <f>AVERAGE(60,90)*2*D183*F226</f>
        <v>6810</v>
      </c>
      <c r="H226" s="43">
        <v>0</v>
      </c>
      <c r="I226" s="55" cm="1">
        <f t="array" aca="1" ref="I226" ca="1">IFERROR(_xlfn.IFS($D226="Oui",$G226,AND($D226="Non",$E226="Non",RIGHT(I$213,1)="n"),G226,AND($D226="Non",$E226="Non",RIGHT(I$213,1)&lt;&gt;"n"),0,AND($D226="Non",$E226="Oui",RIGHT(I$213,1)="n"),$G226/$H226,AND($D226="Non",$E226="Oui",_xlfn.NUMBERVALUE(RIGHT(I$213,LEN(I$213)-SEARCH("/",SUBSTITUTE(I$213,"+","/",LEN(I$213)-LEN(SUBSTITUTE(I$213,"+",""))))))&lt;$H226),$G226/$H226),0)</f>
        <v>0</v>
      </c>
      <c r="J226" s="55" cm="1">
        <f t="array" aca="1" ref="J226" ca="1">IFERROR(_xlfn.IFS($D226="Oui",$G226,AND($D226="Non",$E226="Non",RIGHT(J$213,1)="n"),H226,AND($D226="Non",$E226="Non",RIGHT(J$213,1)&lt;&gt;"n"),0,AND($D226="Non",$E226="Oui",RIGHT(J$213,1)="n"),$G226/$H226,AND($D226="Non",$E226="Oui",_xlfn.NUMBERVALUE(RIGHT(J$213,LEN(J$213)-SEARCH("/",SUBSTITUTE(J$213,"+","/",LEN(J$213)-LEN(SUBSTITUTE(J$213,"+",""))))))&lt;$H226),$G226/$H226),0)</f>
        <v>0</v>
      </c>
      <c r="K226" s="55" cm="1">
        <f t="array" aca="1" ref="K226" ca="1">IFERROR(_xlfn.IFS($D226="Oui",$G226,AND($D226="Non",$E226="Non",RIGHT(K$213,1)="n"),I226,AND($D226="Non",$E226="Non",RIGHT(K$213,1)&lt;&gt;"n"),0,AND($D226="Non",$E226="Oui",RIGHT(K$213,1)="n"),$G226/$H226,AND($D226="Non",$E226="Oui",_xlfn.NUMBERVALUE(RIGHT(K$213,LEN(K$213)-SEARCH("/",SUBSTITUTE(K$213,"+","/",LEN(K$213)-LEN(SUBSTITUTE(K$213,"+",""))))))&lt;$H226),$G226/$H226),0)</f>
        <v>0</v>
      </c>
      <c r="L226" s="55" cm="1">
        <f t="array" aca="1" ref="L226" ca="1">IFERROR(_xlfn.IFS($D226="Oui",$G226,AND($D226="Non",$E226="Non",RIGHT(L$213,1)="n"),J226,AND($D226="Non",$E226="Non",RIGHT(L$213,1)&lt;&gt;"n"),0,AND($D226="Non",$E226="Oui",RIGHT(L$213,1)="n"),$G226/$H226,AND($D226="Non",$E226="Oui",_xlfn.NUMBERVALUE(RIGHT(L$213,LEN(L$213)-SEARCH("/",SUBSTITUTE(L$213,"+","/",LEN(L$213)-LEN(SUBSTITUTE(L$213,"+",""))))))&lt;$H226),$G226/$H226),0)</f>
        <v>0</v>
      </c>
      <c r="M226" s="55" cm="1">
        <f t="array" aca="1" ref="M226" ca="1">IFERROR(_xlfn.IFS($D226="Oui",$G226,AND($D226="Non",$E226="Non",RIGHT(M$213,1)="n"),K226,AND($D226="Non",$E226="Non",RIGHT(M$213,1)&lt;&gt;"n"),0,AND($D226="Non",$E226="Oui",RIGHT(M$213,1)="n"),$G226/$H226,AND($D226="Non",$E226="Oui",_xlfn.NUMBERVALUE(RIGHT(M$213,LEN(M$213)-SEARCH("/",SUBSTITUTE(M$213,"+","/",LEN(M$213)-LEN(SUBSTITUTE(M$213,"+",""))))))&lt;$H226),$G226/$H226),0)</f>
        <v>0</v>
      </c>
      <c r="N226" s="55" cm="1">
        <f t="array" aca="1" ref="N226" ca="1">IFERROR(_xlfn.IFS($D226="Oui",$G226,AND($D226="Non",$E226="Non",RIGHT(N$213,1)="n"),L226,AND($D226="Non",$E226="Non",RIGHT(N$213,1)&lt;&gt;"n"),0,AND($D226="Non",$E226="Oui",RIGHT(N$213,1)="n"),$G226/$H226,AND($D226="Non",$E226="Oui",_xlfn.NUMBERVALUE(RIGHT(N$213,LEN(N$213)-SEARCH("/",SUBSTITUTE(N$213,"+","/",LEN(N$213)-LEN(SUBSTITUTE(N$213,"+",""))))))&lt;$H226),$G226/$H226),0)</f>
        <v>0</v>
      </c>
      <c r="O226" s="55" cm="1">
        <f t="array" aca="1" ref="O226" ca="1">IFERROR(_xlfn.IFS($D226="Oui",$G226,AND($D226="Non",$E226="Non",RIGHT(O$213,1)="n"),M226,AND($D226="Non",$E226="Non",RIGHT(O$213,1)&lt;&gt;"n"),0,AND($D226="Non",$E226="Oui",RIGHT(O$213,1)="n"),$G226/$H226,AND($D226="Non",$E226="Oui",_xlfn.NUMBERVALUE(RIGHT(O$213,LEN(O$213)-SEARCH("/",SUBSTITUTE(O$213,"+","/",LEN(O$213)-LEN(SUBSTITUTE(O$213,"+",""))))))&lt;$H226),$G226/$H226),0)</f>
        <v>0</v>
      </c>
      <c r="P226" s="55" cm="1">
        <f t="array" aca="1" ref="P226" ca="1">IFERROR(_xlfn.IFS($D226="Oui",$G226,AND($D226="Non",$E226="Non",RIGHT(P$213,1)="n"),N226,AND($D226="Non",$E226="Non",RIGHT(P$213,1)&lt;&gt;"n"),0,AND($D226="Non",$E226="Oui",RIGHT(P$213,1)="n"),$G226/$H226,AND($D226="Non",$E226="Oui",_xlfn.NUMBERVALUE(RIGHT(P$213,LEN(P$213)-SEARCH("/",SUBSTITUTE(P$213,"+","/",LEN(P$213)-LEN(SUBSTITUTE(P$213,"+",""))))))&lt;$H226),$G226/$H226),0)</f>
        <v>0</v>
      </c>
      <c r="Q226" s="55" cm="1">
        <f t="array" aca="1" ref="Q226" ca="1">IFERROR(_xlfn.IFS($D226="Oui",$G226,AND($D226="Non",$E226="Non",RIGHT(Q$213,1)="n"),O226,AND($D226="Non",$E226="Non",RIGHT(Q$213,1)&lt;&gt;"n"),0,AND($D226="Non",$E226="Oui",RIGHT(Q$213,1)="n"),$G226/$H226,AND($D226="Non",$E226="Oui",_xlfn.NUMBERVALUE(RIGHT(Q$213,LEN(Q$213)-SEARCH("/",SUBSTITUTE(Q$213,"+","/",LEN(Q$213)-LEN(SUBSTITUTE(Q$213,"+",""))))))&lt;$H226),$G226/$H226),0)</f>
        <v>0</v>
      </c>
      <c r="R226" s="55" cm="1">
        <f t="array" aca="1" ref="R226" ca="1">IFERROR(_xlfn.IFS($D226="Oui",$G226,AND($D226="Non",$E226="Non",RIGHT(R$213,1)="n"),P226,AND($D226="Non",$E226="Non",RIGHT(R$213,1)&lt;&gt;"n"),0,AND($D226="Non",$E226="Oui",RIGHT(R$213,1)="n"),$G226/$H226,AND($D226="Non",$E226="Oui",_xlfn.NUMBERVALUE(RIGHT(R$213,LEN(R$213)-SEARCH("/",SUBSTITUTE(R$213,"+","/",LEN(R$213)-LEN(SUBSTITUTE(R$213,"+",""))))))&lt;$H226),$G226/$H226),0)</f>
        <v>0</v>
      </c>
      <c r="S226" s="55" cm="1">
        <f t="array" aca="1" ref="S226" ca="1">IFERROR(_xlfn.IFS($D226="Oui",$G226,AND($D226="Non",$E226="Non",RIGHT(S$213,1)="n"),Q226,AND($D226="Non",$E226="Non",RIGHT(S$213,1)&lt;&gt;"n"),0,AND($D226="Non",$E226="Oui",RIGHT(S$213,1)="n"),$G226/$H226,AND($D226="Non",$E226="Oui",_xlfn.NUMBERVALUE(RIGHT(S$213,LEN(S$213)-SEARCH("/",SUBSTITUTE(S$213,"+","/",LEN(S$213)-LEN(SUBSTITUTE(S$213,"+",""))))))&lt;$H226),$G226/$H226),0)</f>
        <v>0</v>
      </c>
      <c r="T226" s="55" cm="1">
        <f t="array" aca="1" ref="T226" ca="1">IFERROR(_xlfn.IFS($D226="Oui",$G226,AND($D226="Non",$E226="Non",RIGHT(T$213,1)="n"),R226,AND($D226="Non",$E226="Non",RIGHT(T$213,1)&lt;&gt;"n"),0,AND($D226="Non",$E226="Oui",RIGHT(T$213,1)="n"),$G226/$H226,AND($D226="Non",$E226="Oui",_xlfn.NUMBERVALUE(RIGHT(T$213,LEN(T$213)-SEARCH("/",SUBSTITUTE(T$213,"+","/",LEN(T$213)-LEN(SUBSTITUTE(T$213,"+",""))))))&lt;$H226),$G226/$H226),0)</f>
        <v>0</v>
      </c>
      <c r="U226" s="55" cm="1">
        <f t="array" aca="1" ref="U226" ca="1">IFERROR(_xlfn.IFS($D226="Oui",$G226,AND($D226="Non",$E226="Non",RIGHT(U$213,1)="n"),S226,AND($D226="Non",$E226="Non",RIGHT(U$213,1)&lt;&gt;"n"),0,AND($D226="Non",$E226="Oui",RIGHT(U$213,1)="n"),$G226/$H226,AND($D226="Non",$E226="Oui",_xlfn.NUMBERVALUE(RIGHT(U$213,LEN(U$213)-SEARCH("/",SUBSTITUTE(U$213,"+","/",LEN(U$213)-LEN(SUBSTITUTE(U$213,"+",""))))))&lt;$H226),$G226/$H226),0)</f>
        <v>0</v>
      </c>
      <c r="V226" s="55" cm="1">
        <f t="array" aca="1" ref="V226" ca="1">IFERROR(_xlfn.IFS($D226="Oui",$G226,AND($D226="Non",$E226="Non",RIGHT(V$213,1)="n"),T226,AND($D226="Non",$E226="Non",RIGHT(V$213,1)&lt;&gt;"n"),0,AND($D226="Non",$E226="Oui",RIGHT(V$213,1)="n"),$G226/$H226,AND($D226="Non",$E226="Oui",_xlfn.NUMBERVALUE(RIGHT(V$213,LEN(V$213)-SEARCH("/",SUBSTITUTE(V$213,"+","/",LEN(V$213)-LEN(SUBSTITUTE(V$213,"+",""))))))&lt;$H226),$G226/$H226),0)</f>
        <v>0</v>
      </c>
      <c r="W226" s="55" cm="1">
        <f t="array" aca="1" ref="W226" ca="1">IFERROR(_xlfn.IFS($D226="Oui",$G226,AND($D226="Non",$E226="Non",RIGHT(W$213,1)="n"),U226,AND($D226="Non",$E226="Non",RIGHT(W$213,1)&lt;&gt;"n"),0,AND($D226="Non",$E226="Oui",RIGHT(W$213,1)="n"),$G226/$H226,AND($D226="Non",$E226="Oui",_xlfn.NUMBERVALUE(RIGHT(W$213,LEN(W$213)-SEARCH("/",SUBSTITUTE(W$213,"+","/",LEN(W$213)-LEN(SUBSTITUTE(W$213,"+",""))))))&lt;$H226),$G226/$H226),0)</f>
        <v>0</v>
      </c>
      <c r="X226" s="55" cm="1">
        <f t="array" aca="1" ref="X226" ca="1">IFERROR(_xlfn.IFS($D226="Oui",$G226,AND($D226="Non",$E226="Non",RIGHT(X$213,1)="n"),V226,AND($D226="Non",$E226="Non",RIGHT(X$213,1)&lt;&gt;"n"),0,AND($D226="Non",$E226="Oui",RIGHT(X$213,1)="n"),$G226/$H226,AND($D226="Non",$E226="Oui",_xlfn.NUMBERVALUE(RIGHT(X$213,LEN(X$213)-SEARCH("/",SUBSTITUTE(X$213,"+","/",LEN(X$213)-LEN(SUBSTITUTE(X$213,"+",""))))))&lt;$H226),$G226/$H226),0)</f>
        <v>0</v>
      </c>
      <c r="Y226" s="55" cm="1">
        <f t="array" aca="1" ref="Y226" ca="1">IFERROR(_xlfn.IFS($D226="Oui",$G226,AND($D226="Non",$E226="Non",RIGHT(Y$213,1)="n"),W226,AND($D226="Non",$E226="Non",RIGHT(Y$213,1)&lt;&gt;"n"),0,AND($D226="Non",$E226="Oui",RIGHT(Y$213,1)="n"),$G226/$H226,AND($D226="Non",$E226="Oui",_xlfn.NUMBERVALUE(RIGHT(Y$213,LEN(Y$213)-SEARCH("/",SUBSTITUTE(Y$213,"+","/",LEN(Y$213)-LEN(SUBSTITUTE(Y$213,"+",""))))))&lt;$H226),$G226/$H226),0)</f>
        <v>0</v>
      </c>
      <c r="Z226" s="43" t="s">
        <v>288</v>
      </c>
      <c r="AA226" s="43" t="s">
        <v>236</v>
      </c>
    </row>
    <row r="227" spans="3:27" x14ac:dyDescent="0.25">
      <c r="C227" s="43" t="s">
        <v>186</v>
      </c>
      <c r="D227" s="43" t="s">
        <v>194</v>
      </c>
      <c r="E227" s="43" t="s">
        <v>255</v>
      </c>
      <c r="F227" s="43">
        <f>IF(OR(ISBLANK('Données_d''entrée'!$E$45),'Données_d''entrée'!$E$45=0),1,'Données_d''entrée'!$E$45)</f>
        <v>1</v>
      </c>
      <c r="G227" s="43" t="e">
        <f ca="1">D186</f>
        <v>#NAME?</v>
      </c>
      <c r="H227" s="43">
        <v>0</v>
      </c>
      <c r="I227" s="55" cm="1">
        <f t="array" aca="1" ref="I227" ca="1">IFERROR(_xlfn.IFS($D227="Oui",$G227,AND($D227="Non",$E227="Non",RIGHT(I$213,1)="n"),G227,AND($D227="Non",$E227="Non",RIGHT(I$213,1)&lt;&gt;"n"),0,AND($D227="Non",$E227="Oui",RIGHT(I$213,1)="n"),$G227/$H227,AND($D227="Non",$E227="Oui",_xlfn.NUMBERVALUE(RIGHT(I$213,LEN(I$213)-SEARCH("/",SUBSTITUTE(I$213,"+","/",LEN(I$213)-LEN(SUBSTITUTE(I$213,"+",""))))))&lt;$H227),$G227/$H227),0)</f>
        <v>0</v>
      </c>
      <c r="J227" s="55" cm="1">
        <f t="array" aca="1" ref="J227" ca="1">IFERROR(_xlfn.IFS($D227="Oui",$G227,AND($D227="Non",$E227="Non",RIGHT(J$213,1)="n"),H227,AND($D227="Non",$E227="Non",RIGHT(J$213,1)&lt;&gt;"n"),0,AND($D227="Non",$E227="Oui",RIGHT(J$213,1)="n"),$G227/$H227,AND($D227="Non",$E227="Oui",_xlfn.NUMBERVALUE(RIGHT(J$213,LEN(J$213)-SEARCH("/",SUBSTITUTE(J$213,"+","/",LEN(J$213)-LEN(SUBSTITUTE(J$213,"+",""))))))&lt;$H227),$G227/$H227),0)</f>
        <v>0</v>
      </c>
      <c r="K227" s="55" cm="1">
        <f t="array" aca="1" ref="K227" ca="1">IFERROR(_xlfn.IFS($D227="Oui",$G227,AND($D227="Non",$E227="Non",RIGHT(K$213,1)="n"),I227,AND($D227="Non",$E227="Non",RIGHT(K$213,1)&lt;&gt;"n"),0,AND($D227="Non",$E227="Oui",RIGHT(K$213,1)="n"),$G227/$H227,AND($D227="Non",$E227="Oui",_xlfn.NUMBERVALUE(RIGHT(K$213,LEN(K$213)-SEARCH("/",SUBSTITUTE(K$213,"+","/",LEN(K$213)-LEN(SUBSTITUTE(K$213,"+",""))))))&lt;$H227),$G227/$H227),0)</f>
        <v>0</v>
      </c>
      <c r="L227" s="55" cm="1">
        <f t="array" aca="1" ref="L227" ca="1">IFERROR(_xlfn.IFS($D227="Oui",$G227,AND($D227="Non",$E227="Non",RIGHT(L$213,1)="n"),J227,AND($D227="Non",$E227="Non",RIGHT(L$213,1)&lt;&gt;"n"),0,AND($D227="Non",$E227="Oui",RIGHT(L$213,1)="n"),$G227/$H227,AND($D227="Non",$E227="Oui",_xlfn.NUMBERVALUE(RIGHT(L$213,LEN(L$213)-SEARCH("/",SUBSTITUTE(L$213,"+","/",LEN(L$213)-LEN(SUBSTITUTE(L$213,"+",""))))))&lt;$H227),$G227/$H227),0)</f>
        <v>0</v>
      </c>
      <c r="M227" s="55" cm="1">
        <f t="array" aca="1" ref="M227" ca="1">IFERROR(_xlfn.IFS($D227="Oui",$G227,AND($D227="Non",$E227="Non",RIGHT(M$213,1)="n"),K227,AND($D227="Non",$E227="Non",RIGHT(M$213,1)&lt;&gt;"n"),0,AND($D227="Non",$E227="Oui",RIGHT(M$213,1)="n"),$G227/$H227,AND($D227="Non",$E227="Oui",_xlfn.NUMBERVALUE(RIGHT(M$213,LEN(M$213)-SEARCH("/",SUBSTITUTE(M$213,"+","/",LEN(M$213)-LEN(SUBSTITUTE(M$213,"+",""))))))&lt;$H227),$G227/$H227),0)</f>
        <v>0</v>
      </c>
      <c r="N227" s="55" cm="1">
        <f t="array" aca="1" ref="N227" ca="1">IFERROR(_xlfn.IFS($D227="Oui",$G227,AND($D227="Non",$E227="Non",RIGHT(N$213,1)="n"),L227,AND($D227="Non",$E227="Non",RIGHT(N$213,1)&lt;&gt;"n"),0,AND($D227="Non",$E227="Oui",RIGHT(N$213,1)="n"),$G227/$H227,AND($D227="Non",$E227="Oui",_xlfn.NUMBERVALUE(RIGHT(N$213,LEN(N$213)-SEARCH("/",SUBSTITUTE(N$213,"+","/",LEN(N$213)-LEN(SUBSTITUTE(N$213,"+",""))))))&lt;$H227),$G227/$H227),0)</f>
        <v>0</v>
      </c>
      <c r="O227" s="55" cm="1">
        <f t="array" aca="1" ref="O227" ca="1">IFERROR(_xlfn.IFS($D227="Oui",$G227,AND($D227="Non",$E227="Non",RIGHT(O$213,1)="n"),M227,AND($D227="Non",$E227="Non",RIGHT(O$213,1)&lt;&gt;"n"),0,AND($D227="Non",$E227="Oui",RIGHT(O$213,1)="n"),$G227/$H227,AND($D227="Non",$E227="Oui",_xlfn.NUMBERVALUE(RIGHT(O$213,LEN(O$213)-SEARCH("/",SUBSTITUTE(O$213,"+","/",LEN(O$213)-LEN(SUBSTITUTE(O$213,"+",""))))))&lt;$H227),$G227/$H227),0)</f>
        <v>0</v>
      </c>
      <c r="P227" s="55" cm="1">
        <f t="array" aca="1" ref="P227" ca="1">IFERROR(_xlfn.IFS($D227="Oui",$G227,AND($D227="Non",$E227="Non",RIGHT(P$213,1)="n"),N227,AND($D227="Non",$E227="Non",RIGHT(P$213,1)&lt;&gt;"n"),0,AND($D227="Non",$E227="Oui",RIGHT(P$213,1)="n"),$G227/$H227,AND($D227="Non",$E227="Oui",_xlfn.NUMBERVALUE(RIGHT(P$213,LEN(P$213)-SEARCH("/",SUBSTITUTE(P$213,"+","/",LEN(P$213)-LEN(SUBSTITUTE(P$213,"+",""))))))&lt;$H227),$G227/$H227),0)</f>
        <v>0</v>
      </c>
      <c r="Q227" s="55" cm="1">
        <f t="array" aca="1" ref="Q227" ca="1">IFERROR(_xlfn.IFS($D227="Oui",$G227,AND($D227="Non",$E227="Non",RIGHT(Q$213,1)="n"),O227,AND($D227="Non",$E227="Non",RIGHT(Q$213,1)&lt;&gt;"n"),0,AND($D227="Non",$E227="Oui",RIGHT(Q$213,1)="n"),$G227/$H227,AND($D227="Non",$E227="Oui",_xlfn.NUMBERVALUE(RIGHT(Q$213,LEN(Q$213)-SEARCH("/",SUBSTITUTE(Q$213,"+","/",LEN(Q$213)-LEN(SUBSTITUTE(Q$213,"+",""))))))&lt;$H227),$G227/$H227),0)</f>
        <v>0</v>
      </c>
      <c r="R227" s="55" cm="1">
        <f t="array" aca="1" ref="R227" ca="1">IFERROR(_xlfn.IFS($D227="Oui",$G227,AND($D227="Non",$E227="Non",RIGHT(R$213,1)="n"),P227,AND($D227="Non",$E227="Non",RIGHT(R$213,1)&lt;&gt;"n"),0,AND($D227="Non",$E227="Oui",RIGHT(R$213,1)="n"),$G227/$H227,AND($D227="Non",$E227="Oui",_xlfn.NUMBERVALUE(RIGHT(R$213,LEN(R$213)-SEARCH("/",SUBSTITUTE(R$213,"+","/",LEN(R$213)-LEN(SUBSTITUTE(R$213,"+",""))))))&lt;$H227),$G227/$H227),0)</f>
        <v>0</v>
      </c>
      <c r="S227" s="55" cm="1">
        <f t="array" aca="1" ref="S227" ca="1">IFERROR(_xlfn.IFS($D227="Oui",$G227,AND($D227="Non",$E227="Non",RIGHT(S$213,1)="n"),Q227,AND($D227="Non",$E227="Non",RIGHT(S$213,1)&lt;&gt;"n"),0,AND($D227="Non",$E227="Oui",RIGHT(S$213,1)="n"),$G227/$H227,AND($D227="Non",$E227="Oui",_xlfn.NUMBERVALUE(RIGHT(S$213,LEN(S$213)-SEARCH("/",SUBSTITUTE(S$213,"+","/",LEN(S$213)-LEN(SUBSTITUTE(S$213,"+",""))))))&lt;$H227),$G227/$H227),0)</f>
        <v>0</v>
      </c>
      <c r="T227" s="55" cm="1">
        <f t="array" aca="1" ref="T227" ca="1">IFERROR(_xlfn.IFS($D227="Oui",$G227,AND($D227="Non",$E227="Non",RIGHT(T$213,1)="n"),R227,AND($D227="Non",$E227="Non",RIGHT(T$213,1)&lt;&gt;"n"),0,AND($D227="Non",$E227="Oui",RIGHT(T$213,1)="n"),$G227/$H227,AND($D227="Non",$E227="Oui",_xlfn.NUMBERVALUE(RIGHT(T$213,LEN(T$213)-SEARCH("/",SUBSTITUTE(T$213,"+","/",LEN(T$213)-LEN(SUBSTITUTE(T$213,"+",""))))))&lt;$H227),$G227/$H227),0)</f>
        <v>0</v>
      </c>
      <c r="U227" s="55" cm="1">
        <f t="array" aca="1" ref="U227" ca="1">IFERROR(_xlfn.IFS($D227="Oui",$G227,AND($D227="Non",$E227="Non",RIGHT(U$213,1)="n"),S227,AND($D227="Non",$E227="Non",RIGHT(U$213,1)&lt;&gt;"n"),0,AND($D227="Non",$E227="Oui",RIGHT(U$213,1)="n"),$G227/$H227,AND($D227="Non",$E227="Oui",_xlfn.NUMBERVALUE(RIGHT(U$213,LEN(U$213)-SEARCH("/",SUBSTITUTE(U$213,"+","/",LEN(U$213)-LEN(SUBSTITUTE(U$213,"+",""))))))&lt;$H227),$G227/$H227),0)</f>
        <v>0</v>
      </c>
      <c r="V227" s="55" cm="1">
        <f t="array" aca="1" ref="V227" ca="1">IFERROR(_xlfn.IFS($D227="Oui",$G227,AND($D227="Non",$E227="Non",RIGHT(V$213,1)="n"),T227,AND($D227="Non",$E227="Non",RIGHT(V$213,1)&lt;&gt;"n"),0,AND($D227="Non",$E227="Oui",RIGHT(V$213,1)="n"),$G227/$H227,AND($D227="Non",$E227="Oui",_xlfn.NUMBERVALUE(RIGHT(V$213,LEN(V$213)-SEARCH("/",SUBSTITUTE(V$213,"+","/",LEN(V$213)-LEN(SUBSTITUTE(V$213,"+",""))))))&lt;$H227),$G227/$H227),0)</f>
        <v>0</v>
      </c>
      <c r="W227" s="55" cm="1">
        <f t="array" aca="1" ref="W227" ca="1">IFERROR(_xlfn.IFS($D227="Oui",$G227,AND($D227="Non",$E227="Non",RIGHT(W$213,1)="n"),U227,AND($D227="Non",$E227="Non",RIGHT(W$213,1)&lt;&gt;"n"),0,AND($D227="Non",$E227="Oui",RIGHT(W$213,1)="n"),$G227/$H227,AND($D227="Non",$E227="Oui",_xlfn.NUMBERVALUE(RIGHT(W$213,LEN(W$213)-SEARCH("/",SUBSTITUTE(W$213,"+","/",LEN(W$213)-LEN(SUBSTITUTE(W$213,"+",""))))))&lt;$H227),$G227/$H227),0)</f>
        <v>0</v>
      </c>
      <c r="X227" s="55" cm="1">
        <f t="array" aca="1" ref="X227" ca="1">IFERROR(_xlfn.IFS($D227="Oui",$G227,AND($D227="Non",$E227="Non",RIGHT(X$213,1)="n"),V227,AND($D227="Non",$E227="Non",RIGHT(X$213,1)&lt;&gt;"n"),0,AND($D227="Non",$E227="Oui",RIGHT(X$213,1)="n"),$G227/$H227,AND($D227="Non",$E227="Oui",_xlfn.NUMBERVALUE(RIGHT(X$213,LEN(X$213)-SEARCH("/",SUBSTITUTE(X$213,"+","/",LEN(X$213)-LEN(SUBSTITUTE(X$213,"+",""))))))&lt;$H227),$G227/$H227),0)</f>
        <v>0</v>
      </c>
      <c r="Y227" s="55" cm="1">
        <f t="array" aca="1" ref="Y227" ca="1">IFERROR(_xlfn.IFS($D227="Oui",$G227,AND($D227="Non",$E227="Non",RIGHT(Y$213,1)="n"),W227,AND($D227="Non",$E227="Non",RIGHT(Y$213,1)&lt;&gt;"n"),0,AND($D227="Non",$E227="Oui",RIGHT(Y$213,1)="n"),$G227/$H227,AND($D227="Non",$E227="Oui",_xlfn.NUMBERVALUE(RIGHT(Y$213,LEN(Y$213)-SEARCH("/",SUBSTITUTE(Y$213,"+","/",LEN(Y$213)-LEN(SUBSTITUTE(Y$213,"+",""))))))&lt;$H227),$G227/$H227),0)</f>
        <v>0</v>
      </c>
      <c r="Z227" s="43" t="s">
        <v>352</v>
      </c>
      <c r="AA227" s="43"/>
    </row>
    <row r="229" spans="3:27" x14ac:dyDescent="0.25">
      <c r="C229" s="43" t="s">
        <v>252</v>
      </c>
      <c r="I229" s="67">
        <f t="shared" ref="I229:Y229" ca="1" si="4">SUM(I214:I227)</f>
        <v>1122.1978021978023</v>
      </c>
      <c r="J229" s="67">
        <f t="shared" ca="1" si="4"/>
        <v>0</v>
      </c>
      <c r="K229" s="67">
        <f t="shared" ca="1" si="4"/>
        <v>0</v>
      </c>
      <c r="L229" s="67">
        <f t="shared" ca="1" si="4"/>
        <v>0</v>
      </c>
      <c r="M229" s="67">
        <f t="shared" ca="1" si="4"/>
        <v>0</v>
      </c>
      <c r="N229" s="67">
        <f t="shared" ca="1" si="4"/>
        <v>0</v>
      </c>
      <c r="O229" s="67">
        <f t="shared" ca="1" si="4"/>
        <v>0</v>
      </c>
      <c r="P229" s="67">
        <f t="shared" ca="1" si="4"/>
        <v>0</v>
      </c>
      <c r="Q229" s="67">
        <f t="shared" ca="1" si="4"/>
        <v>0</v>
      </c>
      <c r="R229" s="67">
        <f t="shared" ca="1" si="4"/>
        <v>0</v>
      </c>
      <c r="S229" s="67">
        <f t="shared" ca="1" si="4"/>
        <v>0</v>
      </c>
      <c r="T229" s="67">
        <f t="shared" ca="1" si="4"/>
        <v>0</v>
      </c>
      <c r="U229" s="67">
        <f t="shared" ca="1" si="4"/>
        <v>0</v>
      </c>
      <c r="V229" s="67">
        <f t="shared" ca="1" si="4"/>
        <v>0</v>
      </c>
      <c r="W229" s="67">
        <f t="shared" ca="1" si="4"/>
        <v>0</v>
      </c>
      <c r="X229" s="67">
        <f t="shared" ca="1" si="4"/>
        <v>0</v>
      </c>
      <c r="Y229" s="67">
        <f t="shared" ca="1" si="4"/>
        <v>0</v>
      </c>
    </row>
    <row r="230" spans="3:27" x14ac:dyDescent="0.25">
      <c r="C230" s="65" t="s">
        <v>253</v>
      </c>
    </row>
    <row r="232" spans="3:27" x14ac:dyDescent="0.25">
      <c r="C232" s="36" t="s">
        <v>275</v>
      </c>
    </row>
    <row r="233" spans="3:27" x14ac:dyDescent="0.25">
      <c r="C233" s="43" t="s">
        <v>172</v>
      </c>
      <c r="D233" s="43" t="s">
        <v>273</v>
      </c>
      <c r="F233" s="43" t="s">
        <v>276</v>
      </c>
    </row>
    <row r="234" spans="3:27" x14ac:dyDescent="0.25">
      <c r="C234" s="43" t="str" cm="1">
        <f t="array" ref="C234:C247">IFERROR(IF(INDEX('Données_d''entrée'!$D$57:$E$70,MATCH(TCD!AS5:AS18,'Données_d''entrée'!$D$57:$D$70,0),2)="✔","",TCD!AS5:AS18),"")</f>
        <v>Abri à vélos</v>
      </c>
      <c r="D234" s="43">
        <f t="shared" ref="D234:D248" si="5">IFERROR(INDEX($C$213:$H$227,MATCH(C234,$C$213:$C$227,0),MATCH(D$233,$C$213:$H$213,0)),"")</f>
        <v>10</v>
      </c>
      <c r="F234" s="43">
        <f>IF(MAX(D234:D245)=0,1,MAX(D234:D245))</f>
        <v>10</v>
      </c>
    </row>
    <row r="235" spans="3:27" x14ac:dyDescent="0.25">
      <c r="C235" s="43" t="str">
        <v>Affichage d'incitations (nudge) pour les escaliers par ex</v>
      </c>
      <c r="D235" s="43">
        <f t="shared" si="5"/>
        <v>0</v>
      </c>
    </row>
    <row r="236" spans="3:27" x14ac:dyDescent="0.25">
      <c r="C236" s="43" t="str">
        <v>Ateliers, conférences, formations</v>
      </c>
      <c r="D236" s="43">
        <f t="shared" si="5"/>
        <v>0</v>
      </c>
    </row>
    <row r="237" spans="3:27" x14ac:dyDescent="0.25">
      <c r="C237" s="43" t="str">
        <v xml:space="preserve">Diffusion d'informations de santé </v>
      </c>
      <c r="D237" s="43">
        <f t="shared" si="5"/>
        <v>0</v>
      </c>
    </row>
    <row r="238" spans="3:27" x14ac:dyDescent="0.25">
      <c r="C238" s="43" t="str">
        <v/>
      </c>
      <c r="D238" s="43" t="str">
        <f t="shared" si="5"/>
        <v/>
      </c>
    </row>
    <row r="239" spans="3:27" x14ac:dyDescent="0.25">
      <c r="C239" s="43" t="str">
        <v/>
      </c>
      <c r="D239" s="43" t="str">
        <f t="shared" si="5"/>
        <v/>
      </c>
    </row>
    <row r="240" spans="3:27" x14ac:dyDescent="0.25">
      <c r="C240" s="43" t="str">
        <v/>
      </c>
      <c r="D240" s="43" t="str">
        <f t="shared" si="5"/>
        <v/>
      </c>
    </row>
    <row r="241" spans="3:7" x14ac:dyDescent="0.25">
      <c r="C241" s="43" t="str">
        <v/>
      </c>
      <c r="D241" s="43" t="str">
        <f t="shared" si="5"/>
        <v/>
      </c>
    </row>
    <row r="242" spans="3:7" x14ac:dyDescent="0.25">
      <c r="C242" s="43" t="str">
        <v/>
      </c>
      <c r="D242" s="43" t="str">
        <f t="shared" si="5"/>
        <v/>
      </c>
    </row>
    <row r="243" spans="3:7" x14ac:dyDescent="0.25">
      <c r="C243" s="43" t="str">
        <v/>
      </c>
      <c r="D243" s="43" t="str">
        <f t="shared" si="5"/>
        <v/>
      </c>
    </row>
    <row r="244" spans="3:7" x14ac:dyDescent="0.25">
      <c r="C244" s="43" t="str">
        <v/>
      </c>
      <c r="D244" s="43" t="str">
        <f t="shared" si="5"/>
        <v/>
      </c>
    </row>
    <row r="245" spans="3:7" x14ac:dyDescent="0.25">
      <c r="C245" s="43" t="str">
        <v/>
      </c>
      <c r="D245" s="43" t="str">
        <f t="shared" si="5"/>
        <v/>
      </c>
    </row>
    <row r="246" spans="3:7" x14ac:dyDescent="0.25">
      <c r="C246" s="43" t="str">
        <v/>
      </c>
      <c r="D246" s="43" t="str">
        <f t="shared" si="5"/>
        <v/>
      </c>
    </row>
    <row r="247" spans="3:7" x14ac:dyDescent="0.25">
      <c r="C247" s="43" t="str">
        <v/>
      </c>
      <c r="D247" s="43" t="str">
        <f t="shared" si="5"/>
        <v/>
      </c>
    </row>
    <row r="248" spans="3:7" x14ac:dyDescent="0.25">
      <c r="D248" t="str">
        <f t="shared" si="5"/>
        <v/>
      </c>
    </row>
    <row r="249" spans="3:7" x14ac:dyDescent="0.25">
      <c r="C249" t="s">
        <v>246</v>
      </c>
    </row>
    <row r="250" spans="3:7" x14ac:dyDescent="0.25">
      <c r="C250" s="43" t="s">
        <v>292</v>
      </c>
      <c r="D250" s="43" t="s">
        <v>309</v>
      </c>
      <c r="E250" s="43" t="s">
        <v>172</v>
      </c>
      <c r="F250" s="43" t="s">
        <v>247</v>
      </c>
      <c r="G250" s="43" t="s">
        <v>228</v>
      </c>
    </row>
    <row r="251" spans="3:7" x14ac:dyDescent="0.25">
      <c r="C251" s="43" t="str">
        <f t="shared" ref="C251:C264" si="6">IFERROR(INDEX($C$19:$D$32,MATCH(E251,$D$19:$D$32,0),1),"")</f>
        <v>Mobilités actives</v>
      </c>
      <c r="D251" s="43" t="str">
        <f>IF(C251&lt;&gt;"",_xlfn.CONCAT(C251,"_",COUNTIF(C$251:C251,C251)),"")</f>
        <v>Mobilités actives_1</v>
      </c>
      <c r="E251" s="43" t="str" cm="1">
        <f t="array" ref="E251:E264">IF(ISBLANK(TCD!AS5:AS18),"",TCD!AS5:AS18)</f>
        <v>Abri à vélos</v>
      </c>
      <c r="F251" s="72">
        <f t="shared" ref="F251:F264" ca="1" si="7">IFERROR(INDEX($D$100:$L$149,MATCH(E251,$D$100:$D$149,0),MATCH(F$250,$D$99:$L$99,0)),"")</f>
        <v>0</v>
      </c>
      <c r="G251" s="43" t="str">
        <f>IFERROR(INDEX($D$100:$L$149,MATCH(Base_tbl_de_bord!$BD19,$D$100:$D$149,0),MATCH(G$250,$D$99:$L$99,0)),"")</f>
        <v>Nombre de sites concernés * Coût d'un abri vélo collectif (2 500€) / 10 ans d'amortissement</v>
      </c>
    </row>
    <row r="252" spans="3:7" x14ac:dyDescent="0.25">
      <c r="C252" s="43" t="str">
        <f t="shared" si="6"/>
        <v>Culture d'entreprise favorisant le sport</v>
      </c>
      <c r="D252" s="43" t="str">
        <f>IF(C252&lt;&gt;"",_xlfn.CONCAT(C252,"_",COUNTIF(C$251:C252,C252)),"")</f>
        <v>Culture d'entreprise favorisant le sport_1</v>
      </c>
      <c r="E252" s="43" t="str">
        <v>Affichage d'incitations (nudge) pour les escaliers par ex</v>
      </c>
      <c r="F252" s="72">
        <f t="shared" ca="1" si="7"/>
        <v>0</v>
      </c>
      <c r="G252" s="43" t="str">
        <f>IFERROR(INDEX($D$100:$L$149,MATCH(Base_tbl_de_bord!$BD20,$D$100:$D$149,0),MATCH(G$250,$D$99:$L$99,0)),"")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253" spans="3:7" x14ac:dyDescent="0.25">
      <c r="C253" s="43" t="str">
        <f t="shared" si="6"/>
        <v>Culture d'entreprise favorisant le sport</v>
      </c>
      <c r="D253" s="43" t="str">
        <f>IF(C253&lt;&gt;"",_xlfn.CONCAT(C253,"_",COUNTIF(C$251:C253,C253)),"")</f>
        <v>Culture d'entreprise favorisant le sport_2</v>
      </c>
      <c r="E253" s="43" t="str">
        <v>Ateliers, conférences, formations</v>
      </c>
      <c r="F253" s="72">
        <f t="shared" si="7"/>
        <v>0</v>
      </c>
      <c r="G253" s="43" t="str">
        <f>IFERROR(INDEX($D$100:$L$149,MATCH(Base_tbl_de_bord!$BD21,$D$100:$D$149,0),MATCH(G$250,$D$99:$L$99,0)),"")</f>
        <v>Nous considérons que ces ateliers sont animés en interne, par un salarié volontaire</v>
      </c>
    </row>
    <row r="254" spans="3:7" x14ac:dyDescent="0.25">
      <c r="C254" s="43" t="str">
        <f t="shared" si="6"/>
        <v>Culture d'entreprise favorisant le sport</v>
      </c>
      <c r="D254" s="43" t="str">
        <f>IF(C254&lt;&gt;"",_xlfn.CONCAT(C254,"_",COUNTIF(C$251:C254,C254)),"")</f>
        <v>Culture d'entreprise favorisant le sport_3</v>
      </c>
      <c r="E254" s="43" t="str">
        <v xml:space="preserve">Diffusion d'informations de santé </v>
      </c>
      <c r="F254" s="72">
        <f t="shared" ca="1" si="7"/>
        <v>0</v>
      </c>
      <c r="G254" s="43" t="str">
        <f>IFERROR(INDEX($D$100:$L$149,MATCH(Base_tbl_de_bord!$BD22,$D$100:$D$149,0),MATCH(G$250,$D$99:$L$99,0)),"")</f>
        <v>Salaire brut horaire moyen * [(4h de recherches d'informations) * 1 personne mobilisée + (1h d'affichage * 1 personne mobilisée * Nombre de sites)]</v>
      </c>
    </row>
    <row r="255" spans="3:7" x14ac:dyDescent="0.25">
      <c r="C255" s="43" t="str">
        <f t="shared" si="6"/>
        <v/>
      </c>
      <c r="D255" s="43" t="str">
        <f>IF(C255&lt;&gt;"",_xlfn.CONCAT(C255,"_",COUNTIF(C$251:C255,C255)),"")</f>
        <v/>
      </c>
      <c r="E255" s="43" t="str">
        <v/>
      </c>
      <c r="F255" s="72" t="str">
        <f t="shared" si="7"/>
        <v/>
      </c>
      <c r="G255" s="43" t="str">
        <f>IFERROR(INDEX($D$100:$L$149,MATCH(Base_tbl_de_bord!$BD23,$D$100:$D$149,0),MATCH(G$250,$D$99:$L$99,0)),"")</f>
        <v/>
      </c>
    </row>
    <row r="256" spans="3:7" x14ac:dyDescent="0.25">
      <c r="C256" s="43" t="str">
        <f t="shared" si="6"/>
        <v/>
      </c>
      <c r="D256" s="43" t="str">
        <f>IF(C256&lt;&gt;"",_xlfn.CONCAT(C256,"_",COUNTIF(C$251:C256,C256)),"")</f>
        <v/>
      </c>
      <c r="E256" s="43" t="str">
        <v/>
      </c>
      <c r="F256" s="72" t="str">
        <f t="shared" si="7"/>
        <v/>
      </c>
      <c r="G256" s="43" t="str">
        <f>IFERROR(INDEX($D$100:$L$149,MATCH(Base_tbl_de_bord!$BD24,$D$100:$D$149,0),MATCH(G$250,$D$99:$L$99,0)),"")</f>
        <v/>
      </c>
    </row>
    <row r="257" spans="2:8" x14ac:dyDescent="0.25">
      <c r="C257" s="43" t="str">
        <f t="shared" si="6"/>
        <v/>
      </c>
      <c r="D257" s="43" t="str">
        <f>IF(C257&lt;&gt;"",_xlfn.CONCAT(C257,"_",COUNTIF(C$251:C257,C257)),"")</f>
        <v/>
      </c>
      <c r="E257" s="43" t="str">
        <v/>
      </c>
      <c r="F257" s="72" t="str">
        <f t="shared" si="7"/>
        <v/>
      </c>
      <c r="G257" s="43" t="str">
        <f>IFERROR(INDEX($D$100:$L$149,MATCH(Base_tbl_de_bord!$BD25,$D$100:$D$149,0),MATCH(G$250,$D$99:$L$99,0)),"")</f>
        <v/>
      </c>
    </row>
    <row r="258" spans="2:8" x14ac:dyDescent="0.25">
      <c r="C258" s="43" t="str">
        <f t="shared" si="6"/>
        <v/>
      </c>
      <c r="D258" s="43" t="str">
        <f>IF(C258&lt;&gt;"",_xlfn.CONCAT(C258,"_",COUNTIF(C$251:C258,C258)),"")</f>
        <v/>
      </c>
      <c r="E258" s="43" t="str">
        <v/>
      </c>
      <c r="F258" s="72" t="str">
        <f t="shared" si="7"/>
        <v/>
      </c>
      <c r="G258" s="43" t="str">
        <f>IFERROR(INDEX($D$100:$L$149,MATCH(Base_tbl_de_bord!$BD26,$D$100:$D$149,0),MATCH(G$250,$D$99:$L$99,0)),"")</f>
        <v/>
      </c>
    </row>
    <row r="259" spans="2:8" x14ac:dyDescent="0.25">
      <c r="C259" s="43" t="str">
        <f t="shared" si="6"/>
        <v/>
      </c>
      <c r="D259" s="43" t="str">
        <f>IF(C259&lt;&gt;"",_xlfn.CONCAT(C259,"_",COUNTIF(C$251:C259,C259)),"")</f>
        <v/>
      </c>
      <c r="E259" s="43" t="str">
        <v/>
      </c>
      <c r="F259" s="72" t="str">
        <f t="shared" si="7"/>
        <v/>
      </c>
      <c r="G259" s="43" t="str">
        <f>IFERROR(INDEX($D$100:$L$149,MATCH(Base_tbl_de_bord!$BD27,$D$100:$D$149,0),MATCH(G$250,$D$99:$L$99,0)),"")</f>
        <v/>
      </c>
    </row>
    <row r="260" spans="2:8" x14ac:dyDescent="0.25">
      <c r="C260" s="43" t="str">
        <f t="shared" si="6"/>
        <v/>
      </c>
      <c r="D260" s="43" t="str">
        <f>IF(C260&lt;&gt;"",_xlfn.CONCAT(C260,"_",COUNTIF(C$251:C260,C260)),"")</f>
        <v/>
      </c>
      <c r="E260" s="43" t="str">
        <v/>
      </c>
      <c r="F260" s="72" t="str">
        <f t="shared" si="7"/>
        <v/>
      </c>
      <c r="G260" s="43" t="str">
        <f>IFERROR(INDEX($D$100:$L$149,MATCH(Base_tbl_de_bord!$BD28,$D$100:$D$149,0),MATCH(G$250,$D$99:$L$99,0)),"")</f>
        <v/>
      </c>
    </row>
    <row r="261" spans="2:8" x14ac:dyDescent="0.25">
      <c r="C261" s="43" t="str">
        <f t="shared" si="6"/>
        <v/>
      </c>
      <c r="D261" s="43" t="str">
        <f>IF(C261&lt;&gt;"",_xlfn.CONCAT(C261,"_",COUNTIF(C$251:C261,C261)),"")</f>
        <v/>
      </c>
      <c r="E261" s="43" t="str">
        <v/>
      </c>
      <c r="F261" s="72" t="str">
        <f t="shared" si="7"/>
        <v/>
      </c>
      <c r="G261" s="43" t="str">
        <f>IFERROR(INDEX($D$100:$L$149,MATCH(Base_tbl_de_bord!$BD29,$D$100:$D$149,0),MATCH(G$250,$D$99:$L$99,0)),"")</f>
        <v/>
      </c>
    </row>
    <row r="262" spans="2:8" x14ac:dyDescent="0.25">
      <c r="C262" s="43" t="str">
        <f t="shared" si="6"/>
        <v/>
      </c>
      <c r="D262" s="43" t="str">
        <f>IF(C262&lt;&gt;"",_xlfn.CONCAT(C262,"_",COUNTIF(C$251:C262,C262)),"")</f>
        <v/>
      </c>
      <c r="E262" s="43" t="str">
        <v/>
      </c>
      <c r="F262" s="72" t="str">
        <f t="shared" si="7"/>
        <v/>
      </c>
      <c r="G262" s="43" t="str">
        <f>IFERROR(INDEX($D$100:$L$149,MATCH(Base_tbl_de_bord!$BD30,$D$100:$D$149,0),MATCH(G$250,$D$99:$L$99,0)),"")</f>
        <v/>
      </c>
    </row>
    <row r="263" spans="2:8" x14ac:dyDescent="0.25">
      <c r="C263" s="43" t="str">
        <f t="shared" si="6"/>
        <v/>
      </c>
      <c r="D263" s="43" t="str">
        <f>IF(C263&lt;&gt;"",_xlfn.CONCAT(C263,"_",COUNTIF(C$251:C263,C263)),"")</f>
        <v/>
      </c>
      <c r="E263" s="43" t="str">
        <v/>
      </c>
      <c r="F263" s="72" t="str">
        <f t="shared" si="7"/>
        <v/>
      </c>
      <c r="G263" s="43" t="str">
        <f>IFERROR(INDEX($D$100:$L$149,MATCH(Base_tbl_de_bord!$BD31,$D$100:$D$149,0),MATCH(G$250,$D$99:$L$99,0)),"")</f>
        <v/>
      </c>
    </row>
    <row r="264" spans="2:8" x14ac:dyDescent="0.25">
      <c r="C264" s="43" t="str">
        <f t="shared" si="6"/>
        <v/>
      </c>
      <c r="D264" s="43" t="str">
        <f>IF(C264&lt;&gt;"",_xlfn.CONCAT(C264,"_",COUNTIF(C$251:C264,C264)),"")</f>
        <v/>
      </c>
      <c r="E264" s="43" t="str">
        <v/>
      </c>
      <c r="F264" s="72" t="str">
        <f t="shared" si="7"/>
        <v/>
      </c>
      <c r="G264" s="43" t="str">
        <f>IFERROR(INDEX($D$100:$L$149,MATCH(Base_tbl_de_bord!$BD32,$D$100:$D$149,0),MATCH(G$250,$D$99:$L$99,0)),"")</f>
        <v/>
      </c>
    </row>
    <row r="266" spans="2:8" x14ac:dyDescent="0.25">
      <c r="C266" s="36" t="s">
        <v>308</v>
      </c>
      <c r="D266">
        <v>1</v>
      </c>
      <c r="E266">
        <v>2</v>
      </c>
      <c r="F266">
        <v>3</v>
      </c>
      <c r="G266">
        <v>4</v>
      </c>
      <c r="H266">
        <v>5</v>
      </c>
    </row>
    <row r="267" spans="2:8" x14ac:dyDescent="0.25">
      <c r="C267" t="s">
        <v>293</v>
      </c>
      <c r="D267" t="str">
        <f>IFERROR(INDEX($D$251:$E$264,MATCH(_xlfn.CONCAT($C267,"_",D$266),$D$251:$D$264,0),2),"")</f>
        <v>Affichage d'incitations (nudge) pour les escaliers par ex</v>
      </c>
      <c r="E267" t="str">
        <f t="shared" ref="E267:H270" si="8">IFERROR(INDEX($D$251:$E$264,MATCH(_xlfn.CONCAT($C267,"_",E$266),$D$251:$D$264,0),2),"")</f>
        <v>Ateliers, conférences, formations</v>
      </c>
      <c r="F267" t="str">
        <f t="shared" si="8"/>
        <v xml:space="preserve">Diffusion d'informations de santé </v>
      </c>
      <c r="G267" t="str">
        <f t="shared" si="8"/>
        <v/>
      </c>
      <c r="H267" t="str">
        <f t="shared" si="8"/>
        <v/>
      </c>
    </row>
    <row r="268" spans="2:8" x14ac:dyDescent="0.25">
      <c r="C268" t="s">
        <v>294</v>
      </c>
      <c r="D268" t="str">
        <f t="shared" ref="D268:D270" si="9">IFERROR(INDEX($D$251:$E$264,MATCH(_xlfn.CONCAT($C268,"_",D$266),$D$251:$D$264,0),2),"")</f>
        <v>Abri à vélos</v>
      </c>
      <c r="E268" t="str">
        <f t="shared" si="8"/>
        <v/>
      </c>
      <c r="F268" t="str">
        <f t="shared" si="8"/>
        <v/>
      </c>
      <c r="G268" t="str">
        <f t="shared" si="8"/>
        <v/>
      </c>
      <c r="H268" t="str">
        <f t="shared" si="8"/>
        <v/>
      </c>
    </row>
    <row r="269" spans="2:8" x14ac:dyDescent="0.25">
      <c r="C269" t="s">
        <v>295</v>
      </c>
      <c r="D269" t="str">
        <f t="shared" si="9"/>
        <v/>
      </c>
      <c r="E269" t="str">
        <f t="shared" si="8"/>
        <v/>
      </c>
      <c r="F269" t="str">
        <f t="shared" si="8"/>
        <v/>
      </c>
      <c r="G269" t="str">
        <f t="shared" si="8"/>
        <v/>
      </c>
      <c r="H269" t="str">
        <f t="shared" si="8"/>
        <v/>
      </c>
    </row>
    <row r="270" spans="2:8" x14ac:dyDescent="0.25">
      <c r="C270" t="s">
        <v>296</v>
      </c>
      <c r="D270" t="str">
        <f t="shared" si="9"/>
        <v/>
      </c>
      <c r="E270" t="str">
        <f t="shared" si="8"/>
        <v/>
      </c>
      <c r="F270" t="str">
        <f t="shared" si="8"/>
        <v/>
      </c>
      <c r="G270" t="str">
        <f t="shared" si="8"/>
        <v/>
      </c>
      <c r="H270" t="str">
        <f t="shared" si="8"/>
        <v/>
      </c>
    </row>
    <row r="272" spans="2:8" x14ac:dyDescent="0.25">
      <c r="B272" t="s">
        <v>311</v>
      </c>
      <c r="C272" t="s">
        <v>310</v>
      </c>
      <c r="D272" t="s">
        <v>292</v>
      </c>
      <c r="E272" t="s">
        <v>172</v>
      </c>
      <c r="F272" t="s">
        <v>247</v>
      </c>
    </row>
    <row r="273" spans="2:6" x14ac:dyDescent="0.25">
      <c r="B273">
        <v>1</v>
      </c>
      <c r="C273">
        <v>1</v>
      </c>
      <c r="D273" t="s">
        <v>293</v>
      </c>
      <c r="E273" t="str" cm="1">
        <f t="array" ref="E273">IFERROR(INDEX($C$267:$H$270,B273,C273+1),"")</f>
        <v>Affichage d'incitations (nudge) pour les escaliers par ex</v>
      </c>
      <c r="F273" s="4">
        <f ca="1">IFERROR(INDEX($E$251:$F$264,MATCH(E273,$E$251:$E$264,0),2),0)</f>
        <v>0</v>
      </c>
    </row>
    <row r="274" spans="2:6" x14ac:dyDescent="0.25">
      <c r="B274">
        <v>1</v>
      </c>
      <c r="C274">
        <v>2</v>
      </c>
      <c r="D274" t="s">
        <v>293</v>
      </c>
      <c r="E274" t="str" cm="1">
        <f t="array" ref="E274">IFERROR(INDEX($C$267:$H$270,B274,C274+1),"")</f>
        <v>Ateliers, conférences, formations</v>
      </c>
      <c r="F274" s="4">
        <f t="shared" ref="F274:F286" si="10">IFERROR(INDEX($E$251:$F$264,MATCH(E274,$E$251:$E$264,0),2),0)</f>
        <v>0</v>
      </c>
    </row>
    <row r="275" spans="2:6" x14ac:dyDescent="0.25">
      <c r="B275">
        <v>1</v>
      </c>
      <c r="C275">
        <v>3</v>
      </c>
      <c r="D275" t="s">
        <v>293</v>
      </c>
      <c r="E275" t="str" cm="1">
        <f t="array" ref="E275">IFERROR(INDEX($C$267:$H$270,B275,C275+1),"")</f>
        <v xml:space="preserve">Diffusion d'informations de santé </v>
      </c>
      <c r="F275" s="4">
        <f t="shared" ca="1" si="10"/>
        <v>0</v>
      </c>
    </row>
    <row r="276" spans="2:6" x14ac:dyDescent="0.25">
      <c r="B276">
        <v>1</v>
      </c>
      <c r="C276">
        <v>4</v>
      </c>
      <c r="D276" t="s">
        <v>293</v>
      </c>
      <c r="E276" t="str" cm="1">
        <f t="array" ref="E276">IFERROR(INDEX($C$267:$H$270,B276,C276+1),"")</f>
        <v/>
      </c>
      <c r="F276" s="4" t="str">
        <f t="shared" si="10"/>
        <v/>
      </c>
    </row>
    <row r="277" spans="2:6" x14ac:dyDescent="0.25">
      <c r="B277">
        <v>1</v>
      </c>
      <c r="C277">
        <v>5</v>
      </c>
      <c r="D277" t="s">
        <v>293</v>
      </c>
      <c r="E277" t="str" cm="1">
        <f t="array" ref="E277">IFERROR(INDEX($C$267:$H$270,B277,C277+1),"")</f>
        <v/>
      </c>
      <c r="F277" s="4" t="str">
        <f t="shared" si="10"/>
        <v/>
      </c>
    </row>
    <row r="278" spans="2:6" x14ac:dyDescent="0.25">
      <c r="B278">
        <v>2</v>
      </c>
      <c r="C278">
        <v>1</v>
      </c>
      <c r="D278" t="s">
        <v>294</v>
      </c>
      <c r="E278" t="str" cm="1">
        <f t="array" ref="E278">IFERROR(INDEX($C$267:$H$270,B278,C278+1),"")</f>
        <v>Abri à vélos</v>
      </c>
      <c r="F278" s="4">
        <f t="shared" ca="1" si="10"/>
        <v>0</v>
      </c>
    </row>
    <row r="279" spans="2:6" x14ac:dyDescent="0.25">
      <c r="B279">
        <v>2</v>
      </c>
      <c r="C279">
        <v>2</v>
      </c>
      <c r="D279" t="s">
        <v>294</v>
      </c>
      <c r="E279" t="str" cm="1">
        <f t="array" ref="E279">IFERROR(INDEX($C$267:$H$270,B279,C279+1),"")</f>
        <v/>
      </c>
      <c r="F279" s="4" t="str">
        <f t="shared" si="10"/>
        <v/>
      </c>
    </row>
    <row r="280" spans="2:6" x14ac:dyDescent="0.25">
      <c r="B280">
        <v>2</v>
      </c>
      <c r="C280">
        <v>3</v>
      </c>
      <c r="D280" t="s">
        <v>294</v>
      </c>
      <c r="E280" t="str" cm="1">
        <f t="array" ref="E280">IFERROR(INDEX($C$267:$H$270,B280,C280+1),"")</f>
        <v/>
      </c>
      <c r="F280" s="4" t="str">
        <f t="shared" si="10"/>
        <v/>
      </c>
    </row>
    <row r="281" spans="2:6" x14ac:dyDescent="0.25">
      <c r="B281">
        <v>3</v>
      </c>
      <c r="C281">
        <v>1</v>
      </c>
      <c r="D281" t="s">
        <v>295</v>
      </c>
      <c r="E281" t="str" cm="1">
        <f t="array" ref="E281">IFERROR(INDEX($C$267:$H$270,B281,C281+1),"")</f>
        <v/>
      </c>
      <c r="F281" s="4" t="str">
        <f t="shared" si="10"/>
        <v/>
      </c>
    </row>
    <row r="282" spans="2:6" x14ac:dyDescent="0.25">
      <c r="B282">
        <v>3</v>
      </c>
      <c r="C282">
        <v>2</v>
      </c>
      <c r="D282" t="s">
        <v>295</v>
      </c>
      <c r="E282" t="str" cm="1">
        <f t="array" ref="E282">IFERROR(INDEX($C$267:$H$270,B282,C282+1),"")</f>
        <v/>
      </c>
      <c r="F282" s="4" t="str">
        <f t="shared" si="10"/>
        <v/>
      </c>
    </row>
    <row r="283" spans="2:6" x14ac:dyDescent="0.25">
      <c r="B283">
        <v>4</v>
      </c>
      <c r="C283">
        <v>1</v>
      </c>
      <c r="D283" t="s">
        <v>296</v>
      </c>
      <c r="E283" t="str" cm="1">
        <f t="array" ref="E283">IFERROR(INDEX($C$267:$H$270,B283,C283+1),"")</f>
        <v/>
      </c>
      <c r="F283" s="4" t="str">
        <f t="shared" si="10"/>
        <v/>
      </c>
    </row>
    <row r="284" spans="2:6" x14ac:dyDescent="0.25">
      <c r="B284">
        <v>4</v>
      </c>
      <c r="C284">
        <v>2</v>
      </c>
      <c r="D284" t="s">
        <v>296</v>
      </c>
      <c r="E284" t="str" cm="1">
        <f t="array" ref="E284">IFERROR(INDEX($C$267:$H$270,B284,C284+1),"")</f>
        <v/>
      </c>
      <c r="F284" s="4" t="str">
        <f t="shared" si="10"/>
        <v/>
      </c>
    </row>
    <row r="285" spans="2:6" x14ac:dyDescent="0.25">
      <c r="B285">
        <v>4</v>
      </c>
      <c r="C285">
        <v>3</v>
      </c>
      <c r="D285" t="s">
        <v>296</v>
      </c>
      <c r="E285" t="str" cm="1">
        <f t="array" ref="E285">IFERROR(INDEX($C$267:$H$270,B285,C285+1),"")</f>
        <v/>
      </c>
      <c r="F285" s="4" t="str">
        <f t="shared" si="10"/>
        <v/>
      </c>
    </row>
    <row r="286" spans="2:6" x14ac:dyDescent="0.25">
      <c r="B286">
        <v>4</v>
      </c>
      <c r="C286">
        <v>4</v>
      </c>
      <c r="D286" t="s">
        <v>296</v>
      </c>
      <c r="E286" t="str" cm="1">
        <f t="array" ref="E286">IFERROR(INDEX($C$267:$H$270,B286,C286+1),"")</f>
        <v/>
      </c>
      <c r="F286" s="4" t="str">
        <f t="shared" si="10"/>
        <v/>
      </c>
    </row>
    <row r="288" spans="2:6" x14ac:dyDescent="0.25">
      <c r="D288" s="36" t="s">
        <v>312</v>
      </c>
    </row>
    <row r="289" spans="4:6" x14ac:dyDescent="0.25">
      <c r="D289" t="s">
        <v>292</v>
      </c>
      <c r="E289" t="s">
        <v>172</v>
      </c>
      <c r="F289" t="s">
        <v>247</v>
      </c>
    </row>
    <row r="290" spans="4:6" x14ac:dyDescent="0.25">
      <c r="D290" t="str">
        <f>IFERROR(INDEX($D$273:$E$286,MATCH(E290,$E$273:$E$286,0),1)," ")</f>
        <v>Culture d'entreprise favorisant le sport</v>
      </c>
      <c r="E290" t="str" cm="1">
        <f t="array" ref="E290:E293">_xlfn._xlws.FILTER($E$273:$E$286,$E$273:$E$286&lt;&gt;"")</f>
        <v>Affichage d'incitations (nudge) pour les escaliers par ex</v>
      </c>
      <c r="F290" s="4">
        <f ca="1">IFERROR(INDEX($D$273:$F$286,MATCH(E290,$E$273:$E$286,0),3),0)</f>
        <v>0</v>
      </c>
    </row>
    <row r="291" spans="4:6" x14ac:dyDescent="0.25">
      <c r="D291" t="str">
        <f t="shared" ref="D291:D303" si="11">IFERROR(INDEX($D$273:$E$286,MATCH(E291,$E$273:$E$286,0),1)," ")</f>
        <v>Culture d'entreprise favorisant le sport</v>
      </c>
      <c r="E291" t="str">
        <v>Ateliers, conférences, formations</v>
      </c>
      <c r="F291" s="4">
        <f t="shared" ref="F291:F303" si="12">IFERROR(INDEX($D$273:$F$286,MATCH(E291,$E$273:$E$286,0),3),0)</f>
        <v>0</v>
      </c>
    </row>
    <row r="292" spans="4:6" x14ac:dyDescent="0.25">
      <c r="D292" t="str">
        <f t="shared" si="11"/>
        <v>Culture d'entreprise favorisant le sport</v>
      </c>
      <c r="E292" t="str">
        <v xml:space="preserve">Diffusion d'informations de santé </v>
      </c>
      <c r="F292" s="4">
        <f t="shared" ca="1" si="12"/>
        <v>0</v>
      </c>
    </row>
    <row r="293" spans="4:6" x14ac:dyDescent="0.25">
      <c r="D293" t="str">
        <f t="shared" si="11"/>
        <v>Mobilités actives</v>
      </c>
      <c r="E293" t="str">
        <v>Abri à vélos</v>
      </c>
      <c r="F293" s="4">
        <f t="shared" ca="1" si="12"/>
        <v>0</v>
      </c>
    </row>
    <row r="294" spans="4:6" x14ac:dyDescent="0.25">
      <c r="D294" t="str">
        <f t="shared" si="11"/>
        <v xml:space="preserve"> </v>
      </c>
      <c r="F294" s="4">
        <f t="shared" si="12"/>
        <v>0</v>
      </c>
    </row>
    <row r="295" spans="4:6" x14ac:dyDescent="0.25">
      <c r="D295" t="str">
        <f t="shared" si="11"/>
        <v xml:space="preserve"> </v>
      </c>
      <c r="F295" s="4">
        <f t="shared" si="12"/>
        <v>0</v>
      </c>
    </row>
    <row r="296" spans="4:6" x14ac:dyDescent="0.25">
      <c r="D296" t="str">
        <f t="shared" si="11"/>
        <v xml:space="preserve"> </v>
      </c>
      <c r="F296" s="4">
        <f t="shared" si="12"/>
        <v>0</v>
      </c>
    </row>
    <row r="297" spans="4:6" x14ac:dyDescent="0.25">
      <c r="D297" t="str">
        <f t="shared" si="11"/>
        <v xml:space="preserve"> </v>
      </c>
      <c r="F297" s="4">
        <f t="shared" si="12"/>
        <v>0</v>
      </c>
    </row>
    <row r="298" spans="4:6" x14ac:dyDescent="0.25">
      <c r="D298" t="str">
        <f t="shared" si="11"/>
        <v xml:space="preserve"> </v>
      </c>
      <c r="F298" s="4">
        <f t="shared" si="12"/>
        <v>0</v>
      </c>
    </row>
    <row r="299" spans="4:6" x14ac:dyDescent="0.25">
      <c r="D299" t="str">
        <f t="shared" si="11"/>
        <v xml:space="preserve"> </v>
      </c>
      <c r="F299" s="4">
        <f t="shared" si="12"/>
        <v>0</v>
      </c>
    </row>
    <row r="300" spans="4:6" x14ac:dyDescent="0.25">
      <c r="D300" t="str">
        <f t="shared" si="11"/>
        <v xml:space="preserve"> </v>
      </c>
      <c r="F300" s="4">
        <f t="shared" si="12"/>
        <v>0</v>
      </c>
    </row>
    <row r="301" spans="4:6" x14ac:dyDescent="0.25">
      <c r="D301" t="str">
        <f t="shared" si="11"/>
        <v xml:space="preserve"> </v>
      </c>
      <c r="F301" s="4">
        <f t="shared" si="12"/>
        <v>0</v>
      </c>
    </row>
    <row r="302" spans="4:6" x14ac:dyDescent="0.25">
      <c r="D302" t="str">
        <f t="shared" si="11"/>
        <v xml:space="preserve"> </v>
      </c>
      <c r="F302" s="4">
        <f t="shared" si="12"/>
        <v>0</v>
      </c>
    </row>
    <row r="303" spans="4:6" x14ac:dyDescent="0.25">
      <c r="D303" t="str">
        <f t="shared" si="11"/>
        <v xml:space="preserve"> </v>
      </c>
      <c r="F303" s="4">
        <f t="shared" si="12"/>
        <v>0</v>
      </c>
    </row>
    <row r="305" spans="3:6" x14ac:dyDescent="0.25">
      <c r="C305" s="36" t="s">
        <v>355</v>
      </c>
    </row>
    <row r="306" spans="3:6" x14ac:dyDescent="0.25">
      <c r="C306" s="43" t="s">
        <v>172</v>
      </c>
      <c r="D306" s="43" t="s">
        <v>354</v>
      </c>
      <c r="E306" s="43" t="s">
        <v>356</v>
      </c>
      <c r="F306" s="43" t="s">
        <v>228</v>
      </c>
    </row>
    <row r="307" spans="3:6" x14ac:dyDescent="0.25">
      <c r="C307" s="43" t="s">
        <v>173</v>
      </c>
      <c r="D307" s="43" t="s">
        <v>255</v>
      </c>
      <c r="E307" s="43">
        <v>0</v>
      </c>
      <c r="F307" s="43" t="s">
        <v>359</v>
      </c>
    </row>
    <row r="308" spans="3:6" x14ac:dyDescent="0.25">
      <c r="C308" s="43" t="s">
        <v>174</v>
      </c>
      <c r="D308" s="43" t="s">
        <v>255</v>
      </c>
      <c r="E308" s="43">
        <v>0</v>
      </c>
      <c r="F308" s="43" t="s">
        <v>359</v>
      </c>
    </row>
    <row r="309" spans="3:6" x14ac:dyDescent="0.25">
      <c r="C309" s="43" t="s">
        <v>175</v>
      </c>
      <c r="D309" s="43" t="s">
        <v>255</v>
      </c>
      <c r="E309" s="43">
        <v>0</v>
      </c>
      <c r="F309" s="43" t="s">
        <v>359</v>
      </c>
    </row>
    <row r="310" spans="3:6" x14ac:dyDescent="0.25">
      <c r="C310" s="43" t="s">
        <v>176</v>
      </c>
      <c r="D310" s="43" t="s">
        <v>255</v>
      </c>
      <c r="E310" s="43">
        <v>0</v>
      </c>
      <c r="F310" s="43" t="s">
        <v>359</v>
      </c>
    </row>
    <row r="311" spans="3:6" x14ac:dyDescent="0.25">
      <c r="C311" s="43" t="s">
        <v>177</v>
      </c>
      <c r="D311" s="43" t="s">
        <v>255</v>
      </c>
      <c r="E311" s="43">
        <v>0</v>
      </c>
      <c r="F311" s="43" t="s">
        <v>359</v>
      </c>
    </row>
    <row r="312" spans="3:6" x14ac:dyDescent="0.25">
      <c r="C312" s="43" t="s">
        <v>178</v>
      </c>
      <c r="D312" s="43" t="s">
        <v>255</v>
      </c>
      <c r="E312" s="43">
        <v>0</v>
      </c>
      <c r="F312" s="43" t="s">
        <v>359</v>
      </c>
    </row>
    <row r="313" spans="3:6" x14ac:dyDescent="0.25">
      <c r="C313" s="43" t="s">
        <v>179</v>
      </c>
      <c r="D313" s="43" t="s">
        <v>255</v>
      </c>
      <c r="E313" s="43">
        <v>0</v>
      </c>
      <c r="F313" s="43" t="s">
        <v>359</v>
      </c>
    </row>
    <row r="314" spans="3:6" x14ac:dyDescent="0.25">
      <c r="C314" s="43" t="s">
        <v>180</v>
      </c>
      <c r="D314" s="43" t="s">
        <v>194</v>
      </c>
      <c r="E314" s="43">
        <v>400</v>
      </c>
      <c r="F314" s="43" t="s">
        <v>251</v>
      </c>
    </row>
    <row r="315" spans="3:6" x14ac:dyDescent="0.25">
      <c r="C315" s="43" t="s">
        <v>181</v>
      </c>
      <c r="D315" s="43" t="s">
        <v>194</v>
      </c>
      <c r="E315" s="43">
        <f>40*12</f>
        <v>480</v>
      </c>
      <c r="F315" s="43" t="s">
        <v>285</v>
      </c>
    </row>
    <row r="316" spans="3:6" x14ac:dyDescent="0.25">
      <c r="C316" s="43" t="s">
        <v>182</v>
      </c>
      <c r="D316" s="43" t="s">
        <v>194</v>
      </c>
      <c r="E316" s="43">
        <f>20%*40*12</f>
        <v>96</v>
      </c>
      <c r="F316" s="43" t="s">
        <v>357</v>
      </c>
    </row>
    <row r="317" spans="3:6" x14ac:dyDescent="0.25">
      <c r="C317" s="43" t="s">
        <v>183</v>
      </c>
      <c r="D317" s="43" t="s">
        <v>194</v>
      </c>
      <c r="E317" s="43">
        <f>40*12</f>
        <v>480</v>
      </c>
      <c r="F317" s="43" t="s">
        <v>358</v>
      </c>
    </row>
    <row r="318" spans="3:6" x14ac:dyDescent="0.25">
      <c r="C318" s="43" t="s">
        <v>184</v>
      </c>
      <c r="D318" s="43" t="s">
        <v>255</v>
      </c>
      <c r="E318" s="43">
        <v>0</v>
      </c>
      <c r="F318" s="43" t="s">
        <v>359</v>
      </c>
    </row>
    <row r="319" spans="3:6" x14ac:dyDescent="0.25">
      <c r="C319" s="43" t="s">
        <v>185</v>
      </c>
      <c r="D319" s="43" t="s">
        <v>255</v>
      </c>
      <c r="E319" s="43">
        <v>0</v>
      </c>
      <c r="F319" s="43" t="s">
        <v>359</v>
      </c>
    </row>
    <row r="320" spans="3:6" x14ac:dyDescent="0.25">
      <c r="C320" s="43" t="s">
        <v>186</v>
      </c>
      <c r="D320" s="43" t="s">
        <v>255</v>
      </c>
      <c r="E320" s="43">
        <v>0</v>
      </c>
      <c r="F320" s="43" t="s">
        <v>359</v>
      </c>
    </row>
    <row r="322" spans="3:3" x14ac:dyDescent="0.25">
      <c r="C322" s="43" t="s">
        <v>360</v>
      </c>
    </row>
    <row r="323" spans="3:3" x14ac:dyDescent="0.25">
      <c r="C323" s="43" cm="1">
        <f t="array" ref="C323">SUMPRODUCT(((C307:C320=C67)+(C307:C320=C68)+(C307:C320=C69)+(C307:C320=C70)+(C307:C320=C71)+(C307:C320=C72)+(C307:C320=C73)+(C307:C320=C74)+(C307:C320=C75)+(C307:C320=C76)+(C307:C320=C77)+(C307:C320=C78)+(C307:C320=C79)+(C307:C320=C80))*(E307:E320))</f>
        <v>0</v>
      </c>
    </row>
  </sheetData>
  <phoneticPr fontId="12" type="noConversion"/>
  <dataValidations disablePrompts="1" count="1">
    <dataValidation type="list" allowBlank="1" showInputMessage="1" showErrorMessage="1" sqref="D214:E227 D307:D320">
      <formula1>"Oui,Non"</formula1>
    </dataValidation>
  </dataValidations>
  <hyperlinks>
    <hyperlink ref="E189" r:id="rId1" location=":~:text=Le%20montant%20des%20charges%20salariales%20s%27%C3%A9l%C3%A8ve%20%C3%A0%2022%20%25%20du,soit%2054%20%25%20du%20salaire%20net.&amp;text=(a)%20Abattement%20limit%C3%A9%20%C3%A0%204,175%20968%20%E2%82%AC%20en%202023." display="https://www.habitatpresto.com/pro/conseils/administratif-fiscalite/charges-sociales-taux-cotisations#:~:text=Le%20montant%20des%20charges%20salariales%20s%27%C3%A9l%C3%A8ve%20%C3%A0%2022%20%25%20du,soit%2054%20%25%20du%20salaire%20net.&amp;text=(a)%20Abattement%20limit%C3%A9%20%C3%A0%204,175%20968%20%E2%82%AC%20en%202023."/>
    <hyperlink ref="C230" r:id="rId2"/>
  </hyperlinks>
  <pageMargins left="0.7" right="0.7" top="0.75" bottom="0.75" header="0.3" footer="0.3"/>
  <pageSetup paperSize="9" orientation="portrait" r:id="rId3"/>
  <ignoredErrors>
    <ignoredError sqref="E316" formula="1"/>
  </ignoredErrors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O34"/>
  <sheetViews>
    <sheetView showGridLines="0" zoomScale="67" workbookViewId="0">
      <selection activeCell="H328" sqref="H328"/>
    </sheetView>
  </sheetViews>
  <sheetFormatPr baseColWidth="10" defaultRowHeight="15" x14ac:dyDescent="0.25"/>
  <cols>
    <col min="2" max="2" width="38.7109375" customWidth="1"/>
    <col min="4" max="4" width="38.7109375" customWidth="1"/>
    <col min="6" max="6" width="38.7109375" customWidth="1"/>
    <col min="8" max="8" width="38.7109375" customWidth="1"/>
    <col min="9" max="9" width="11.42578125" customWidth="1"/>
    <col min="10" max="10" width="38.7109375" customWidth="1"/>
    <col min="12" max="12" width="38.7109375" customWidth="1"/>
    <col min="14" max="14" width="38.7109375" customWidth="1"/>
    <col min="16" max="16" width="38.7109375" customWidth="1"/>
    <col min="18" max="18" width="38.7109375" customWidth="1"/>
    <col min="20" max="20" width="38.7109375" customWidth="1"/>
    <col min="22" max="22" width="38.7109375" customWidth="1"/>
    <col min="24" max="24" width="38.7109375" customWidth="1"/>
    <col min="26" max="26" width="38.7109375" customWidth="1"/>
    <col min="28" max="28" width="38.7109375" customWidth="1"/>
    <col min="30" max="30" width="38.7109375" customWidth="1"/>
    <col min="31" max="31" width="11.42578125" customWidth="1"/>
    <col min="32" max="32" width="38.7109375" customWidth="1"/>
    <col min="34" max="34" width="38.7109375" customWidth="1"/>
    <col min="36" max="36" width="38.7109375" customWidth="1"/>
    <col min="38" max="38" width="38.7109375" customWidth="1"/>
    <col min="40" max="40" width="38.7109375" customWidth="1"/>
    <col min="42" max="42" width="38.7109375" customWidth="1"/>
    <col min="44" max="44" width="38.7109375" customWidth="1"/>
    <col min="46" max="46" width="38.7109375" customWidth="1"/>
    <col min="48" max="48" width="38.7109375" customWidth="1"/>
    <col min="50" max="50" width="38.7109375" customWidth="1"/>
    <col min="56" max="56" width="65.42578125" customWidth="1"/>
    <col min="57" max="57" width="20.7109375" customWidth="1"/>
    <col min="58" max="58" width="120.7109375" customWidth="1"/>
    <col min="60" max="60" width="65.42578125" customWidth="1"/>
    <col min="61" max="61" width="20.7109375" customWidth="1"/>
    <col min="62" max="62" width="120.7109375" customWidth="1"/>
    <col min="65" max="65" width="70.7109375" customWidth="1"/>
    <col min="66" max="66" width="16.140625" customWidth="1"/>
    <col min="67" max="67" width="150.7109375" customWidth="1"/>
  </cols>
  <sheetData>
    <row r="2" spans="2:60" x14ac:dyDescent="0.25">
      <c r="AB2" t="s">
        <v>139</v>
      </c>
    </row>
    <row r="3" spans="2:60" x14ac:dyDescent="0.25">
      <c r="B3" t="s">
        <v>117</v>
      </c>
      <c r="D3" t="s">
        <v>24</v>
      </c>
      <c r="F3" t="s">
        <v>23</v>
      </c>
      <c r="H3" t="s">
        <v>31</v>
      </c>
      <c r="N3" t="s">
        <v>41</v>
      </c>
      <c r="P3" t="s">
        <v>39</v>
      </c>
      <c r="R3" t="s">
        <v>81</v>
      </c>
      <c r="T3" t="s">
        <v>82</v>
      </c>
      <c r="V3" t="s">
        <v>155</v>
      </c>
      <c r="X3" t="s">
        <v>122</v>
      </c>
      <c r="Z3" t="s">
        <v>125</v>
      </c>
      <c r="AB3" t="s">
        <v>95</v>
      </c>
      <c r="AV3" t="s">
        <v>121</v>
      </c>
    </row>
    <row r="4" spans="2:60" s="21" customFormat="1" ht="39.950000000000003" customHeight="1" x14ac:dyDescent="0.25">
      <c r="B4" s="26" t="s">
        <v>361</v>
      </c>
      <c r="D4" s="33" t="s">
        <v>26</v>
      </c>
      <c r="F4" s="33" t="s">
        <v>27</v>
      </c>
      <c r="H4" s="33" t="s">
        <v>28</v>
      </c>
      <c r="I4" s="39"/>
      <c r="J4" s="33" t="s">
        <v>353</v>
      </c>
      <c r="L4" s="35" t="s">
        <v>25</v>
      </c>
      <c r="N4" s="34" t="s">
        <v>26</v>
      </c>
      <c r="P4" s="34" t="s">
        <v>27</v>
      </c>
      <c r="R4" s="34" t="s">
        <v>58</v>
      </c>
      <c r="T4" s="34" t="s">
        <v>91</v>
      </c>
      <c r="V4" s="34" t="s">
        <v>156</v>
      </c>
      <c r="X4" s="27" t="s">
        <v>123</v>
      </c>
      <c r="Z4" s="27" t="s">
        <v>126</v>
      </c>
      <c r="AB4" s="27" t="s">
        <v>127</v>
      </c>
      <c r="AD4" s="27" t="s">
        <v>195</v>
      </c>
      <c r="AE4" s="39"/>
      <c r="AF4" s="27" t="s">
        <v>217</v>
      </c>
      <c r="AH4" s="42" t="s">
        <v>140</v>
      </c>
      <c r="AJ4" s="30" t="s">
        <v>286</v>
      </c>
      <c r="AL4" s="30" t="s">
        <v>243</v>
      </c>
      <c r="AN4" s="30" t="s">
        <v>244</v>
      </c>
      <c r="AP4" s="30" t="s">
        <v>245</v>
      </c>
      <c r="AR4" s="30" t="e">
        <f ca="1">_xlfn.CONCAT("Gain financier net en année n+",Bases_annexes!$F$234)</f>
        <v>#NAME?</v>
      </c>
      <c r="AT4" s="30" t="e">
        <f ca="1">_xlfn.CONCAT("Economie équivalente sur la masse salariale en n+",Bases_annexes!$F$234)</f>
        <v>#NAME?</v>
      </c>
      <c r="AV4" s="30" t="e">
        <f ca="1">_xlfn.CONCAT("Impact net sur la rentabilité après amortissement (n+",Bases_annexes!$F$234,")")</f>
        <v>#NAME?</v>
      </c>
      <c r="AX4" s="30" t="e">
        <f ca="1">_xlfn.CONCAT("Impact net sur la rentabilité après amortissement (n+",Bases_annexes!$F$234,")")</f>
        <v>#NAME?</v>
      </c>
    </row>
    <row r="5" spans="2:60" s="11" customFormat="1" ht="24.95" customHeight="1" x14ac:dyDescent="0.25">
      <c r="B5" s="23" t="s">
        <v>344</v>
      </c>
      <c r="D5" s="23" t="s">
        <v>344</v>
      </c>
      <c r="E5" s="10"/>
      <c r="F5" s="23" t="s">
        <v>344</v>
      </c>
      <c r="H5" s="23" t="s">
        <v>344</v>
      </c>
      <c r="I5" s="12"/>
      <c r="J5" s="23" t="s">
        <v>344</v>
      </c>
      <c r="L5" s="23" t="s">
        <v>344</v>
      </c>
      <c r="N5" s="23" t="s">
        <v>344</v>
      </c>
      <c r="P5" s="23" t="s">
        <v>344</v>
      </c>
      <c r="R5" s="23" t="s">
        <v>344</v>
      </c>
      <c r="T5" s="23" t="s">
        <v>344</v>
      </c>
      <c r="V5" s="23" t="s">
        <v>344</v>
      </c>
      <c r="X5" s="23" t="s">
        <v>344</v>
      </c>
      <c r="Z5" s="23" t="s">
        <v>344</v>
      </c>
      <c r="AB5" s="23" t="s">
        <v>25</v>
      </c>
      <c r="AD5" s="23" t="s">
        <v>25</v>
      </c>
      <c r="AE5" s="12"/>
      <c r="AF5" s="23" t="s">
        <v>25</v>
      </c>
      <c r="AH5" s="23" t="s">
        <v>344</v>
      </c>
      <c r="AJ5" s="23" t="s">
        <v>344</v>
      </c>
      <c r="AL5" s="23" t="s">
        <v>344</v>
      </c>
      <c r="AN5" s="23" t="s">
        <v>25</v>
      </c>
      <c r="AP5" s="23" t="s">
        <v>25</v>
      </c>
      <c r="AR5" s="23" t="s">
        <v>344</v>
      </c>
      <c r="AT5" s="23" t="s">
        <v>25</v>
      </c>
      <c r="AV5" s="23" t="s">
        <v>25</v>
      </c>
      <c r="AX5" s="23" t="s">
        <v>25</v>
      </c>
    </row>
    <row r="6" spans="2:60" s="14" customFormat="1" ht="30" customHeight="1" x14ac:dyDescent="0.25">
      <c r="B6" s="24">
        <f>D6+F6</f>
        <v>0</v>
      </c>
      <c r="D6" s="24">
        <f>IF('Données_d''entrée'!$E$42=0,0,INDEX(TCD!$B$4:$AA$5,2,MATCH(Base_tbl_de_bord!D3,TCD!$B$4:$AA$4,0)))</f>
        <v>0</v>
      </c>
      <c r="E6" s="13"/>
      <c r="F6" s="24">
        <f>IF('Données_d''entrée'!$E$42=0,0,INDEX(TCD!$B$4:$AA$5,2,MATCH(Base_tbl_de_bord!F3,TCD!$B$4:$AA$4,0)))</f>
        <v>0</v>
      </c>
      <c r="H6" s="25">
        <f>IF('Données_d''entrée'!$E$42=0,0,INDEX(TCD!$B$4:$AA$5,2,MATCH(Base_tbl_de_bord!H3,TCD!$B$4:$AA$4,0)))</f>
        <v>0</v>
      </c>
      <c r="I6" s="93"/>
      <c r="J6" s="94">
        <f>IF('Données_d''entrée'!$E$42=0,0,Bases_annexes!C323)</f>
        <v>0</v>
      </c>
      <c r="L6" s="24">
        <f>N6+P6+R6+T6</f>
        <v>0</v>
      </c>
      <c r="N6" s="24">
        <f>IF('Données_d''entrée'!$E$42=0,0,INDEX(TCD!$B$4:$AA$5,2,MATCH(Base_tbl_de_bord!N3,TCD!$B$4:$AA$4,0)))</f>
        <v>0</v>
      </c>
      <c r="P6" s="24">
        <f>IF('Données_d''entrée'!$E$42=0,0,INDEX(TCD!$B$4:$AA$5,2,MATCH(Base_tbl_de_bord!P3,TCD!$B$4:$AA$4,0)))</f>
        <v>0</v>
      </c>
      <c r="R6" s="24">
        <f>IF('Données_d''entrée'!$E$42=0,0,INDEX(TCD!$B$4:$AA$5,2,MATCH(Base_tbl_de_bord!R3,TCD!$B$4:$AA$4,0)))</f>
        <v>0</v>
      </c>
      <c r="T6" s="24">
        <f>IF('Données_d''entrée'!$E$42=0,0,INDEX(TCD!$B$4:$AA$5,2,MATCH(Base_tbl_de_bord!T3,TCD!$B$4:$AA$4,0)))</f>
        <v>0</v>
      </c>
      <c r="V6" s="25">
        <f>IF('Données_d''entrée'!$E$42=0,0,INDEX(TCD!$B$4:$AA$5,2,MATCH(Base_tbl_de_bord!V3,TCD!$B$4:$AA$4,0)))</f>
        <v>0</v>
      </c>
      <c r="X6" s="28">
        <f>IF('Données_d''entrée'!$E$42=0,0,INDEX(TCD!$B$4:$AA$5,2,MATCH(Base_tbl_de_bord!X3,TCD!$B$4:$AA$4,0)))</f>
        <v>0</v>
      </c>
      <c r="Z6" s="29">
        <f>IF('Données_d''entrée'!$E$42=0,0,INDEX(TCD!$B$4:$AA$5,2,MATCH(Base_tbl_de_bord!Z3,TCD!$B$4:$AA$4,0)))</f>
        <v>0</v>
      </c>
      <c r="AB6" s="29">
        <f>IF('Données_d''entrée'!$E$42=0,0,ABS((INDEX(TCD!$B$4:$AA$5,2,MATCH(Base_tbl_de_bord!AB3,TCD!$B$4:$AA$4,0))-
INDEX(TCD!$B$4:$AA$5,2,MATCH(Base_tbl_de_bord!AB2,TCD!$B$4:$AA$4,0)))/
INDEX(TCD!$B$4:$AA$5,2,MATCH(Base_tbl_de_bord!AB2,TCD!$B$4:$AA$4,0))))</f>
        <v>0</v>
      </c>
      <c r="AD6" s="29">
        <f>IF('Données_d''entrée'!$E$42=0,0,INDEX(Bases_annexes!C168:D184,MATCH(Base_tbl_de_bord!AD4,Bases_annexes!C168:C184,0),2))</f>
        <v>0</v>
      </c>
      <c r="AE6" s="38"/>
      <c r="AF6" s="29">
        <f>IF('Données_d''entrée'!$E$42=0,0,Bases_annexes!G209)</f>
        <v>0</v>
      </c>
      <c r="AH6" s="31">
        <f>IF('Données_d''entrée'!$E$42=0,0,Bases_annexes!D173)</f>
        <v>0</v>
      </c>
      <c r="AJ6" s="66">
        <f ca="1">IFERROR(AH6/(1+AH6)*Bases_annexes!D190/'Données_d''entrée'!E42,0)</f>
        <v>0</v>
      </c>
      <c r="AL6" s="66">
        <f>IF('Données_d''entrée'!$E$42=0,0,AJ6-IF(Bases_annexes!D156&lt;1,BE33,BE33/Bases_annexes!D156))</f>
        <v>0</v>
      </c>
      <c r="AN6" s="31">
        <f>IF('Données_d''entrée'!$E$42=0,0,AL8/IF(OR(ISBLANK(Bases_annexes!F8),Bases_annexes!F8=0),Bases_annexes!D190,Bases_annexes!F8))</f>
        <v>0</v>
      </c>
      <c r="AP6" s="31">
        <f>IF('Données_d''entrée'!$E$42=0,0,Bases_annexes!L209)</f>
        <v>0</v>
      </c>
      <c r="AR6" s="66">
        <f>IF('Données_d''entrée'!$E$42=0,0,AJ6-IF(Bases_annexes!D156&lt;1,BI33,BI33/Bases_annexes!D156))</f>
        <v>0</v>
      </c>
      <c r="AT6" s="31">
        <f>IF('Données_d''entrée'!$E$42=0,0,AR8/IF(OR(ISBLANK(Bases_annexes!F8),Bases_annexes!F8=0),Bases_annexes!D190,Bases_annexes!F8))</f>
        <v>0</v>
      </c>
      <c r="AV6" s="31">
        <f>IF(OR('Données_d''entrée'!$E$42=0,'Données_d''entrée'!$E$42=""),0,Bases_annexes!L210)</f>
        <v>0</v>
      </c>
      <c r="AX6" s="31">
        <f>IF('Données_d''entrée'!$E$42=0,0,Bases_annexes!L210)</f>
        <v>0</v>
      </c>
    </row>
    <row r="7" spans="2:60" s="11" customFormat="1" ht="24.95" customHeight="1" x14ac:dyDescent="0.25">
      <c r="B7" s="23" t="s">
        <v>25</v>
      </c>
      <c r="D7" s="23" t="s">
        <v>25</v>
      </c>
      <c r="E7" s="10"/>
      <c r="F7" s="23" t="s">
        <v>25</v>
      </c>
      <c r="H7" s="32">
        <f>1-H6</f>
        <v>1</v>
      </c>
      <c r="I7" s="32"/>
      <c r="J7" s="23" t="s">
        <v>25</v>
      </c>
      <c r="L7" s="23" t="s">
        <v>25</v>
      </c>
      <c r="N7" s="23" t="s">
        <v>25</v>
      </c>
      <c r="P7" s="23" t="s">
        <v>25</v>
      </c>
      <c r="R7" s="23" t="s">
        <v>25</v>
      </c>
      <c r="T7" s="23" t="s">
        <v>25</v>
      </c>
      <c r="V7" s="32">
        <f>1-V6</f>
        <v>1</v>
      </c>
      <c r="X7" s="12"/>
      <c r="Z7" s="12"/>
      <c r="AB7" s="12"/>
      <c r="AD7" s="12"/>
      <c r="AE7" s="12"/>
      <c r="AF7" s="12"/>
      <c r="AH7" s="23" t="s">
        <v>25</v>
      </c>
      <c r="AJ7" s="23" t="s">
        <v>25</v>
      </c>
      <c r="AL7" s="23" t="s">
        <v>25</v>
      </c>
      <c r="AN7" s="41">
        <f>1-AN6</f>
        <v>1</v>
      </c>
      <c r="AP7" s="41"/>
      <c r="AR7" s="23" t="s">
        <v>25</v>
      </c>
      <c r="AT7" s="41">
        <f>1-AT6</f>
        <v>1</v>
      </c>
      <c r="AV7" s="41">
        <f>1-AV6</f>
        <v>1</v>
      </c>
      <c r="AX7" s="41"/>
    </row>
    <row r="8" spans="2:60" s="16" customFormat="1" ht="30" customHeight="1" x14ac:dyDescent="0.5">
      <c r="B8" s="24" t="e">
        <f ca="1">B6*INDEX(Bases_annexes!$C$155:$I$156,2,MATCH($B$3,Bases_annexes!$C$155:$I$155,0))</f>
        <v>#NAME?</v>
      </c>
      <c r="D8" s="24" t="e">
        <f ca="1">D6*INDEX(Bases_annexes!$C$155:$I$156,2,MATCH($B$3,Bases_annexes!$C$155:$I$155,0))</f>
        <v>#NAME?</v>
      </c>
      <c r="E8" s="15"/>
      <c r="F8" s="24" t="e">
        <f ca="1">F6*INDEX(Bases_annexes!$C$155:$I$156,2,MATCH($B$3,Bases_annexes!$C$155:$I$155,0))</f>
        <v>#NAME?</v>
      </c>
      <c r="H8" s="15"/>
      <c r="I8" s="15"/>
      <c r="J8" s="24" t="e">
        <f ca="1">J6*INDEX(Bases_annexes!$C$155:$I$156,2,MATCH($B$3,Bases_annexes!$C$155:$I$155,0))</f>
        <v>#NAME?</v>
      </c>
      <c r="L8" s="24" t="e">
        <f ca="1">L6*INDEX(Bases_annexes!$C$155:$I$156,2,MATCH($B$3,Bases_annexes!$C$155:$I$155,0))</f>
        <v>#NAME?</v>
      </c>
      <c r="N8" s="24" t="e">
        <f ca="1">N6*INDEX(Bases_annexes!$C$155:$I$156,2,MATCH($B$3,Bases_annexes!$C$155:$I$155,0))</f>
        <v>#NAME?</v>
      </c>
      <c r="P8" s="24" t="e">
        <f ca="1">P6*INDEX(Bases_annexes!$C$155:$I$156,2,MATCH($B$3,Bases_annexes!$C$155:$I$155,0))</f>
        <v>#NAME?</v>
      </c>
      <c r="R8" s="24" t="e">
        <f ca="1">R6*INDEX(Bases_annexes!$C$155:$I$156,2,MATCH($B$3,Bases_annexes!$C$155:$I$155,0))</f>
        <v>#NAME?</v>
      </c>
      <c r="T8" s="24" t="e">
        <f ca="1">T6*INDEX(Bases_annexes!$C$155:$I$156,2,MATCH($B$3,Bases_annexes!$C$155:$I$155,0))</f>
        <v>#NAME?</v>
      </c>
      <c r="X8" s="15"/>
      <c r="Z8" s="15"/>
      <c r="AB8" s="15"/>
      <c r="AD8" s="15"/>
      <c r="AE8" s="15"/>
      <c r="AF8" s="15"/>
      <c r="AH8" s="31">
        <f>IF('Données_d''entrée'!$E$42=0,0,AH6*INDEX(Bases_annexes!$C$155:$I$156,2,MATCH($B$3,Bases_annexes!$C$155:$I$155,0))/'Données_d''entrée'!E42)</f>
        <v>0</v>
      </c>
      <c r="AJ8" s="66">
        <f ca="1">IFERROR(AH6/(1+AH6)*Bases_annexes!G209*Bases_annexes!D190,0)</f>
        <v>0</v>
      </c>
      <c r="AL8" s="66">
        <f>IF('Données_d''entrée'!$E$42=0,0,AJ8-BE33)</f>
        <v>0</v>
      </c>
      <c r="AN8" s="40"/>
      <c r="AP8" s="40"/>
      <c r="AR8" s="66">
        <f>IF('Données_d''entrée'!$E$42=0,0,AJ8-BI33)</f>
        <v>0</v>
      </c>
      <c r="AT8" s="40"/>
      <c r="AV8" s="40"/>
      <c r="AX8" s="40"/>
    </row>
    <row r="9" spans="2:60" x14ac:dyDescent="0.25">
      <c r="AL9" t="s">
        <v>242</v>
      </c>
      <c r="AR9" t="s">
        <v>242</v>
      </c>
    </row>
    <row r="10" spans="2:60" x14ac:dyDescent="0.25">
      <c r="AJ10" s="37"/>
      <c r="AL10" s="22" t="s">
        <v>241</v>
      </c>
      <c r="AR10" s="22" t="s">
        <v>241</v>
      </c>
    </row>
    <row r="12" spans="2:60" x14ac:dyDescent="0.25">
      <c r="AJ12" s="62"/>
    </row>
    <row r="14" spans="2:60" x14ac:dyDescent="0.25">
      <c r="BH14" t="s">
        <v>314</v>
      </c>
    </row>
    <row r="15" spans="2:60" x14ac:dyDescent="0.25">
      <c r="AL15" s="62"/>
      <c r="AR15" s="62"/>
    </row>
    <row r="17" spans="36:67" s="57" customFormat="1" ht="39.950000000000003" customHeight="1" x14ac:dyDescent="0.35">
      <c r="BD17" s="63" t="s">
        <v>246</v>
      </c>
      <c r="BE17" s="64"/>
      <c r="BF17" s="64"/>
      <c r="BH17" s="63" t="e">
        <f ca="1">_xlfn.CONCAT("Coût estimé des actions mises en œuvre en année n+",Bases_annexes!$F$234)</f>
        <v>#NAME?</v>
      </c>
      <c r="BI17" s="64"/>
      <c r="BJ17" s="64"/>
      <c r="BM17" s="73" t="s">
        <v>307</v>
      </c>
      <c r="BN17" s="75"/>
      <c r="BO17" s="74"/>
    </row>
    <row r="18" spans="36:67" s="58" customFormat="1" ht="21" x14ac:dyDescent="0.35">
      <c r="AJ18" s="69"/>
      <c r="AL18" s="69"/>
      <c r="BD18" s="61" t="s">
        <v>172</v>
      </c>
      <c r="BE18" s="61" t="s">
        <v>247</v>
      </c>
      <c r="BF18" s="61" t="s">
        <v>228</v>
      </c>
      <c r="BH18" s="61" t="s">
        <v>172</v>
      </c>
      <c r="BI18" s="61" t="e">
        <f ca="1">_xlfn.CONCAT("Coût_n+",Bases_annexes!$F$234)</f>
        <v>#NAME?</v>
      </c>
      <c r="BJ18" s="61" t="s">
        <v>228</v>
      </c>
      <c r="BM18" s="77" t="s">
        <v>172</v>
      </c>
      <c r="BN18" s="77" t="s">
        <v>247</v>
      </c>
      <c r="BO18" s="77" t="s">
        <v>228</v>
      </c>
    </row>
    <row r="19" spans="36:67" s="56" customFormat="1" ht="45" customHeight="1" x14ac:dyDescent="0.25">
      <c r="BD19" s="60" t="str">
        <f t="array" ref="BD19:BD32">IF(ISBLANK(TCD!AS5:AS18),"",TCD!AS5:AS18)</f>
        <v>Abri à vélos</v>
      </c>
      <c r="BE19" s="71">
        <f ca="1">Bases_annexes!F251</f>
        <v>0</v>
      </c>
      <c r="BF19" s="59" t="str">
        <f>Bases_annexes!G251</f>
        <v>Nombre de sites concernés * Coût d'un abri vélo collectif (2 500€) / 10 ans d'amortissement</v>
      </c>
      <c r="BH19" s="60" t="str" cm="1">
        <f t="array" ref="BH19:BH32">IF(ISBLANK(TCD!AS5:AS18),"",TCD!AS5:AS18)</f>
        <v>Abri à vélos</v>
      </c>
      <c r="BI19" s="71">
        <f ca="1">IFERROR(INDEX(Bases_annexes!$D$100:$L$149,MATCH(BH19,Bases_annexes!$D$100:$D$149,0),MATCH("Coût_n+",Bases_annexes!$D$99:$L$99,0)),"")</f>
        <v>0</v>
      </c>
      <c r="BJ19" s="59" t="str">
        <f>IFERROR(INDEX(Bases_annexes!$D$100:$L$149,MATCH(Base_tbl_de_bord!$BD19,Bases_annexes!$D$100:$D$149,0),MATCH(Base_tbl_de_bord!BJ$18,Bases_annexes!$D$99:$L$99,0)),"")</f>
        <v>Nombre de sites concernés * Coût d'un abri vélo collectif (2 500€) / 10 ans d'amortissement</v>
      </c>
      <c r="BM19" s="76" t="str" cm="1">
        <f t="array" ref="BM19:BM32">IF(ISBLANK(TCD!AS5:AS18),"",TCD!AS5:AS18)</f>
        <v>Abri à vélos</v>
      </c>
      <c r="BN19" s="71">
        <f ca="1">Bases_annexes!F251</f>
        <v>0</v>
      </c>
      <c r="BO19" s="59" t="str">
        <f>IFERROR(INDEX(Bases_annexes!$D$100:$L$149,MATCH(Base_tbl_de_bord!$BD19,Bases_annexes!$D$100:$D$149,0),MATCH(Base_tbl_de_bord!BJ$18,Bases_annexes!$D$99:$L$99,0)),"")</f>
        <v>Nombre de sites concernés * Coût d'un abri vélo collectif (2 500€) / 10 ans d'amortissement</v>
      </c>
    </row>
    <row r="20" spans="36:67" s="56" customFormat="1" ht="45" customHeight="1" x14ac:dyDescent="0.25">
      <c r="BD20" s="60" t="str">
        <v>Affichage d'incitations (nudge) pour les escaliers par ex</v>
      </c>
      <c r="BE20" s="71">
        <f ca="1">Bases_annexes!F252</f>
        <v>0</v>
      </c>
      <c r="BF20" s="59" t="str">
        <f>Bases_annexes!G252</f>
        <v>Salaire brut horaire moyen * [(4h de recherches d'informations) * 1 personne mobilisée +  (1h d'affichage * 1 personne mobilisée * Nombre de sites)] + 300€ de matériaux (stickers posés sur le sol et les murs) * Nombre de sites</v>
      </c>
      <c r="BH20" s="60" t="str">
        <v>Affichage d'incitations (nudge) pour les escaliers par ex</v>
      </c>
      <c r="BI20" s="71">
        <f ca="1">IFERROR(INDEX(Bases_annexes!$D$100:$L$149,MATCH(BH20,Bases_annexes!$D$100:$D$149,0),MATCH("Coût_n+",Bases_annexes!$D$99:$L$99,0)),"")</f>
        <v>0</v>
      </c>
      <c r="BJ20" s="59" t="str">
        <f>IFERROR(INDEX(Bases_annexes!$D$100:$L$149,MATCH(Base_tbl_de_bord!$BD20,Bases_annexes!$D$100:$D$149,0),MATCH(Base_tbl_de_bord!BJ$18,Bases_annexes!$D$99:$L$99,0)),"")</f>
        <v>Salaire brut horaire moyen * [(4h de recherches d'informations) * 1 personne mobilisée +  (1h d'affichage * 1 personne mobilisée * Nombre de sites)] + 300€ de matériaux (stickers posés sur le sol et les murs) * Nombre de sites</v>
      </c>
      <c r="BM20" s="76" t="str">
        <v>Affichage d'incitations (nudge) pour les escaliers par ex</v>
      </c>
      <c r="BN20" s="71">
        <f ca="1">Bases_annexes!F252</f>
        <v>0</v>
      </c>
      <c r="BO20" s="59" t="str">
        <f>IFERROR(INDEX(Bases_annexes!$D$100:$L$149,MATCH(Base_tbl_de_bord!$BD20,Bases_annexes!$D$100:$D$149,0),MATCH(Base_tbl_de_bord!BJ$18,Bases_annexes!$D$99:$L$99,0)),"")</f>
        <v>Salaire brut horaire moyen * [(4h de recherches d'informations) * 1 personne mobilisée +  (1h d'affichage * 1 personne mobilisée * Nombre de sites)] + 300€ de matériaux (stickers posés sur le sol et les murs) * Nombre de sites</v>
      </c>
    </row>
    <row r="21" spans="36:67" s="56" customFormat="1" ht="45" customHeight="1" x14ac:dyDescent="0.25">
      <c r="BD21" s="60" t="str">
        <v>Ateliers, conférences, formations</v>
      </c>
      <c r="BE21" s="71">
        <f>Bases_annexes!F253</f>
        <v>0</v>
      </c>
      <c r="BF21" s="59" t="str">
        <f>Bases_annexes!G253</f>
        <v>Nous considérons que ces ateliers sont animés en interne, par un salarié volontaire</v>
      </c>
      <c r="BH21" s="60" t="str">
        <v>Ateliers, conférences, formations</v>
      </c>
      <c r="BI21" s="71">
        <f ca="1">IFERROR(INDEX(Bases_annexes!$D$100:$L$149,MATCH(BH21,Bases_annexes!$D$100:$D$149,0),MATCH("Coût_n+",Bases_annexes!$D$99:$L$99,0)),"")</f>
        <v>0</v>
      </c>
      <c r="BJ21" s="59" t="str">
        <f>IFERROR(INDEX(Bases_annexes!$D$100:$L$149,MATCH(Base_tbl_de_bord!$BD21,Bases_annexes!$D$100:$D$149,0),MATCH(Base_tbl_de_bord!BJ$18,Bases_annexes!$D$99:$L$99,0)),"")</f>
        <v>Nous considérons que ces ateliers sont animés en interne, par un salarié volontaire</v>
      </c>
      <c r="BM21" s="76" t="str">
        <v>Ateliers, conférences, formations</v>
      </c>
      <c r="BN21" s="71">
        <f>Bases_annexes!F253</f>
        <v>0</v>
      </c>
      <c r="BO21" s="59" t="str">
        <f>IFERROR(INDEX(Bases_annexes!$D$100:$L$149,MATCH(Base_tbl_de_bord!$BD21,Bases_annexes!$D$100:$D$149,0),MATCH(Base_tbl_de_bord!BJ$18,Bases_annexes!$D$99:$L$99,0)),"")</f>
        <v>Nous considérons que ces ateliers sont animés en interne, par un salarié volontaire</v>
      </c>
    </row>
    <row r="22" spans="36:67" s="56" customFormat="1" ht="45" customHeight="1" x14ac:dyDescent="0.25">
      <c r="BD22" s="60" t="str">
        <v xml:space="preserve">Diffusion d'informations de santé </v>
      </c>
      <c r="BE22" s="71">
        <f ca="1">Bases_annexes!F254</f>
        <v>0</v>
      </c>
      <c r="BF22" s="59" t="str">
        <f>Bases_annexes!G254</f>
        <v>Salaire brut horaire moyen * [(4h de recherches d'informations) * 1 personne mobilisée + (1h d'affichage * 1 personne mobilisée * Nombre de sites)]</v>
      </c>
      <c r="BH22" s="60" t="str">
        <v xml:space="preserve">Diffusion d'informations de santé </v>
      </c>
      <c r="BI22" s="71">
        <f ca="1">IFERROR(INDEX(Bases_annexes!$D$100:$L$149,MATCH(BH22,Bases_annexes!$D$100:$D$149,0),MATCH("Coût_n+",Bases_annexes!$D$99:$L$99,0)),"")</f>
        <v>0</v>
      </c>
      <c r="BJ22" s="59" t="str">
        <f>IFERROR(INDEX(Bases_annexes!$D$100:$L$149,MATCH(Base_tbl_de_bord!$BD22,Bases_annexes!$D$100:$D$149,0),MATCH(Base_tbl_de_bord!BJ$18,Bases_annexes!$D$99:$L$99,0)),"")</f>
        <v>Salaire brut horaire moyen * [(4h de recherches d'informations) * 1 personne mobilisée + (1h d'affichage * 1 personne mobilisée * Nombre de sites)]</v>
      </c>
      <c r="BM22" s="76" t="str">
        <v xml:space="preserve">Diffusion d'informations de santé </v>
      </c>
      <c r="BN22" s="71">
        <f ca="1">Bases_annexes!F254</f>
        <v>0</v>
      </c>
      <c r="BO22" s="59" t="str">
        <f>IFERROR(INDEX(Bases_annexes!$D$100:$L$149,MATCH(Base_tbl_de_bord!$BD22,Bases_annexes!$D$100:$D$149,0),MATCH(Base_tbl_de_bord!BJ$18,Bases_annexes!$D$99:$L$99,0)),"")</f>
        <v>Salaire brut horaire moyen * [(4h de recherches d'informations) * 1 personne mobilisée + (1h d'affichage * 1 personne mobilisée * Nombre de sites)]</v>
      </c>
    </row>
    <row r="23" spans="36:67" s="56" customFormat="1" ht="45" customHeight="1" x14ac:dyDescent="0.25">
      <c r="BD23" s="60" t="str">
        <v/>
      </c>
      <c r="BE23" s="71" t="str">
        <f>Bases_annexes!F255</f>
        <v/>
      </c>
      <c r="BF23" s="59" t="str">
        <f>Bases_annexes!G255</f>
        <v/>
      </c>
      <c r="BH23" s="60" t="str">
        <v/>
      </c>
      <c r="BI23" s="71" t="str">
        <f>IFERROR(INDEX(Bases_annexes!$D$100:$L$149,MATCH(BH23,Bases_annexes!$D$100:$D$149,0),MATCH("Coût_n+",Bases_annexes!$D$99:$L$99,0)),"")</f>
        <v/>
      </c>
      <c r="BJ23" s="59" t="str">
        <f>IFERROR(INDEX(Bases_annexes!$D$100:$L$149,MATCH(Base_tbl_de_bord!$BD23,Bases_annexes!$D$100:$D$149,0),MATCH(Base_tbl_de_bord!BJ$18,Bases_annexes!$D$99:$L$99,0)),"")</f>
        <v/>
      </c>
      <c r="BM23" s="76" t="str">
        <v/>
      </c>
      <c r="BN23" s="71" t="str">
        <f>Bases_annexes!F255</f>
        <v/>
      </c>
      <c r="BO23" s="59" t="str">
        <f>IFERROR(INDEX(Bases_annexes!$D$100:$L$149,MATCH(Base_tbl_de_bord!$BD23,Bases_annexes!$D$100:$D$149,0),MATCH(Base_tbl_de_bord!BJ$18,Bases_annexes!$D$99:$L$99,0)),"")</f>
        <v/>
      </c>
    </row>
    <row r="24" spans="36:67" s="56" customFormat="1" ht="45" customHeight="1" x14ac:dyDescent="0.25">
      <c r="BD24" s="60" t="str">
        <v/>
      </c>
      <c r="BE24" s="71" t="str">
        <f>Bases_annexes!F256</f>
        <v/>
      </c>
      <c r="BF24" s="59" t="str">
        <f>Bases_annexes!G256</f>
        <v/>
      </c>
      <c r="BH24" s="60" t="str">
        <v/>
      </c>
      <c r="BI24" s="71" t="str">
        <f>IFERROR(INDEX(Bases_annexes!$D$100:$L$149,MATCH(BH24,Bases_annexes!$D$100:$D$149,0),MATCH("Coût_n+",Bases_annexes!$D$99:$L$99,0)),"")</f>
        <v/>
      </c>
      <c r="BJ24" s="59" t="str">
        <f>IFERROR(INDEX(Bases_annexes!$D$100:$L$149,MATCH(Base_tbl_de_bord!$BD24,Bases_annexes!$D$100:$D$149,0),MATCH(Base_tbl_de_bord!BJ$18,Bases_annexes!$D$99:$L$99,0)),"")</f>
        <v/>
      </c>
      <c r="BM24" s="76" t="str">
        <v/>
      </c>
      <c r="BN24" s="71" t="str">
        <f>Bases_annexes!F256</f>
        <v/>
      </c>
      <c r="BO24" s="59" t="str">
        <f>IFERROR(INDEX(Bases_annexes!$D$100:$L$149,MATCH(Base_tbl_de_bord!$BD24,Bases_annexes!$D$100:$D$149,0),MATCH(Base_tbl_de_bord!BJ$18,Bases_annexes!$D$99:$L$99,0)),"")</f>
        <v/>
      </c>
    </row>
    <row r="25" spans="36:67" s="56" customFormat="1" ht="45" customHeight="1" x14ac:dyDescent="0.25">
      <c r="BD25" s="60" t="str">
        <v/>
      </c>
      <c r="BE25" s="71" t="str">
        <f>Bases_annexes!F257</f>
        <v/>
      </c>
      <c r="BF25" s="59" t="str">
        <f>Bases_annexes!G257</f>
        <v/>
      </c>
      <c r="BH25" s="60" t="str">
        <v/>
      </c>
      <c r="BI25" s="71" t="str">
        <f>IFERROR(INDEX(Bases_annexes!$D$100:$L$149,MATCH(BH25,Bases_annexes!$D$100:$D$149,0),MATCH("Coût_n+",Bases_annexes!$D$99:$L$99,0)),"")</f>
        <v/>
      </c>
      <c r="BJ25" s="59" t="str">
        <f>IFERROR(INDEX(Bases_annexes!$D$100:$L$149,MATCH(Base_tbl_de_bord!$BD25,Bases_annexes!$D$100:$D$149,0),MATCH(Base_tbl_de_bord!BJ$18,Bases_annexes!$D$99:$L$99,0)),"")</f>
        <v/>
      </c>
      <c r="BM25" s="76" t="str">
        <v/>
      </c>
      <c r="BN25" s="71" t="str">
        <f>Bases_annexes!F257</f>
        <v/>
      </c>
      <c r="BO25" s="59" t="str">
        <f>IFERROR(INDEX(Bases_annexes!$D$100:$L$149,MATCH(Base_tbl_de_bord!$BD25,Bases_annexes!$D$100:$D$149,0),MATCH(Base_tbl_de_bord!BJ$18,Bases_annexes!$D$99:$L$99,0)),"")</f>
        <v/>
      </c>
    </row>
    <row r="26" spans="36:67" s="56" customFormat="1" ht="45" customHeight="1" x14ac:dyDescent="0.25">
      <c r="BD26" s="60" t="str">
        <v/>
      </c>
      <c r="BE26" s="71" t="str">
        <f>Bases_annexes!F258</f>
        <v/>
      </c>
      <c r="BF26" s="59" t="str">
        <f>Bases_annexes!G258</f>
        <v/>
      </c>
      <c r="BH26" s="60" t="str">
        <v/>
      </c>
      <c r="BI26" s="71" t="str">
        <f>IFERROR(INDEX(Bases_annexes!$D$100:$L$149,MATCH(BH26,Bases_annexes!$D$100:$D$149,0),MATCH("Coût_n+",Bases_annexes!$D$99:$L$99,0)),"")</f>
        <v/>
      </c>
      <c r="BJ26" s="59" t="str">
        <f>IFERROR(INDEX(Bases_annexes!$D$100:$L$149,MATCH(Base_tbl_de_bord!$BD26,Bases_annexes!$D$100:$D$149,0),MATCH(Base_tbl_de_bord!BJ$18,Bases_annexes!$D$99:$L$99,0)),"")</f>
        <v/>
      </c>
      <c r="BM26" s="76" t="str">
        <v/>
      </c>
      <c r="BN26" s="71" t="str">
        <f>Bases_annexes!F258</f>
        <v/>
      </c>
      <c r="BO26" s="59" t="str">
        <f>IFERROR(INDEX(Bases_annexes!$D$100:$L$149,MATCH(Base_tbl_de_bord!$BD26,Bases_annexes!$D$100:$D$149,0),MATCH(Base_tbl_de_bord!BJ$18,Bases_annexes!$D$99:$L$99,0)),"")</f>
        <v/>
      </c>
    </row>
    <row r="27" spans="36:67" s="56" customFormat="1" ht="45" customHeight="1" x14ac:dyDescent="0.25">
      <c r="BD27" s="60" t="str">
        <v/>
      </c>
      <c r="BE27" s="71" t="str">
        <f>Bases_annexes!F259</f>
        <v/>
      </c>
      <c r="BF27" s="59" t="str">
        <f>Bases_annexes!G259</f>
        <v/>
      </c>
      <c r="BH27" s="60" t="str">
        <v/>
      </c>
      <c r="BI27" s="71" t="str">
        <f>IFERROR(INDEX(Bases_annexes!$D$100:$L$149,MATCH(BH27,Bases_annexes!$D$100:$D$149,0),MATCH("Coût_n+",Bases_annexes!$D$99:$L$99,0)),"")</f>
        <v/>
      </c>
      <c r="BJ27" s="59" t="str">
        <f>IFERROR(INDEX(Bases_annexes!$D$100:$L$149,MATCH(Base_tbl_de_bord!$BD27,Bases_annexes!$D$100:$D$149,0),MATCH(Base_tbl_de_bord!BJ$18,Bases_annexes!$D$99:$L$99,0)),"")</f>
        <v/>
      </c>
      <c r="BM27" s="76" t="str">
        <v/>
      </c>
      <c r="BN27" s="71" t="str">
        <f>Bases_annexes!F259</f>
        <v/>
      </c>
      <c r="BO27" s="59" t="str">
        <f>IFERROR(INDEX(Bases_annexes!$D$100:$L$149,MATCH(Base_tbl_de_bord!$BD27,Bases_annexes!$D$100:$D$149,0),MATCH(Base_tbl_de_bord!BJ$18,Bases_annexes!$D$99:$L$99,0)),"")</f>
        <v/>
      </c>
    </row>
    <row r="28" spans="36:67" s="56" customFormat="1" ht="45" customHeight="1" x14ac:dyDescent="0.25">
      <c r="BD28" s="60" t="str">
        <v/>
      </c>
      <c r="BE28" s="71" t="str">
        <f>Bases_annexes!F260</f>
        <v/>
      </c>
      <c r="BF28" s="59" t="str">
        <f>Bases_annexes!G260</f>
        <v/>
      </c>
      <c r="BH28" s="60" t="str">
        <v/>
      </c>
      <c r="BI28" s="71" t="str">
        <f>IFERROR(INDEX(Bases_annexes!$D$100:$L$149,MATCH(BH28,Bases_annexes!$D$100:$D$149,0),MATCH("Coût_n+",Bases_annexes!$D$99:$L$99,0)),"")</f>
        <v/>
      </c>
      <c r="BJ28" s="59" t="str">
        <f>IFERROR(INDEX(Bases_annexes!$D$100:$L$149,MATCH(Base_tbl_de_bord!$BD28,Bases_annexes!$D$100:$D$149,0),MATCH(Base_tbl_de_bord!BJ$18,Bases_annexes!$D$99:$L$99,0)),"")</f>
        <v/>
      </c>
      <c r="BM28" s="76" t="str">
        <v/>
      </c>
      <c r="BN28" s="71" t="str">
        <f>Bases_annexes!F260</f>
        <v/>
      </c>
      <c r="BO28" s="59" t="str">
        <f>IFERROR(INDEX(Bases_annexes!$D$100:$L$149,MATCH(Base_tbl_de_bord!$BD28,Bases_annexes!$D$100:$D$149,0),MATCH(Base_tbl_de_bord!BJ$18,Bases_annexes!$D$99:$L$99,0)),"")</f>
        <v/>
      </c>
    </row>
    <row r="29" spans="36:67" s="56" customFormat="1" ht="45" customHeight="1" x14ac:dyDescent="0.25">
      <c r="BD29" s="60" t="str">
        <v/>
      </c>
      <c r="BE29" s="71" t="str">
        <f>Bases_annexes!F261</f>
        <v/>
      </c>
      <c r="BF29" s="59" t="str">
        <f>Bases_annexes!G261</f>
        <v/>
      </c>
      <c r="BH29" s="60" t="str">
        <v/>
      </c>
      <c r="BI29" s="71" t="str">
        <f>IFERROR(INDEX(Bases_annexes!$D$100:$L$149,MATCH(BH29,Bases_annexes!$D$100:$D$149,0),MATCH("Coût_n+",Bases_annexes!$D$99:$L$99,0)),"")</f>
        <v/>
      </c>
      <c r="BJ29" s="59" t="str">
        <f>IFERROR(INDEX(Bases_annexes!$D$100:$L$149,MATCH(Base_tbl_de_bord!$BD29,Bases_annexes!$D$100:$D$149,0),MATCH(Base_tbl_de_bord!BJ$18,Bases_annexes!$D$99:$L$99,0)),"")</f>
        <v/>
      </c>
      <c r="BM29" s="76" t="str">
        <v/>
      </c>
      <c r="BN29" s="71" t="str">
        <f>Bases_annexes!F261</f>
        <v/>
      </c>
      <c r="BO29" s="59" t="str">
        <f>IFERROR(INDEX(Bases_annexes!$D$100:$L$149,MATCH(Base_tbl_de_bord!$BD29,Bases_annexes!$D$100:$D$149,0),MATCH(Base_tbl_de_bord!BJ$18,Bases_annexes!$D$99:$L$99,0)),"")</f>
        <v/>
      </c>
    </row>
    <row r="30" spans="36:67" s="56" customFormat="1" ht="45" customHeight="1" x14ac:dyDescent="0.25">
      <c r="BD30" s="60" t="str">
        <v/>
      </c>
      <c r="BE30" s="71" t="str">
        <f>Bases_annexes!F262</f>
        <v/>
      </c>
      <c r="BF30" s="59" t="str">
        <f>Bases_annexes!G262</f>
        <v/>
      </c>
      <c r="BH30" s="60" t="str">
        <v/>
      </c>
      <c r="BI30" s="71" t="str">
        <f>IFERROR(INDEX(Bases_annexes!$D$100:$L$149,MATCH(BH30,Bases_annexes!$D$100:$D$149,0),MATCH("Coût_n+",Bases_annexes!$D$99:$L$99,0)),"")</f>
        <v/>
      </c>
      <c r="BJ30" s="59" t="str">
        <f>IFERROR(INDEX(Bases_annexes!$D$100:$L$149,MATCH(Base_tbl_de_bord!$BD30,Bases_annexes!$D$100:$D$149,0),MATCH(Base_tbl_de_bord!BJ$18,Bases_annexes!$D$99:$L$99,0)),"")</f>
        <v/>
      </c>
      <c r="BM30" s="76" t="str">
        <v/>
      </c>
      <c r="BN30" s="71" t="str">
        <f>Bases_annexes!F262</f>
        <v/>
      </c>
      <c r="BO30" s="59" t="str">
        <f>IFERROR(INDEX(Bases_annexes!$D$100:$L$149,MATCH(Base_tbl_de_bord!$BD30,Bases_annexes!$D$100:$D$149,0),MATCH(Base_tbl_de_bord!BJ$18,Bases_annexes!$D$99:$L$99,0)),"")</f>
        <v/>
      </c>
    </row>
    <row r="31" spans="36:67" s="56" customFormat="1" ht="45" customHeight="1" x14ac:dyDescent="0.25">
      <c r="BD31" s="60" t="str">
        <v/>
      </c>
      <c r="BE31" s="71" t="str">
        <f>Bases_annexes!F263</f>
        <v/>
      </c>
      <c r="BF31" s="59" t="str">
        <f>Bases_annexes!G263</f>
        <v/>
      </c>
      <c r="BH31" s="60" t="str">
        <v/>
      </c>
      <c r="BI31" s="71" t="str">
        <f>IFERROR(INDEX(Bases_annexes!$D$100:$L$149,MATCH(BH31,Bases_annexes!$D$100:$D$149,0),MATCH("Coût_n+",Bases_annexes!$D$99:$L$99,0)),"")</f>
        <v/>
      </c>
      <c r="BJ31" s="59" t="str">
        <f>IFERROR(INDEX(Bases_annexes!$D$100:$L$149,MATCH(Base_tbl_de_bord!$BD31,Bases_annexes!$D$100:$D$149,0),MATCH(Base_tbl_de_bord!BJ$18,Bases_annexes!$D$99:$L$99,0)),"")</f>
        <v/>
      </c>
      <c r="BM31" s="76" t="str">
        <v/>
      </c>
      <c r="BN31" s="71" t="str">
        <f>Bases_annexes!F263</f>
        <v/>
      </c>
      <c r="BO31" s="59" t="str">
        <f>IFERROR(INDEX(Bases_annexes!$D$100:$L$149,MATCH(Base_tbl_de_bord!$BD31,Bases_annexes!$D$100:$D$149,0),MATCH(Base_tbl_de_bord!BJ$18,Bases_annexes!$D$99:$L$99,0)),"")</f>
        <v/>
      </c>
    </row>
    <row r="32" spans="36:67" s="56" customFormat="1" ht="45" customHeight="1" x14ac:dyDescent="0.25">
      <c r="BD32" s="60" t="str">
        <v/>
      </c>
      <c r="BE32" s="71" t="str">
        <f>Bases_annexes!F264</f>
        <v/>
      </c>
      <c r="BF32" s="59" t="str">
        <f>Bases_annexes!G264</f>
        <v/>
      </c>
      <c r="BH32" s="60" t="str">
        <v/>
      </c>
      <c r="BI32" s="71" t="str">
        <f>IFERROR(INDEX(Bases_annexes!$D$100:$L$149,MATCH(BH32,Bases_annexes!$D$100:$D$149,0),MATCH("Coût_n+",Bases_annexes!$D$99:$L$99,0)),"")</f>
        <v/>
      </c>
      <c r="BJ32" s="59" t="str">
        <f>IFERROR(INDEX(Bases_annexes!$D$100:$L$149,MATCH(Base_tbl_de_bord!$BD32,Bases_annexes!$D$100:$D$149,0),MATCH(Base_tbl_de_bord!BJ$18,Bases_annexes!$D$99:$L$99,0)),"")</f>
        <v/>
      </c>
      <c r="BM32" s="76" t="str">
        <v/>
      </c>
      <c r="BN32" s="71" t="str">
        <f>Bases_annexes!F264</f>
        <v/>
      </c>
      <c r="BO32" s="59" t="str">
        <f>IFERROR(INDEX(Bases_annexes!$D$100:$L$149,MATCH(Base_tbl_de_bord!$BD32,Bases_annexes!$D$100:$D$149,0),MATCH(Base_tbl_de_bord!BJ$18,Bases_annexes!$D$99:$L$99,0)),"")</f>
        <v/>
      </c>
    </row>
    <row r="33" spans="56:67" s="56" customFormat="1" ht="60" customHeight="1" x14ac:dyDescent="0.25">
      <c r="BD33" s="60" t="s">
        <v>13</v>
      </c>
      <c r="BE33" s="71">
        <f ca="1">SUM(BE19:BE32)</f>
        <v>0</v>
      </c>
      <c r="BF33" s="60"/>
      <c r="BH33" s="60" t="s">
        <v>13</v>
      </c>
      <c r="BI33" s="71">
        <f ca="1">SUM(BI19:BI32)</f>
        <v>0</v>
      </c>
      <c r="BJ33" s="60"/>
      <c r="BM33" s="76" t="s">
        <v>13</v>
      </c>
      <c r="BN33" s="71">
        <f ca="1">SUM(BN19:BN32)</f>
        <v>0</v>
      </c>
      <c r="BO33" s="59"/>
    </row>
    <row r="34" spans="56:67" x14ac:dyDescent="0.25">
      <c r="BD34" t="s">
        <v>237</v>
      </c>
      <c r="BH34" t="s">
        <v>237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S9"/>
  <sheetViews>
    <sheetView zoomScale="65" workbookViewId="0">
      <selection activeCell="B50" sqref="B50"/>
    </sheetView>
  </sheetViews>
  <sheetFormatPr baseColWidth="10" defaultRowHeight="15" x14ac:dyDescent="0.25"/>
  <cols>
    <col min="1" max="1" width="43.42578125" bestFit="1" customWidth="1"/>
    <col min="2" max="2" width="15.7109375" customWidth="1"/>
    <col min="8" max="8" width="13.42578125" customWidth="1"/>
  </cols>
  <sheetData>
    <row r="3" spans="1:45" x14ac:dyDescent="0.25">
      <c r="B3" s="5" t="s">
        <v>62</v>
      </c>
    </row>
    <row r="4" spans="1:45" x14ac:dyDescent="0.25">
      <c r="B4" t="s">
        <v>24</v>
      </c>
      <c r="C4" t="s">
        <v>23</v>
      </c>
      <c r="D4" t="s">
        <v>31</v>
      </c>
      <c r="E4" t="s">
        <v>39</v>
      </c>
      <c r="F4" t="s">
        <v>41</v>
      </c>
      <c r="G4" t="s">
        <v>81</v>
      </c>
      <c r="H4" t="s">
        <v>82</v>
      </c>
      <c r="I4" t="s">
        <v>155</v>
      </c>
      <c r="J4" t="s">
        <v>122</v>
      </c>
      <c r="K4" t="s">
        <v>125</v>
      </c>
      <c r="L4" t="s">
        <v>139</v>
      </c>
      <c r="M4" t="s">
        <v>95</v>
      </c>
      <c r="N4" t="s">
        <v>103</v>
      </c>
      <c r="O4" t="s">
        <v>130</v>
      </c>
      <c r="P4" t="s">
        <v>138</v>
      </c>
      <c r="Q4" t="s">
        <v>203</v>
      </c>
      <c r="R4" t="s">
        <v>204</v>
      </c>
      <c r="AR4" s="5" t="s">
        <v>105</v>
      </c>
      <c r="AS4" s="5" t="s">
        <v>172</v>
      </c>
    </row>
    <row r="5" spans="1:45" x14ac:dyDescent="0.25">
      <c r="A5" t="s">
        <v>13</v>
      </c>
      <c r="B5" s="8">
        <v>2.8711110826881341</v>
      </c>
      <c r="C5" s="8">
        <v>50.147533219728402</v>
      </c>
      <c r="D5" s="8">
        <v>0.22609229979708542</v>
      </c>
      <c r="E5" s="8">
        <v>71.073825891363413</v>
      </c>
      <c r="F5" s="8">
        <v>32.812698087864391</v>
      </c>
      <c r="G5" s="8">
        <v>65.612721833346214</v>
      </c>
      <c r="H5" s="8">
        <v>15.930675914489704</v>
      </c>
      <c r="I5" s="9">
        <v>6.9190269301143179E-2</v>
      </c>
      <c r="J5" s="20">
        <v>0.50393265050357905</v>
      </c>
      <c r="K5" s="17">
        <v>0.14469353331290885</v>
      </c>
      <c r="L5" s="9">
        <v>6.1899999999999997E-2</v>
      </c>
      <c r="M5" s="9">
        <v>5.6538777917291061E-2</v>
      </c>
      <c r="N5" s="18">
        <v>1.6268482572269653E-2</v>
      </c>
      <c r="O5" s="18">
        <v>1.4658164114728258E-2</v>
      </c>
      <c r="P5" s="17">
        <v>5.8333039429220801E-2</v>
      </c>
      <c r="Q5" s="18">
        <v>9.0909090909090912E-2</v>
      </c>
      <c r="R5" s="18">
        <v>9.001118487953523E-2</v>
      </c>
      <c r="AR5" t="s">
        <v>106</v>
      </c>
      <c r="AS5" t="s">
        <v>178</v>
      </c>
    </row>
    <row r="6" spans="1:45" x14ac:dyDescent="0.25">
      <c r="AS6" t="s">
        <v>176</v>
      </c>
    </row>
    <row r="7" spans="1:45" x14ac:dyDescent="0.25">
      <c r="AS7" t="s">
        <v>174</v>
      </c>
    </row>
    <row r="8" spans="1:45" x14ac:dyDescent="0.25">
      <c r="AS8" t="s">
        <v>175</v>
      </c>
    </row>
    <row r="9" spans="1:45" x14ac:dyDescent="0.25">
      <c r="AR9" t="s">
        <v>362</v>
      </c>
    </row>
  </sheetData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B6" sqref="B6"/>
    </sheetView>
  </sheetViews>
  <sheetFormatPr baseColWidth="10" defaultRowHeight="15" x14ac:dyDescent="0.25"/>
  <cols>
    <col min="2" max="2" width="14.28515625" customWidth="1"/>
  </cols>
  <sheetData>
    <row r="3" spans="2:2" x14ac:dyDescent="0.25">
      <c r="B3" t="s">
        <v>239</v>
      </c>
    </row>
    <row r="4" spans="2:2" x14ac:dyDescent="0.25">
      <c r="B4" t="s">
        <v>238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332ed-ab07-4129-affd-39914218979d" xsi:nil="true"/>
    <lcf76f155ced4ddcb4097134ff3c332f xmlns="4f73a0f7-4efd-419f-8cf1-c34358c4ae7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C989B4AA2A748858DCD85F12068C4" ma:contentTypeVersion="8" ma:contentTypeDescription="Crée un document." ma:contentTypeScope="" ma:versionID="b77bd1020a811b7eb2e099100bfce1b0">
  <xsd:schema xmlns:xsd="http://www.w3.org/2001/XMLSchema" xmlns:xs="http://www.w3.org/2001/XMLSchema" xmlns:p="http://schemas.microsoft.com/office/2006/metadata/properties" xmlns:ns2="4f73a0f7-4efd-419f-8cf1-c34358c4ae71" xmlns:ns3="cff332ed-ab07-4129-affd-39914218979d" targetNamespace="http://schemas.microsoft.com/office/2006/metadata/properties" ma:root="true" ma:fieldsID="3c0c0a3f0576f19c44bb077d4c391ef5" ns2:_="" ns3:_="">
    <xsd:import namespace="4f73a0f7-4efd-419f-8cf1-c34358c4ae71"/>
    <xsd:import namespace="cff332ed-ab07-4129-affd-3991421897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3a0f7-4efd-419f-8cf1-c34358c4a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b9645073-a0bb-4df9-9cd9-77b7ba78d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332ed-ab07-4129-affd-39914218979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b8fb03e-8873-48b4-9e2e-398bd309b4e0}" ma:internalName="TaxCatchAll" ma:showField="CatchAllData" ma:web="cff332ed-ab07-4129-affd-399142189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38C0CC-8B77-4C7C-8841-88939DAD9F5D}">
  <ds:schemaRefs>
    <ds:schemaRef ds:uri="http://purl.org/dc/dcmitype/"/>
    <ds:schemaRef ds:uri="http://purl.org/dc/elements/1.1/"/>
    <ds:schemaRef ds:uri="4f73a0f7-4efd-419f-8cf1-c34358c4ae7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ff332ed-ab07-4129-affd-39914218979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413722-60E7-4201-B6A6-7378B360E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3a0f7-4efd-419f-8cf1-c34358c4ae71"/>
    <ds:schemaRef ds:uri="cff332ed-ab07-4129-affd-399142189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C0C4A1-E025-4EDC-A5F1-F0BBA7D232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Données_d'entrée</vt:lpstr>
      <vt:lpstr>Tableau_de_bord</vt:lpstr>
      <vt:lpstr>Coûts</vt:lpstr>
      <vt:lpstr>Base</vt:lpstr>
      <vt:lpstr>Bases_annexes</vt:lpstr>
      <vt:lpstr>Base_tbl_de_bord</vt:lpstr>
      <vt:lpstr>TCD</vt:lpstr>
      <vt:lpstr>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RAVET Paul</dc:creator>
  <cp:lastModifiedBy>Dorine Meunier</cp:lastModifiedBy>
  <dcterms:created xsi:type="dcterms:W3CDTF">2023-06-04T15:25:10Z</dcterms:created>
  <dcterms:modified xsi:type="dcterms:W3CDTF">2023-07-06T08:17:09Z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0x010100FBAC989B4AA2A748858DCD85F12068C4</vt:lpwstr>
  </property>
  <property fmtid="{D5CDD505-2E9C-101B-9397-08002B2CF9AE}" pid="3" name="MediaServiceImageTags">
    <vt:lpwstr/>
  </property>
</Properties>
</file>